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omments9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Projekte\Standort WB\N-31-535-0-ETIP-B_2026-2028\Daten\WP3 Sector Monitoring and Analysis\Task 3.2 Assessment of building capacity\"/>
    </mc:Choice>
  </mc:AlternateContent>
  <xr:revisionPtr revIDLastSave="0" documentId="13_ncr:1_{2B6048C1-96D0-4A86-85E8-99E5EC4E997C}" xr6:coauthVersionLast="47" xr6:coauthVersionMax="47" xr10:uidLastSave="{00000000-0000-0000-0000-000000000000}"/>
  <bookViews>
    <workbookView xWindow="-110" yWindow="-110" windowWidth="19280" windowHeight="9100" firstSheet="1" activeTab="3" xr2:uid="{9CF0DC20-7AFC-4E6B-9F68-4118DD405937}"/>
  </bookViews>
  <sheets>
    <sheet name="conversion factors" sheetId="14" r:id="rId1"/>
    <sheet name="Conversion factors selected IV " sheetId="42" r:id="rId2"/>
    <sheet name="IVC Emission Allocation" sheetId="50" r:id="rId3"/>
    <sheet name="Availabilities EU Austria" sheetId="30" r:id="rId4"/>
    <sheet name="Tabelle1" sheetId="49" r:id="rId5"/>
    <sheet name="FPBO per HVO" sheetId="47" r:id="rId6"/>
    <sheet name="IVCs relevant in 2030" sheetId="41" r:id="rId7"/>
    <sheet name="IVCs relevant 2040-2050" sheetId="40" r:id="rId8"/>
    <sheet name="Gap analysis EU" sheetId="44" r:id="rId9"/>
    <sheet name="Gap Analysis AUSTRIA" sheetId="46" r:id="rId10"/>
    <sheet name="EU Energiebedarf Verkehr" sheetId="45" r:id="rId11"/>
    <sheet name="EU-27_High_2030-2050" sheetId="39" r:id="rId12"/>
    <sheet name="AUSTRIA Energiebedarf Verkehr" sheetId="43" r:id="rId13"/>
    <sheet name="Austria_High_2030_2050" sheetId="35" r:id="rId14"/>
    <sheet name="EU-27_Medium_2030" sheetId="38" r:id="rId15"/>
    <sheet name="Austria Medium 2030" sheetId="34" r:id="rId16"/>
    <sheet name="2025-2030_KPIs" sheetId="7" r:id="rId17"/>
    <sheet name="2025-2030_Heatmap" sheetId="10" state="hidden" r:id="rId18"/>
    <sheet name="Overview" sheetId="1" r:id="rId19"/>
    <sheet name="2030-2040_essential IVCs" sheetId="26" r:id="rId20"/>
    <sheet name="2030-2040_Heatmap" sheetId="11" state="hidden" r:id="rId21"/>
    <sheet name="2040-2050_Heatmap" sheetId="12" state="hidden" r:id="rId22"/>
    <sheet name="TRL" sheetId="29" r:id="rId23"/>
    <sheet name="conv.f. additional" sheetId="15" r:id="rId24"/>
    <sheet name="3" sheetId="16" r:id="rId25"/>
    <sheet name="6" sheetId="17" r:id="rId26"/>
    <sheet name="8b" sheetId="18" r:id="rId27"/>
    <sheet name="8d" sheetId="19" r:id="rId28"/>
    <sheet name="11b" sheetId="20" r:id="rId29"/>
    <sheet name="12" sheetId="21" r:id="rId30"/>
    <sheet name="CO2" sheetId="22" r:id="rId31"/>
    <sheet name="t-toe" sheetId="23" r:id="rId32"/>
    <sheet name="Demand" sheetId="4" r:id="rId33"/>
    <sheet name="Market readiness" sheetId="2" r:id="rId34"/>
    <sheet name="IVC Overview" sheetId="48" r:id="rId35"/>
    <sheet name="IVC Overview EU" sheetId="51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_FilterDatabase" localSheetId="22" hidden="1">TRL!$B$2:$N$40</definedName>
    <definedName name="_ftnref1" localSheetId="22">TRL!#REF!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50" l="1"/>
  <c r="M35" i="50"/>
  <c r="M37" i="50"/>
  <c r="M38" i="50"/>
  <c r="M40" i="50"/>
  <c r="M42" i="50"/>
  <c r="M43" i="50"/>
  <c r="G44" i="50"/>
  <c r="H44" i="50"/>
  <c r="J13" i="50" s="1"/>
  <c r="I44" i="50"/>
  <c r="K13" i="50" s="1"/>
  <c r="J44" i="50"/>
  <c r="L13" i="50" s="1"/>
  <c r="K44" i="50"/>
  <c r="M13" i="50" s="1"/>
  <c r="L44" i="50"/>
  <c r="G74" i="50"/>
  <c r="H74" i="50"/>
  <c r="J74" i="50"/>
  <c r="G75" i="50"/>
  <c r="H75" i="50"/>
  <c r="J75" i="50"/>
  <c r="G77" i="50"/>
  <c r="H77" i="50"/>
  <c r="J21" i="50" s="1"/>
  <c r="I77" i="50"/>
  <c r="K21" i="50" s="1"/>
  <c r="J77" i="50"/>
  <c r="L21" i="50" s="1"/>
  <c r="K77" i="50"/>
  <c r="M21" i="50" s="1"/>
  <c r="L77" i="50"/>
  <c r="M109" i="50"/>
  <c r="M110" i="50"/>
  <c r="M111" i="50"/>
  <c r="G120" i="50"/>
  <c r="G121" i="50"/>
  <c r="G122" i="50"/>
  <c r="G123" i="50"/>
  <c r="G124" i="50"/>
  <c r="G125" i="50"/>
  <c r="G126" i="50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M88" i="50" s="1"/>
  <c r="I19" i="49"/>
  <c r="I18" i="49"/>
  <c r="I17" i="49"/>
  <c r="M76" i="50" s="1"/>
  <c r="I16" i="49"/>
  <c r="I15" i="49"/>
  <c r="I14" i="49"/>
  <c r="M59" i="50" s="1"/>
  <c r="I13" i="49"/>
  <c r="I12" i="49"/>
  <c r="M53" i="50" s="1"/>
  <c r="I11" i="49"/>
  <c r="I10" i="49"/>
  <c r="M41" i="50" s="1"/>
  <c r="I8" i="49"/>
  <c r="M36" i="50" s="1"/>
  <c r="I6" i="49"/>
  <c r="I5" i="49"/>
  <c r="I4" i="49"/>
  <c r="M34" i="50" s="1"/>
  <c r="C87" i="47"/>
  <c r="B87" i="47"/>
  <c r="B71" i="47"/>
  <c r="D58" i="47"/>
  <c r="D57" i="47"/>
  <c r="D42" i="47"/>
  <c r="B11" i="47"/>
  <c r="Q117" i="30"/>
  <c r="AF49" i="30"/>
  <c r="H84" i="42"/>
  <c r="H83" i="42"/>
  <c r="G84" i="42"/>
  <c r="AA64" i="30"/>
  <c r="N116" i="30"/>
  <c r="AH63" i="30"/>
  <c r="AA63" i="30"/>
  <c r="AA62" i="30"/>
  <c r="F11" i="14"/>
  <c r="L27" i="42" s="1"/>
  <c r="O5" i="42"/>
  <c r="AC38" i="30"/>
  <c r="O23" i="42"/>
  <c r="O117" i="42"/>
  <c r="O118" i="42"/>
  <c r="O119" i="42"/>
  <c r="O120" i="42"/>
  <c r="O121" i="42"/>
  <c r="O122" i="42"/>
  <c r="O123" i="42"/>
  <c r="O116" i="42"/>
  <c r="O141" i="42"/>
  <c r="I141" i="42"/>
  <c r="G141" i="42"/>
  <c r="L141" i="42" s="1"/>
  <c r="O140" i="42"/>
  <c r="I140" i="42"/>
  <c r="G140" i="42"/>
  <c r="L140" i="42" s="1"/>
  <c r="O139" i="42"/>
  <c r="I139" i="42"/>
  <c r="G139" i="42"/>
  <c r="L139" i="42" s="1"/>
  <c r="O138" i="42"/>
  <c r="I138" i="42"/>
  <c r="G138" i="42"/>
  <c r="L138" i="42" s="1"/>
  <c r="O137" i="42"/>
  <c r="I137" i="42"/>
  <c r="G137" i="42"/>
  <c r="L137" i="42" s="1"/>
  <c r="O136" i="42"/>
  <c r="I136" i="42"/>
  <c r="G136" i="42"/>
  <c r="L136" i="42" s="1"/>
  <c r="O135" i="42"/>
  <c r="I135" i="42"/>
  <c r="G135" i="42"/>
  <c r="L135" i="42" s="1"/>
  <c r="O134" i="42"/>
  <c r="I134" i="42"/>
  <c r="G134" i="42"/>
  <c r="L134" i="42" s="1"/>
  <c r="G90" i="42"/>
  <c r="G91" i="42"/>
  <c r="G92" i="42"/>
  <c r="G93" i="42"/>
  <c r="G94" i="42"/>
  <c r="G95" i="42"/>
  <c r="G96" i="42"/>
  <c r="G89" i="42"/>
  <c r="G99" i="42"/>
  <c r="G100" i="42"/>
  <c r="G101" i="42"/>
  <c r="G102" i="42"/>
  <c r="G103" i="42"/>
  <c r="G104" i="42"/>
  <c r="G105" i="42"/>
  <c r="G98" i="42"/>
  <c r="G117" i="42"/>
  <c r="G118" i="42"/>
  <c r="G119" i="42"/>
  <c r="G120" i="42"/>
  <c r="G121" i="42"/>
  <c r="G122" i="42"/>
  <c r="G123" i="42"/>
  <c r="G116" i="42"/>
  <c r="K86" i="42"/>
  <c r="O86" i="42" s="1"/>
  <c r="Y137" i="30"/>
  <c r="Z137" i="30"/>
  <c r="Y128" i="30"/>
  <c r="Z128" i="30"/>
  <c r="Y119" i="30"/>
  <c r="Z119" i="30"/>
  <c r="Y104" i="30"/>
  <c r="Z104" i="30"/>
  <c r="O93" i="30"/>
  <c r="P93" i="30"/>
  <c r="R93" i="30"/>
  <c r="S93" i="30"/>
  <c r="T93" i="30"/>
  <c r="U93" i="30"/>
  <c r="V93" i="30"/>
  <c r="W93" i="30"/>
  <c r="Y93" i="30"/>
  <c r="Z93" i="30"/>
  <c r="Y40" i="30"/>
  <c r="Z40" i="30"/>
  <c r="O16" i="30"/>
  <c r="P16" i="30"/>
  <c r="S16" i="30"/>
  <c r="T16" i="30"/>
  <c r="U16" i="30"/>
  <c r="V16" i="30"/>
  <c r="Y16" i="30"/>
  <c r="Z16" i="30"/>
  <c r="Y10" i="30"/>
  <c r="Z10" i="30"/>
  <c r="AC31" i="30"/>
  <c r="AC17" i="30"/>
  <c r="AC19" i="30"/>
  <c r="AC39" i="30"/>
  <c r="AC67" i="30"/>
  <c r="AC68" i="30"/>
  <c r="AC92" i="30"/>
  <c r="AC115" i="30"/>
  <c r="AB17" i="30"/>
  <c r="AB19" i="30"/>
  <c r="AB38" i="30"/>
  <c r="AB39" i="30"/>
  <c r="AB63" i="30"/>
  <c r="AB64" i="30"/>
  <c r="AB67" i="30"/>
  <c r="AB68" i="30"/>
  <c r="AB92" i="30"/>
  <c r="AB115" i="30"/>
  <c r="K62" i="42"/>
  <c r="O62" i="42" s="1"/>
  <c r="K50" i="42"/>
  <c r="O50" i="42" s="1"/>
  <c r="K49" i="42"/>
  <c r="O49" i="42" s="1"/>
  <c r="X81" i="30"/>
  <c r="AO63" i="30"/>
  <c r="BG63" i="30" s="1"/>
  <c r="AO64" i="30"/>
  <c r="BG64" i="30" s="1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AP36" i="30"/>
  <c r="AQ36" i="30"/>
  <c r="AR36" i="30"/>
  <c r="AS36" i="30"/>
  <c r="AT36" i="30"/>
  <c r="AU36" i="30"/>
  <c r="AV36" i="30"/>
  <c r="AW36" i="30"/>
  <c r="AX36" i="30"/>
  <c r="AY36" i="30"/>
  <c r="AZ36" i="30"/>
  <c r="BA36" i="30"/>
  <c r="BB36" i="30"/>
  <c r="BC36" i="30"/>
  <c r="BD36" i="30"/>
  <c r="BE36" i="30"/>
  <c r="BF36" i="30"/>
  <c r="BG36" i="30"/>
  <c r="AM67" i="30"/>
  <c r="AM68" i="30"/>
  <c r="AM83" i="30"/>
  <c r="AM84" i="30"/>
  <c r="AM85" i="30"/>
  <c r="AM86" i="30"/>
  <c r="AM87" i="30"/>
  <c r="AM88" i="30"/>
  <c r="AM89" i="30"/>
  <c r="AM90" i="30"/>
  <c r="AM91" i="30"/>
  <c r="AM92" i="30"/>
  <c r="AM118" i="30"/>
  <c r="AN67" i="30"/>
  <c r="AN68" i="30"/>
  <c r="AN83" i="30"/>
  <c r="AN84" i="30"/>
  <c r="AN85" i="30"/>
  <c r="AN86" i="30"/>
  <c r="AN87" i="30"/>
  <c r="AN88" i="30"/>
  <c r="AN89" i="30"/>
  <c r="AN90" i="30"/>
  <c r="AN91" i="30"/>
  <c r="AN92" i="30"/>
  <c r="AN138" i="30"/>
  <c r="AN18" i="30"/>
  <c r="AN20" i="30"/>
  <c r="AP119" i="30"/>
  <c r="AQ119" i="30"/>
  <c r="AR119" i="30"/>
  <c r="AS119" i="30"/>
  <c r="AT119" i="30"/>
  <c r="AU119" i="30"/>
  <c r="AV119" i="30"/>
  <c r="AW119" i="30"/>
  <c r="AX119" i="30"/>
  <c r="AY119" i="30"/>
  <c r="AZ119" i="30"/>
  <c r="BA119" i="30"/>
  <c r="BB119" i="30"/>
  <c r="BC119" i="30"/>
  <c r="BD119" i="30"/>
  <c r="BE119" i="30"/>
  <c r="BF119" i="30"/>
  <c r="AP40" i="30"/>
  <c r="AQ40" i="30"/>
  <c r="AR40" i="30"/>
  <c r="AS40" i="30"/>
  <c r="AT40" i="30"/>
  <c r="AU40" i="30"/>
  <c r="AV40" i="30"/>
  <c r="AW40" i="30"/>
  <c r="AX40" i="30"/>
  <c r="AY40" i="30"/>
  <c r="AZ40" i="30"/>
  <c r="BA40" i="30"/>
  <c r="BB40" i="30"/>
  <c r="BC40" i="30"/>
  <c r="BD40" i="30"/>
  <c r="BE40" i="30"/>
  <c r="BF40" i="30"/>
  <c r="AL67" i="30"/>
  <c r="AL68" i="30"/>
  <c r="AL83" i="30"/>
  <c r="AL84" i="30"/>
  <c r="AL85" i="30"/>
  <c r="AL86" i="30"/>
  <c r="AL87" i="30"/>
  <c r="AL88" i="30"/>
  <c r="AL89" i="30"/>
  <c r="AL90" i="30"/>
  <c r="AL91" i="30"/>
  <c r="AL92" i="30"/>
  <c r="AL138" i="30"/>
  <c r="AK63" i="30"/>
  <c r="AK64" i="30"/>
  <c r="AK67" i="30"/>
  <c r="AK68" i="30"/>
  <c r="AK83" i="30"/>
  <c r="AK84" i="30"/>
  <c r="AK85" i="30"/>
  <c r="AK86" i="30"/>
  <c r="AK87" i="30"/>
  <c r="AK88" i="30"/>
  <c r="AK89" i="30"/>
  <c r="AK90" i="30"/>
  <c r="AK91" i="30"/>
  <c r="AK92" i="30"/>
  <c r="AK118" i="30"/>
  <c r="AP26" i="30"/>
  <c r="AQ26" i="30"/>
  <c r="AR26" i="30"/>
  <c r="AS26" i="30"/>
  <c r="AT26" i="30"/>
  <c r="AU26" i="30"/>
  <c r="AV26" i="30"/>
  <c r="AW26" i="30"/>
  <c r="AX26" i="30"/>
  <c r="AY26" i="30"/>
  <c r="AZ26" i="30"/>
  <c r="BA26" i="30"/>
  <c r="BB26" i="30"/>
  <c r="BC26" i="30"/>
  <c r="BD26" i="30"/>
  <c r="BE26" i="30"/>
  <c r="BF26" i="30"/>
  <c r="R18" i="41"/>
  <c r="AE47" i="30" s="1"/>
  <c r="G60" i="50" s="1"/>
  <c r="R8" i="41"/>
  <c r="R9" i="41"/>
  <c r="AE41" i="30" s="1"/>
  <c r="G54" i="50" s="1"/>
  <c r="R10" i="41"/>
  <c r="AE46" i="30" s="1"/>
  <c r="G59" i="50" s="1"/>
  <c r="R11" i="41"/>
  <c r="AE44" i="30" s="1"/>
  <c r="G57" i="50" s="1"/>
  <c r="R12" i="41"/>
  <c r="AE49" i="30" s="1"/>
  <c r="G62" i="50" s="1"/>
  <c r="R13" i="41"/>
  <c r="R14" i="41"/>
  <c r="R15" i="41"/>
  <c r="AE13" i="30" s="1"/>
  <c r="G36" i="50" s="1"/>
  <c r="R16" i="41"/>
  <c r="R17" i="41"/>
  <c r="R19" i="41"/>
  <c r="AE48" i="30" s="1"/>
  <c r="G61" i="50" s="1"/>
  <c r="R20" i="41"/>
  <c r="R21" i="41"/>
  <c r="R22" i="41"/>
  <c r="R23" i="41"/>
  <c r="R24" i="41"/>
  <c r="R25" i="41"/>
  <c r="R26" i="41"/>
  <c r="R27" i="41"/>
  <c r="R28" i="41"/>
  <c r="R5" i="41"/>
  <c r="R6" i="41"/>
  <c r="R7" i="41"/>
  <c r="R3" i="41"/>
  <c r="AE21" i="30" s="1"/>
  <c r="G39" i="50" s="1"/>
  <c r="R4" i="41"/>
  <c r="AE43" i="30" s="1"/>
  <c r="G56" i="50" s="1"/>
  <c r="R2" i="41"/>
  <c r="AE42" i="30" s="1"/>
  <c r="G55" i="50" s="1"/>
  <c r="AL18" i="30"/>
  <c r="AL20" i="30"/>
  <c r="H65" i="42"/>
  <c r="H66" i="42"/>
  <c r="H67" i="42"/>
  <c r="H68" i="42"/>
  <c r="H69" i="42"/>
  <c r="H70" i="42"/>
  <c r="H71" i="42"/>
  <c r="H72" i="42"/>
  <c r="H64" i="42"/>
  <c r="O73" i="42"/>
  <c r="G73" i="42"/>
  <c r="O72" i="42"/>
  <c r="G72" i="42"/>
  <c r="O71" i="42"/>
  <c r="I71" i="42"/>
  <c r="G71" i="42"/>
  <c r="O70" i="42"/>
  <c r="I70" i="42"/>
  <c r="G70" i="42"/>
  <c r="O69" i="42"/>
  <c r="I69" i="42"/>
  <c r="G69" i="42"/>
  <c r="O68" i="42"/>
  <c r="I68" i="42"/>
  <c r="G68" i="42"/>
  <c r="O67" i="42"/>
  <c r="I67" i="42"/>
  <c r="G67" i="42"/>
  <c r="O66" i="42"/>
  <c r="I66" i="42"/>
  <c r="G66" i="42"/>
  <c r="O65" i="42"/>
  <c r="I65" i="42"/>
  <c r="G65" i="42"/>
  <c r="O64" i="42"/>
  <c r="I64" i="42"/>
  <c r="G64" i="42"/>
  <c r="L84" i="42"/>
  <c r="AA114" i="30" s="1"/>
  <c r="G85" i="42"/>
  <c r="K9" i="42"/>
  <c r="O9" i="42" s="1"/>
  <c r="O17" i="42"/>
  <c r="O18" i="42"/>
  <c r="O19" i="42"/>
  <c r="O20" i="42"/>
  <c r="O22" i="42"/>
  <c r="O24" i="42"/>
  <c r="O25" i="42"/>
  <c r="O39" i="42"/>
  <c r="O40" i="42"/>
  <c r="O41" i="42"/>
  <c r="O42" i="42"/>
  <c r="O43" i="42"/>
  <c r="O44" i="42"/>
  <c r="O45" i="42"/>
  <c r="O46" i="42"/>
  <c r="O47" i="42"/>
  <c r="O48" i="42"/>
  <c r="O52" i="42"/>
  <c r="O53" i="42"/>
  <c r="O54" i="42"/>
  <c r="O55" i="42"/>
  <c r="O56" i="42"/>
  <c r="O57" i="42"/>
  <c r="O58" i="42"/>
  <c r="O59" i="42"/>
  <c r="O60" i="42"/>
  <c r="O61" i="42"/>
  <c r="O75" i="42"/>
  <c r="O76" i="42"/>
  <c r="O77" i="42"/>
  <c r="O78" i="42"/>
  <c r="O79" i="42"/>
  <c r="O80" i="42"/>
  <c r="O81" i="42"/>
  <c r="O82" i="42"/>
  <c r="O83" i="42"/>
  <c r="O84" i="42"/>
  <c r="O89" i="42"/>
  <c r="O90" i="42"/>
  <c r="O91" i="42"/>
  <c r="O92" i="42"/>
  <c r="O93" i="42"/>
  <c r="O94" i="42"/>
  <c r="O95" i="42"/>
  <c r="O96" i="42"/>
  <c r="O98" i="42"/>
  <c r="O99" i="42"/>
  <c r="O100" i="42"/>
  <c r="O101" i="42"/>
  <c r="O102" i="42"/>
  <c r="O103" i="42"/>
  <c r="O104" i="42"/>
  <c r="O105" i="42"/>
  <c r="O107" i="42"/>
  <c r="O108" i="42"/>
  <c r="O109" i="42"/>
  <c r="O110" i="42"/>
  <c r="O111" i="42"/>
  <c r="O112" i="42"/>
  <c r="O113" i="42"/>
  <c r="O114" i="42"/>
  <c r="O125" i="42"/>
  <c r="O126" i="42"/>
  <c r="O127" i="42"/>
  <c r="O128" i="42"/>
  <c r="O129" i="42"/>
  <c r="O130" i="42"/>
  <c r="O131" i="42"/>
  <c r="O132" i="42"/>
  <c r="O4" i="42"/>
  <c r="AA49" i="30"/>
  <c r="O15" i="30"/>
  <c r="O10" i="30" s="1"/>
  <c r="P15" i="30"/>
  <c r="P10" i="30" s="1"/>
  <c r="R15" i="30"/>
  <c r="R10" i="30" s="1"/>
  <c r="S15" i="30"/>
  <c r="S10" i="30" s="1"/>
  <c r="T15" i="30"/>
  <c r="T10" i="30" s="1"/>
  <c r="U15" i="30"/>
  <c r="U10" i="30" s="1"/>
  <c r="V15" i="30"/>
  <c r="V10" i="30" s="1"/>
  <c r="W15" i="30"/>
  <c r="W10" i="30" s="1"/>
  <c r="E52" i="44"/>
  <c r="B71" i="44"/>
  <c r="B23" i="46"/>
  <c r="F23" i="46" s="1"/>
  <c r="E23" i="46" s="1"/>
  <c r="G23" i="46" s="1"/>
  <c r="F22" i="46"/>
  <c r="E22" i="46"/>
  <c r="G22" i="46" s="1"/>
  <c r="F21" i="46"/>
  <c r="E21" i="46" s="1"/>
  <c r="G21" i="46" s="1"/>
  <c r="F20" i="46"/>
  <c r="E20" i="46"/>
  <c r="G20" i="46" s="1"/>
  <c r="B89" i="44"/>
  <c r="C35" i="44"/>
  <c r="C34" i="44"/>
  <c r="B68" i="44"/>
  <c r="H62" i="44" s="1"/>
  <c r="B73" i="44"/>
  <c r="H63" i="44" s="1"/>
  <c r="B65" i="44"/>
  <c r="H61" i="44" s="1"/>
  <c r="B63" i="44"/>
  <c r="B61" i="44" s="1"/>
  <c r="H58" i="44" s="1"/>
  <c r="B33" i="44"/>
  <c r="B55" i="44"/>
  <c r="B51" i="44" s="1"/>
  <c r="H57" i="44" s="1"/>
  <c r="H56" i="44" s="1"/>
  <c r="B31" i="44"/>
  <c r="B49" i="44"/>
  <c r="G24" i="44"/>
  <c r="H78" i="42"/>
  <c r="AG156" i="30"/>
  <c r="C36" i="44"/>
  <c r="B45" i="44"/>
  <c r="B44" i="44"/>
  <c r="B43" i="44"/>
  <c r="B41" i="44"/>
  <c r="B38" i="44"/>
  <c r="B39" i="44"/>
  <c r="B37" i="44"/>
  <c r="B32" i="44" s="1"/>
  <c r="M38" i="45"/>
  <c r="M37" i="45"/>
  <c r="I38" i="45"/>
  <c r="D16" i="44"/>
  <c r="E16" i="44" s="1"/>
  <c r="D19" i="44"/>
  <c r="E19" i="44" s="1"/>
  <c r="D13" i="44"/>
  <c r="E13" i="44" s="1"/>
  <c r="B83" i="44"/>
  <c r="C16" i="45"/>
  <c r="D16" i="45" s="1"/>
  <c r="E16" i="45" s="1"/>
  <c r="C17" i="45"/>
  <c r="D17" i="45" s="1"/>
  <c r="E17" i="45" s="1"/>
  <c r="C18" i="45"/>
  <c r="D18" i="45" s="1"/>
  <c r="E18" i="45" s="1"/>
  <c r="C19" i="45"/>
  <c r="D19" i="45" s="1"/>
  <c r="E19" i="45" s="1"/>
  <c r="C20" i="45"/>
  <c r="D20" i="45" s="1"/>
  <c r="E20" i="45" s="1"/>
  <c r="C21" i="45"/>
  <c r="D21" i="45" s="1"/>
  <c r="E21" i="45" s="1"/>
  <c r="C22" i="45"/>
  <c r="D22" i="45" s="1"/>
  <c r="E22" i="45" s="1"/>
  <c r="C23" i="45"/>
  <c r="D23" i="45" s="1"/>
  <c r="E23" i="45" s="1"/>
  <c r="C24" i="45"/>
  <c r="D24" i="45" s="1"/>
  <c r="E24" i="45" s="1"/>
  <c r="C25" i="45"/>
  <c r="D25" i="45" s="1"/>
  <c r="E25" i="45" s="1"/>
  <c r="C26" i="45"/>
  <c r="D26" i="45" s="1"/>
  <c r="E26" i="45" s="1"/>
  <c r="C27" i="45"/>
  <c r="D27" i="45" s="1"/>
  <c r="E27" i="45" s="1"/>
  <c r="C28" i="45"/>
  <c r="D28" i="45" s="1"/>
  <c r="E28" i="45" s="1"/>
  <c r="C29" i="45"/>
  <c r="D29" i="45" s="1"/>
  <c r="E29" i="45" s="1"/>
  <c r="C15" i="45"/>
  <c r="D15" i="45" s="1"/>
  <c r="E15" i="45" s="1"/>
  <c r="N228" i="30"/>
  <c r="O228" i="30"/>
  <c r="P228" i="30"/>
  <c r="Q228" i="30"/>
  <c r="O173" i="30"/>
  <c r="P173" i="30"/>
  <c r="R173" i="30"/>
  <c r="S173" i="30"/>
  <c r="T173" i="30"/>
  <c r="U173" i="30"/>
  <c r="V173" i="30"/>
  <c r="W173" i="30"/>
  <c r="O165" i="30"/>
  <c r="P165" i="30"/>
  <c r="R165" i="30"/>
  <c r="S165" i="30"/>
  <c r="T165" i="30"/>
  <c r="U165" i="30"/>
  <c r="V165" i="30"/>
  <c r="W165" i="30"/>
  <c r="W168" i="30"/>
  <c r="V168" i="30"/>
  <c r="U168" i="30"/>
  <c r="T168" i="30"/>
  <c r="S168" i="30"/>
  <c r="R168" i="30"/>
  <c r="P168" i="30"/>
  <c r="O168" i="30"/>
  <c r="O181" i="30"/>
  <c r="P181" i="30"/>
  <c r="R181" i="30"/>
  <c r="S181" i="30"/>
  <c r="T181" i="30"/>
  <c r="U181" i="30"/>
  <c r="V181" i="30"/>
  <c r="W181" i="30"/>
  <c r="X185" i="30"/>
  <c r="Q185" i="30"/>
  <c r="N185" i="30"/>
  <c r="X184" i="30"/>
  <c r="Q184" i="30"/>
  <c r="N184" i="30"/>
  <c r="X183" i="30"/>
  <c r="Q183" i="30"/>
  <c r="N183" i="30"/>
  <c r="X182" i="30"/>
  <c r="Q182" i="30"/>
  <c r="N182" i="30"/>
  <c r="H17" i="42"/>
  <c r="I20" i="42"/>
  <c r="H20" i="42"/>
  <c r="G20" i="42" s="1"/>
  <c r="I19" i="42"/>
  <c r="H19" i="42"/>
  <c r="G19" i="42" s="1"/>
  <c r="I18" i="42"/>
  <c r="H18" i="42"/>
  <c r="G18" i="42" s="1"/>
  <c r="I17" i="42"/>
  <c r="O26" i="30"/>
  <c r="P26" i="30"/>
  <c r="R26" i="30"/>
  <c r="S26" i="30"/>
  <c r="T26" i="30"/>
  <c r="U26" i="30"/>
  <c r="V26" i="30"/>
  <c r="W26" i="30"/>
  <c r="D10" i="14"/>
  <c r="B20" i="44"/>
  <c r="B21" i="44"/>
  <c r="D21" i="44" s="1"/>
  <c r="E21" i="44" s="1"/>
  <c r="B18" i="44"/>
  <c r="D18" i="44" s="1"/>
  <c r="E18" i="44" s="1"/>
  <c r="B17" i="44"/>
  <c r="D17" i="44" s="1"/>
  <c r="E17" i="44" s="1"/>
  <c r="B22" i="44"/>
  <c r="B25" i="44" s="1"/>
  <c r="K10" i="42"/>
  <c r="O10" i="42" s="1"/>
  <c r="K15" i="42"/>
  <c r="O15" i="42" s="1"/>
  <c r="J15" i="42"/>
  <c r="G15" i="42" s="1"/>
  <c r="J14" i="42"/>
  <c r="K14" i="42"/>
  <c r="O14" i="42" s="1"/>
  <c r="X66" i="30"/>
  <c r="Q66" i="30"/>
  <c r="N66" i="30"/>
  <c r="O7" i="30"/>
  <c r="P7" i="30"/>
  <c r="R7" i="30"/>
  <c r="S7" i="30"/>
  <c r="T7" i="30"/>
  <c r="U7" i="30"/>
  <c r="V7" i="30"/>
  <c r="W7" i="30"/>
  <c r="B18" i="43"/>
  <c r="B17" i="43"/>
  <c r="B16" i="43"/>
  <c r="B15" i="43"/>
  <c r="B14" i="43"/>
  <c r="AI203" i="30"/>
  <c r="H79" i="42"/>
  <c r="J48" i="42"/>
  <c r="G48" i="42" s="1"/>
  <c r="J61" i="42"/>
  <c r="G61" i="42" s="1"/>
  <c r="I34" i="43"/>
  <c r="I5" i="43"/>
  <c r="I10" i="43" s="1"/>
  <c r="C5" i="43"/>
  <c r="C10" i="43" s="1"/>
  <c r="B5" i="43"/>
  <c r="B10" i="43" s="1"/>
  <c r="I4" i="43"/>
  <c r="I9" i="43" s="1"/>
  <c r="C4" i="43"/>
  <c r="C9" i="43" s="1"/>
  <c r="B4" i="43"/>
  <c r="B9" i="43" s="1"/>
  <c r="I3" i="43"/>
  <c r="C3" i="43"/>
  <c r="B3" i="43"/>
  <c r="AP271" i="30"/>
  <c r="AQ271" i="30"/>
  <c r="AR271" i="30"/>
  <c r="AS271" i="30"/>
  <c r="AT271" i="30"/>
  <c r="AU271" i="30"/>
  <c r="AV271" i="30"/>
  <c r="AW271" i="30"/>
  <c r="AX271" i="30"/>
  <c r="AY271" i="30"/>
  <c r="AZ271" i="30"/>
  <c r="BA271" i="30"/>
  <c r="BB271" i="30"/>
  <c r="BC271" i="30"/>
  <c r="BD271" i="30"/>
  <c r="BE271" i="30"/>
  <c r="BF271" i="30"/>
  <c r="AH281" i="30"/>
  <c r="AP137" i="30"/>
  <c r="AR137" i="30"/>
  <c r="AS137" i="30"/>
  <c r="AU137" i="30"/>
  <c r="AV137" i="30"/>
  <c r="AW137" i="30"/>
  <c r="AX137" i="30"/>
  <c r="AY137" i="30"/>
  <c r="AZ137" i="30"/>
  <c r="BB137" i="30"/>
  <c r="BC137" i="30"/>
  <c r="BE137" i="30"/>
  <c r="AO149" i="30"/>
  <c r="BG149" i="30" s="1"/>
  <c r="AP293" i="30"/>
  <c r="AQ293" i="30"/>
  <c r="AR293" i="30"/>
  <c r="AS293" i="30"/>
  <c r="AT293" i="30"/>
  <c r="AU293" i="30"/>
  <c r="AV293" i="30"/>
  <c r="AW293" i="30"/>
  <c r="AX293" i="30"/>
  <c r="AY293" i="30"/>
  <c r="AZ293" i="30"/>
  <c r="BA293" i="30"/>
  <c r="BB293" i="30"/>
  <c r="BC293" i="30"/>
  <c r="BD293" i="30"/>
  <c r="BE293" i="30"/>
  <c r="BF293" i="30"/>
  <c r="AO215" i="30"/>
  <c r="BG215" i="30" s="1"/>
  <c r="AG203" i="30"/>
  <c r="AH203" i="30" s="1"/>
  <c r="AP186" i="30"/>
  <c r="AQ186" i="30"/>
  <c r="AR186" i="30"/>
  <c r="AS186" i="30"/>
  <c r="AT186" i="30"/>
  <c r="AU186" i="30"/>
  <c r="AV186" i="30"/>
  <c r="AW186" i="30"/>
  <c r="AX186" i="30"/>
  <c r="AY186" i="30"/>
  <c r="AZ186" i="30"/>
  <c r="BA186" i="30"/>
  <c r="BB186" i="30"/>
  <c r="BC186" i="30"/>
  <c r="BD186" i="30"/>
  <c r="BE186" i="30"/>
  <c r="BF186" i="30"/>
  <c r="AA225" i="30"/>
  <c r="H75" i="42"/>
  <c r="H76" i="42"/>
  <c r="H77" i="42"/>
  <c r="H80" i="42"/>
  <c r="H39" i="42"/>
  <c r="H40" i="42"/>
  <c r="H41" i="42"/>
  <c r="G41" i="42" s="1"/>
  <c r="H42" i="42"/>
  <c r="H43" i="42"/>
  <c r="H44" i="42"/>
  <c r="AP31" i="30"/>
  <c r="AQ31" i="30"/>
  <c r="AR31" i="30"/>
  <c r="AS31" i="30"/>
  <c r="AT31" i="30"/>
  <c r="AU31" i="30"/>
  <c r="AV31" i="30"/>
  <c r="AW31" i="30"/>
  <c r="AX31" i="30"/>
  <c r="AY31" i="30"/>
  <c r="AZ31" i="30"/>
  <c r="BA31" i="30"/>
  <c r="BB31" i="30"/>
  <c r="BC31" i="30"/>
  <c r="BD31" i="30"/>
  <c r="BE31" i="30"/>
  <c r="BF31" i="30"/>
  <c r="D32" i="14"/>
  <c r="I132" i="42"/>
  <c r="G132" i="42" s="1"/>
  <c r="I131" i="42"/>
  <c r="G131" i="42" s="1"/>
  <c r="I130" i="42"/>
  <c r="G130" i="42" s="1"/>
  <c r="I129" i="42"/>
  <c r="G129" i="42" s="1"/>
  <c r="I128" i="42"/>
  <c r="G128" i="42" s="1"/>
  <c r="I127" i="42"/>
  <c r="G127" i="42" s="1"/>
  <c r="I126" i="42"/>
  <c r="G126" i="42" s="1"/>
  <c r="I125" i="42"/>
  <c r="G125" i="42" s="1"/>
  <c r="I111" i="42"/>
  <c r="G111" i="42" s="1"/>
  <c r="I110" i="42"/>
  <c r="G110" i="42" s="1"/>
  <c r="I109" i="42"/>
  <c r="G109" i="42" s="1"/>
  <c r="I108" i="42"/>
  <c r="G108" i="42" s="1"/>
  <c r="I107" i="42"/>
  <c r="G107" i="42" s="1"/>
  <c r="I102" i="42"/>
  <c r="I101" i="42"/>
  <c r="I100" i="42"/>
  <c r="I99" i="42"/>
  <c r="I98" i="42"/>
  <c r="I93" i="42"/>
  <c r="I92" i="42"/>
  <c r="I91" i="42"/>
  <c r="I90" i="42"/>
  <c r="I89" i="42"/>
  <c r="D30" i="14"/>
  <c r="F30" i="14"/>
  <c r="I105" i="42"/>
  <c r="I104" i="42"/>
  <c r="I103" i="42"/>
  <c r="J96" i="42"/>
  <c r="I96" i="42"/>
  <c r="I95" i="42"/>
  <c r="I94" i="42"/>
  <c r="Q81" i="30"/>
  <c r="AP69" i="30"/>
  <c r="AQ69" i="30"/>
  <c r="AR69" i="30"/>
  <c r="AS69" i="30"/>
  <c r="AT69" i="30"/>
  <c r="AU69" i="30"/>
  <c r="AV69" i="30"/>
  <c r="AW69" i="30"/>
  <c r="AX69" i="30"/>
  <c r="AY69" i="30"/>
  <c r="AZ69" i="30"/>
  <c r="BA69" i="30"/>
  <c r="BB69" i="30"/>
  <c r="BC69" i="30"/>
  <c r="BD69" i="30"/>
  <c r="BE69" i="30"/>
  <c r="BF69" i="30"/>
  <c r="AP50" i="30"/>
  <c r="AQ50" i="30"/>
  <c r="AR50" i="30"/>
  <c r="AS50" i="30"/>
  <c r="AT50" i="30"/>
  <c r="AU50" i="30"/>
  <c r="AV50" i="30"/>
  <c r="AW50" i="30"/>
  <c r="AX50" i="30"/>
  <c r="AY50" i="30"/>
  <c r="AZ50" i="30"/>
  <c r="BA50" i="30"/>
  <c r="BB50" i="30"/>
  <c r="BC50" i="30"/>
  <c r="BD50" i="30"/>
  <c r="BE50" i="30"/>
  <c r="BF50" i="30"/>
  <c r="AP16" i="30"/>
  <c r="AQ16" i="30"/>
  <c r="AR16" i="30"/>
  <c r="AS16" i="30"/>
  <c r="AT16" i="30"/>
  <c r="AU16" i="30"/>
  <c r="AV16" i="30"/>
  <c r="AW16" i="30"/>
  <c r="AX16" i="30"/>
  <c r="AY16" i="30"/>
  <c r="AZ16" i="30"/>
  <c r="BA16" i="30"/>
  <c r="BB16" i="30"/>
  <c r="BC16" i="30"/>
  <c r="BD16" i="30"/>
  <c r="BE16" i="30"/>
  <c r="BF16" i="30"/>
  <c r="AP10" i="30"/>
  <c r="AQ10" i="30"/>
  <c r="AR10" i="30"/>
  <c r="AV10" i="30"/>
  <c r="AW10" i="30"/>
  <c r="AX10" i="30"/>
  <c r="AY10" i="30"/>
  <c r="AZ10" i="30"/>
  <c r="BA10" i="30"/>
  <c r="BB10" i="30"/>
  <c r="BC10" i="30"/>
  <c r="BD10" i="30"/>
  <c r="BE10" i="30"/>
  <c r="BF10" i="30"/>
  <c r="AP7" i="30"/>
  <c r="AQ7" i="30"/>
  <c r="AR7" i="30"/>
  <c r="AS7" i="30"/>
  <c r="AT7" i="30"/>
  <c r="AU7" i="30"/>
  <c r="AV7" i="30"/>
  <c r="AW7" i="30"/>
  <c r="AX7" i="30"/>
  <c r="AY7" i="30"/>
  <c r="AZ7" i="30"/>
  <c r="BA7" i="30"/>
  <c r="BB7" i="30"/>
  <c r="BC7" i="30"/>
  <c r="BD7" i="30"/>
  <c r="BE7" i="30"/>
  <c r="BF7" i="30"/>
  <c r="M39" i="50" l="1"/>
  <c r="M134" i="50"/>
  <c r="M128" i="50"/>
  <c r="M129" i="50"/>
  <c r="M130" i="50"/>
  <c r="M131" i="50"/>
  <c r="M132" i="50"/>
  <c r="M133" i="50"/>
  <c r="M135" i="50"/>
  <c r="M127" i="50"/>
  <c r="M120" i="50"/>
  <c r="M126" i="50"/>
  <c r="M121" i="50"/>
  <c r="M122" i="50"/>
  <c r="M123" i="50"/>
  <c r="M124" i="50"/>
  <c r="M125" i="50"/>
  <c r="M119" i="50"/>
  <c r="M118" i="50"/>
  <c r="M112" i="50"/>
  <c r="M117" i="50"/>
  <c r="M44" i="50"/>
  <c r="M116" i="50"/>
  <c r="M115" i="50"/>
  <c r="M114" i="50"/>
  <c r="M113" i="50"/>
  <c r="M105" i="50"/>
  <c r="M104" i="50"/>
  <c r="M103" i="50"/>
  <c r="M99" i="50"/>
  <c r="M108" i="50"/>
  <c r="M107" i="50"/>
  <c r="M106" i="50"/>
  <c r="M102" i="50"/>
  <c r="M101" i="50"/>
  <c r="M100" i="50"/>
  <c r="M95" i="50"/>
  <c r="M94" i="50"/>
  <c r="M93" i="50"/>
  <c r="M92" i="50"/>
  <c r="M91" i="50"/>
  <c r="M90" i="50"/>
  <c r="M89" i="50"/>
  <c r="M97" i="50"/>
  <c r="M98" i="50"/>
  <c r="M96" i="50"/>
  <c r="M84" i="50"/>
  <c r="M83" i="50"/>
  <c r="M82" i="50"/>
  <c r="M86" i="50"/>
  <c r="M87" i="50"/>
  <c r="M81" i="50"/>
  <c r="M80" i="50"/>
  <c r="M79" i="50"/>
  <c r="M85" i="50"/>
  <c r="M78" i="50"/>
  <c r="M73" i="50"/>
  <c r="M74" i="50"/>
  <c r="M75" i="50"/>
  <c r="M70" i="50"/>
  <c r="M69" i="50"/>
  <c r="M68" i="50"/>
  <c r="M67" i="50"/>
  <c r="M66" i="50"/>
  <c r="M65" i="50"/>
  <c r="M64" i="50"/>
  <c r="M63" i="50"/>
  <c r="M77" i="50"/>
  <c r="M72" i="50"/>
  <c r="M71" i="50"/>
  <c r="M56" i="50"/>
  <c r="M55" i="50"/>
  <c r="M62" i="50"/>
  <c r="M61" i="50"/>
  <c r="M60" i="50"/>
  <c r="M58" i="50"/>
  <c r="M57" i="50"/>
  <c r="M54" i="50"/>
  <c r="M46" i="50"/>
  <c r="M45" i="50"/>
  <c r="M47" i="50"/>
  <c r="M50" i="50"/>
  <c r="M52" i="50"/>
  <c r="M51" i="50"/>
  <c r="M49" i="50"/>
  <c r="M48" i="50"/>
  <c r="J36" i="50"/>
  <c r="I36" i="50"/>
  <c r="H36" i="50"/>
  <c r="K36" i="50" s="1"/>
  <c r="AC13" i="30"/>
  <c r="X181" i="30"/>
  <c r="AA37" i="30"/>
  <c r="AA39" i="30"/>
  <c r="AO39" i="30" s="1"/>
  <c r="AA38" i="30"/>
  <c r="AE45" i="30"/>
  <c r="G58" i="50" s="1"/>
  <c r="AE141" i="30"/>
  <c r="G128" i="50" s="1"/>
  <c r="AI38" i="30"/>
  <c r="AM63" i="30"/>
  <c r="AE107" i="30"/>
  <c r="G101" i="50" s="1"/>
  <c r="AE96" i="30"/>
  <c r="G91" i="50" s="1"/>
  <c r="AE105" i="30"/>
  <c r="G99" i="50" s="1"/>
  <c r="AE94" i="30"/>
  <c r="G89" i="50" s="1"/>
  <c r="AE142" i="30"/>
  <c r="G129" i="50" s="1"/>
  <c r="AE106" i="30"/>
  <c r="G100" i="50" s="1"/>
  <c r="AE95" i="30"/>
  <c r="G90" i="50" s="1"/>
  <c r="AE143" i="30"/>
  <c r="G130" i="50" s="1"/>
  <c r="AE108" i="30"/>
  <c r="G102" i="50" s="1"/>
  <c r="AE97" i="30"/>
  <c r="G92" i="50" s="1"/>
  <c r="AE101" i="30"/>
  <c r="G96" i="50" s="1"/>
  <c r="AE147" i="30"/>
  <c r="G134" i="50" s="1"/>
  <c r="AE112" i="30"/>
  <c r="G106" i="50" s="1"/>
  <c r="AE113" i="30"/>
  <c r="G107" i="50" s="1"/>
  <c r="AE102" i="30"/>
  <c r="G97" i="50" s="1"/>
  <c r="AE148" i="30"/>
  <c r="G135" i="50" s="1"/>
  <c r="AE103" i="30"/>
  <c r="G98" i="50" s="1"/>
  <c r="AE14" i="30"/>
  <c r="G37" i="50" s="1"/>
  <c r="AE114" i="30"/>
  <c r="G108" i="50" s="1"/>
  <c r="AE118" i="30"/>
  <c r="G111" i="50" s="1"/>
  <c r="AE117" i="30"/>
  <c r="G110" i="50" s="1"/>
  <c r="AE116" i="30"/>
  <c r="G109" i="50" s="1"/>
  <c r="AE111" i="30"/>
  <c r="G105" i="50" s="1"/>
  <c r="AE146" i="30"/>
  <c r="G133" i="50" s="1"/>
  <c r="AE100" i="30"/>
  <c r="G95" i="50" s="1"/>
  <c r="AE110" i="30"/>
  <c r="G104" i="50" s="1"/>
  <c r="AE99" i="30"/>
  <c r="G94" i="50" s="1"/>
  <c r="AE145" i="30"/>
  <c r="G132" i="50" s="1"/>
  <c r="AE109" i="30"/>
  <c r="G103" i="50" s="1"/>
  <c r="AE98" i="30"/>
  <c r="G93" i="50" s="1"/>
  <c r="AE144" i="30"/>
  <c r="G131" i="50" s="1"/>
  <c r="L73" i="42"/>
  <c r="L72" i="42"/>
  <c r="AA102" i="30" s="1"/>
  <c r="L71" i="42"/>
  <c r="AA101" i="30" s="1"/>
  <c r="L70" i="42"/>
  <c r="AA100" i="30" s="1"/>
  <c r="L69" i="42"/>
  <c r="AA99" i="30" s="1"/>
  <c r="L68" i="42"/>
  <c r="AA98" i="30" s="1"/>
  <c r="L67" i="42"/>
  <c r="AA97" i="30" s="1"/>
  <c r="L66" i="42"/>
  <c r="AA96" i="30" s="1"/>
  <c r="L65" i="42"/>
  <c r="AA95" i="30" s="1"/>
  <c r="L64" i="42"/>
  <c r="AA94" i="30" s="1"/>
  <c r="L111" i="42"/>
  <c r="L110" i="42"/>
  <c r="L109" i="42"/>
  <c r="L108" i="42"/>
  <c r="L107" i="42"/>
  <c r="AE120" i="30"/>
  <c r="G112" i="50" s="1"/>
  <c r="AN39" i="30"/>
  <c r="AM39" i="30"/>
  <c r="AE28" i="30"/>
  <c r="G46" i="50" s="1"/>
  <c r="AE33" i="30"/>
  <c r="G50" i="50" s="1"/>
  <c r="G17" i="42"/>
  <c r="L48" i="42"/>
  <c r="AA60" i="30" s="1"/>
  <c r="L61" i="42"/>
  <c r="AA79" i="30" s="1"/>
  <c r="L126" i="42"/>
  <c r="L125" i="42"/>
  <c r="L131" i="42"/>
  <c r="L130" i="42"/>
  <c r="L129" i="42"/>
  <c r="L128" i="42"/>
  <c r="L127" i="42"/>
  <c r="AE8" i="30"/>
  <c r="B14" i="44"/>
  <c r="B26" i="44"/>
  <c r="B40" i="44"/>
  <c r="D32" i="44"/>
  <c r="D20" i="44"/>
  <c r="E20" i="44" s="1"/>
  <c r="D26" i="44"/>
  <c r="E26" i="44" s="1"/>
  <c r="D25" i="44"/>
  <c r="E25" i="44" s="1"/>
  <c r="D22" i="44"/>
  <c r="E22" i="44" s="1"/>
  <c r="I39" i="45"/>
  <c r="I33" i="45"/>
  <c r="I32" i="45"/>
  <c r="Q181" i="30"/>
  <c r="N181" i="30"/>
  <c r="L17" i="42"/>
  <c r="L20" i="42"/>
  <c r="L19" i="42"/>
  <c r="L18" i="42"/>
  <c r="AA28" i="30" s="1"/>
  <c r="AE183" i="30"/>
  <c r="L41" i="42"/>
  <c r="AA193" i="30"/>
  <c r="AP158" i="30"/>
  <c r="AQ158" i="30"/>
  <c r="AR158" i="30"/>
  <c r="AS158" i="30"/>
  <c r="AT158" i="30"/>
  <c r="AU158" i="30"/>
  <c r="AV158" i="30"/>
  <c r="AW158" i="30"/>
  <c r="AX158" i="30"/>
  <c r="AY158" i="30"/>
  <c r="AZ158" i="30"/>
  <c r="BA158" i="30"/>
  <c r="BB158" i="30"/>
  <c r="BD158" i="30"/>
  <c r="BE158" i="30"/>
  <c r="BF158" i="30"/>
  <c r="AP156" i="30"/>
  <c r="AQ156" i="30"/>
  <c r="AR156" i="30"/>
  <c r="AS156" i="30"/>
  <c r="AT156" i="30"/>
  <c r="AU156" i="30"/>
  <c r="AV156" i="30"/>
  <c r="AW156" i="30"/>
  <c r="AX156" i="30"/>
  <c r="AY156" i="30"/>
  <c r="AZ156" i="30"/>
  <c r="BA156" i="30"/>
  <c r="BB156" i="30"/>
  <c r="BC156" i="30"/>
  <c r="BD156" i="30"/>
  <c r="BE156" i="30"/>
  <c r="BC158" i="30"/>
  <c r="BF156" i="30"/>
  <c r="AJ203" i="30"/>
  <c r="L132" i="42"/>
  <c r="AA310" i="30" s="1"/>
  <c r="AA298" i="30"/>
  <c r="AA296" i="30"/>
  <c r="AA220" i="30"/>
  <c r="AA53" i="30"/>
  <c r="AA295" i="30"/>
  <c r="AA297" i="30"/>
  <c r="AA294" i="30"/>
  <c r="AA148" i="30"/>
  <c r="AA146" i="30"/>
  <c r="AA308" i="30"/>
  <c r="AA147" i="30"/>
  <c r="AA309" i="30"/>
  <c r="AA307" i="30"/>
  <c r="AA145" i="30"/>
  <c r="AA306" i="30"/>
  <c r="AA144" i="30"/>
  <c r="AA143" i="30"/>
  <c r="AA305" i="30"/>
  <c r="AA304" i="30"/>
  <c r="AA142" i="30"/>
  <c r="AA303" i="30"/>
  <c r="AA141" i="30"/>
  <c r="I8" i="43"/>
  <c r="I22" i="43" s="1"/>
  <c r="I38" i="43" s="1"/>
  <c r="B8" i="43"/>
  <c r="B22" i="43" s="1"/>
  <c r="C8" i="43"/>
  <c r="C22" i="43" s="1"/>
  <c r="L96" i="42"/>
  <c r="J111" i="50" l="1"/>
  <c r="H111" i="50"/>
  <c r="I110" i="50"/>
  <c r="J110" i="50"/>
  <c r="H110" i="50"/>
  <c r="K110" i="50" s="1"/>
  <c r="H109" i="50"/>
  <c r="J109" i="50"/>
  <c r="L26" i="50" s="1"/>
  <c r="I109" i="50"/>
  <c r="B10" i="47"/>
  <c r="AB118" i="30"/>
  <c r="D53" i="47"/>
  <c r="D55" i="47"/>
  <c r="D54" i="47"/>
  <c r="AK39" i="30"/>
  <c r="AL39" i="30"/>
  <c r="AO38" i="30"/>
  <c r="AG38" i="30"/>
  <c r="AC116" i="30"/>
  <c r="BD137" i="30"/>
  <c r="B15" i="44"/>
  <c r="D14" i="44"/>
  <c r="E14" i="44" s="1"/>
  <c r="AA27" i="30"/>
  <c r="AA182" i="30"/>
  <c r="AA30" i="30"/>
  <c r="AA185" i="30"/>
  <c r="AA29" i="30"/>
  <c r="AA184" i="30"/>
  <c r="AA183" i="30"/>
  <c r="L15" i="42"/>
  <c r="AA180" i="30"/>
  <c r="B38" i="43"/>
  <c r="AA292" i="30"/>
  <c r="I39" i="43"/>
  <c r="I31" i="43"/>
  <c r="I32" i="43"/>
  <c r="I42" i="43"/>
  <c r="I33" i="43"/>
  <c r="B39" i="43"/>
  <c r="B42" i="43"/>
  <c r="H82" i="42"/>
  <c r="G83" i="42"/>
  <c r="H81" i="42"/>
  <c r="Q49" i="30"/>
  <c r="I62" i="50" s="1"/>
  <c r="J60" i="42"/>
  <c r="J52" i="42"/>
  <c r="J53" i="42"/>
  <c r="J54" i="42"/>
  <c r="G54" i="42" s="1"/>
  <c r="J55" i="42"/>
  <c r="J56" i="42"/>
  <c r="J57" i="42"/>
  <c r="H23" i="42"/>
  <c r="I75" i="42"/>
  <c r="G75" i="42" s="1"/>
  <c r="I77" i="42"/>
  <c r="G77" i="42" s="1"/>
  <c r="I78" i="42"/>
  <c r="G78" i="42" s="1"/>
  <c r="I79" i="42"/>
  <c r="G79" i="42" s="1"/>
  <c r="I80" i="42"/>
  <c r="G80" i="42" s="1"/>
  <c r="I76" i="42"/>
  <c r="G76" i="42" s="1"/>
  <c r="I57" i="42"/>
  <c r="I56" i="42"/>
  <c r="I55" i="42"/>
  <c r="I53" i="42"/>
  <c r="I52" i="42"/>
  <c r="I40" i="42"/>
  <c r="G40" i="42" s="1"/>
  <c r="I42" i="42"/>
  <c r="G42" i="42" s="1"/>
  <c r="I43" i="42"/>
  <c r="G43" i="42" s="1"/>
  <c r="I44" i="42"/>
  <c r="G44" i="42" s="1"/>
  <c r="I39" i="42"/>
  <c r="G39" i="42" s="1"/>
  <c r="I29" i="42"/>
  <c r="I30" i="42"/>
  <c r="I31" i="42"/>
  <c r="I114" i="42"/>
  <c r="G114" i="42" s="1"/>
  <c r="I113" i="42"/>
  <c r="G113" i="42" s="1"/>
  <c r="I112" i="42"/>
  <c r="G112" i="42" s="1"/>
  <c r="I59" i="42"/>
  <c r="I58" i="42"/>
  <c r="I32" i="42"/>
  <c r="I33" i="42"/>
  <c r="J26" i="50" l="1"/>
  <c r="K109" i="50"/>
  <c r="AN38" i="30"/>
  <c r="AL38" i="30"/>
  <c r="AM38" i="30"/>
  <c r="AK38" i="30"/>
  <c r="L114" i="42"/>
  <c r="L113" i="42"/>
  <c r="L112" i="42"/>
  <c r="L80" i="42"/>
  <c r="AA24" i="30"/>
  <c r="C70" i="47" s="1"/>
  <c r="D70" i="47" s="1"/>
  <c r="AA25" i="30"/>
  <c r="D15" i="44"/>
  <c r="E15" i="44" s="1"/>
  <c r="AG183" i="30"/>
  <c r="AH183" i="30" s="1"/>
  <c r="AI183" i="30"/>
  <c r="AJ183" i="30" s="1"/>
  <c r="L83" i="42"/>
  <c r="L54" i="42"/>
  <c r="L75" i="42"/>
  <c r="L77" i="42"/>
  <c r="L78" i="42"/>
  <c r="L79" i="42"/>
  <c r="L76" i="42"/>
  <c r="L40" i="42"/>
  <c r="L42" i="42"/>
  <c r="L43" i="42"/>
  <c r="L44" i="42"/>
  <c r="L39" i="42"/>
  <c r="G55" i="42"/>
  <c r="G56" i="42"/>
  <c r="AA299" i="30"/>
  <c r="AA300" i="30"/>
  <c r="AA108" i="30"/>
  <c r="AA275" i="30"/>
  <c r="AA113" i="30"/>
  <c r="AA280" i="30"/>
  <c r="AA301" i="30"/>
  <c r="AA219" i="30"/>
  <c r="AA52" i="30"/>
  <c r="AA273" i="30"/>
  <c r="AA106" i="30"/>
  <c r="AA221" i="30"/>
  <c r="AA54" i="30"/>
  <c r="AA276" i="30"/>
  <c r="AA109" i="30"/>
  <c r="G52" i="42"/>
  <c r="AA272" i="30"/>
  <c r="AA105" i="30"/>
  <c r="AA55" i="30"/>
  <c r="AA222" i="30"/>
  <c r="AA277" i="30"/>
  <c r="AA110" i="30"/>
  <c r="AA72" i="30"/>
  <c r="AA237" i="30"/>
  <c r="G53" i="42"/>
  <c r="AA274" i="30"/>
  <c r="AA107" i="30"/>
  <c r="AA51" i="30"/>
  <c r="AA218" i="30"/>
  <c r="AA223" i="30"/>
  <c r="AA56" i="30"/>
  <c r="G57" i="42"/>
  <c r="I44" i="43"/>
  <c r="I46" i="43"/>
  <c r="I45" i="43"/>
  <c r="I47" i="43"/>
  <c r="I36" i="43"/>
  <c r="G60" i="42"/>
  <c r="I82" i="42"/>
  <c r="G82" i="42" s="1"/>
  <c r="I81" i="42"/>
  <c r="G81" i="42" s="1"/>
  <c r="E70" i="47" l="1"/>
  <c r="C93" i="47"/>
  <c r="L55" i="42"/>
  <c r="L56" i="42"/>
  <c r="L52" i="42"/>
  <c r="L53" i="42"/>
  <c r="L57" i="42"/>
  <c r="L60" i="42"/>
  <c r="L82" i="42"/>
  <c r="L81" i="42"/>
  <c r="AA238" i="30"/>
  <c r="AA73" i="30"/>
  <c r="AA74" i="30"/>
  <c r="AA239" i="30"/>
  <c r="AA278" i="30"/>
  <c r="AA111" i="30"/>
  <c r="AA279" i="30"/>
  <c r="AA112" i="30"/>
  <c r="AA243" i="30"/>
  <c r="AA78" i="30"/>
  <c r="AA236" i="30"/>
  <c r="AA71" i="30"/>
  <c r="AA240" i="30"/>
  <c r="AA75" i="30"/>
  <c r="AA235" i="30"/>
  <c r="AA70" i="30"/>
  <c r="H47" i="42"/>
  <c r="H46" i="42"/>
  <c r="H45" i="42"/>
  <c r="N81" i="30" l="1"/>
  <c r="X49" i="30"/>
  <c r="J62" i="50" s="1"/>
  <c r="N49" i="30"/>
  <c r="H62" i="50" s="1"/>
  <c r="K62" i="50" s="1"/>
  <c r="K13" i="42"/>
  <c r="O13" i="42" s="1"/>
  <c r="K12" i="42"/>
  <c r="O12" i="42" s="1"/>
  <c r="K8" i="42"/>
  <c r="O8" i="42" s="1"/>
  <c r="K7" i="42"/>
  <c r="O7" i="42" s="1"/>
  <c r="K30" i="42"/>
  <c r="O30" i="42" s="1"/>
  <c r="K31" i="42"/>
  <c r="O31" i="42" s="1"/>
  <c r="K32" i="42"/>
  <c r="O32" i="42" s="1"/>
  <c r="K33" i="42"/>
  <c r="O33" i="42" s="1"/>
  <c r="K34" i="42"/>
  <c r="O34" i="42" s="1"/>
  <c r="K35" i="42"/>
  <c r="O35" i="42" s="1"/>
  <c r="K36" i="42"/>
  <c r="O36" i="42" s="1"/>
  <c r="K29" i="42"/>
  <c r="O29" i="42" s="1"/>
  <c r="K87" i="42"/>
  <c r="O87" i="42" s="1"/>
  <c r="K27" i="42"/>
  <c r="H4" i="42"/>
  <c r="J29" i="42"/>
  <c r="Q63" i="30"/>
  <c r="I74" i="50" s="1"/>
  <c r="K74" i="50" s="1"/>
  <c r="AC63" i="30" l="1"/>
  <c r="AI63" i="30"/>
  <c r="AO49" i="30"/>
  <c r="BG49" i="30" s="1"/>
  <c r="AD49" i="30"/>
  <c r="O27" i="42"/>
  <c r="H5" i="42"/>
  <c r="AN63" i="30" l="1"/>
  <c r="AL63" i="30"/>
  <c r="AO37" i="30"/>
  <c r="AO36" i="30" s="1"/>
  <c r="J35" i="42"/>
  <c r="G47" i="42" l="1"/>
  <c r="I45" i="42"/>
  <c r="G45" i="42" s="1"/>
  <c r="I46" i="42"/>
  <c r="G46" i="42" s="1"/>
  <c r="L47" i="42" l="1"/>
  <c r="L45" i="42"/>
  <c r="L46" i="42"/>
  <c r="AA58" i="30" s="1"/>
  <c r="AA224" i="30"/>
  <c r="AA57" i="30"/>
  <c r="AA226" i="30"/>
  <c r="AA59" i="30"/>
  <c r="H7" i="42"/>
  <c r="J90" i="42" l="1"/>
  <c r="J91" i="42"/>
  <c r="J92" i="42"/>
  <c r="J93" i="42"/>
  <c r="J94" i="42"/>
  <c r="J95" i="42"/>
  <c r="J89" i="42"/>
  <c r="J99" i="42"/>
  <c r="L99" i="42" s="1"/>
  <c r="J100" i="42"/>
  <c r="L100" i="42" s="1"/>
  <c r="J101" i="42"/>
  <c r="L101" i="42" s="1"/>
  <c r="J102" i="42"/>
  <c r="L102" i="42" s="1"/>
  <c r="J103" i="42"/>
  <c r="J104" i="42"/>
  <c r="J105" i="42"/>
  <c r="J98" i="42"/>
  <c r="L98" i="42" s="1"/>
  <c r="J59" i="42"/>
  <c r="G59" i="42" s="1"/>
  <c r="J58" i="42"/>
  <c r="G58" i="42" s="1"/>
  <c r="L90" i="42" l="1"/>
  <c r="L91" i="42"/>
  <c r="L92" i="42"/>
  <c r="L93" i="42"/>
  <c r="L89" i="42"/>
  <c r="AA120" i="30" s="1"/>
  <c r="L59" i="42"/>
  <c r="AA103" i="30" s="1"/>
  <c r="L58" i="42"/>
  <c r="AA76" i="30" s="1"/>
  <c r="AA287" i="30"/>
  <c r="AA285" i="30"/>
  <c r="AA241" i="30"/>
  <c r="AA286" i="30"/>
  <c r="AA242" i="30"/>
  <c r="AA77" i="30"/>
  <c r="L104" i="42"/>
  <c r="L103" i="42"/>
  <c r="AA289" i="30"/>
  <c r="AA288" i="30"/>
  <c r="L105" i="42"/>
  <c r="L95" i="42"/>
  <c r="L94" i="42"/>
  <c r="H25" i="42"/>
  <c r="I25" i="42"/>
  <c r="J13" i="42"/>
  <c r="I13" i="42"/>
  <c r="H13" i="42"/>
  <c r="G13" i="42" s="1"/>
  <c r="J12" i="42"/>
  <c r="I12" i="42"/>
  <c r="I8" i="42"/>
  <c r="I7" i="42"/>
  <c r="G25" i="42" l="1"/>
  <c r="AA121" i="30"/>
  <c r="AA122" i="30"/>
  <c r="AA123" i="30"/>
  <c r="AA124" i="30"/>
  <c r="AA125" i="30"/>
  <c r="AA126" i="30"/>
  <c r="AA127" i="30"/>
  <c r="AA290" i="30"/>
  <c r="AA291" i="30"/>
  <c r="L13" i="42"/>
  <c r="L25" i="42"/>
  <c r="J30" i="42"/>
  <c r="J31" i="42"/>
  <c r="J32" i="42"/>
  <c r="J33" i="42"/>
  <c r="J36" i="42"/>
  <c r="J34" i="42"/>
  <c r="AA35" i="30" l="1"/>
  <c r="AA190" i="30"/>
  <c r="I34" i="42"/>
  <c r="J10" i="42" l="1"/>
  <c r="G10" i="42" s="1"/>
  <c r="J7" i="42"/>
  <c r="G7" i="42" s="1"/>
  <c r="L7" i="42" s="1"/>
  <c r="J8" i="42"/>
  <c r="H8" i="42"/>
  <c r="G8" i="42" s="1"/>
  <c r="F8" i="42" s="1"/>
  <c r="B8" i="47" l="1"/>
  <c r="L10" i="42"/>
  <c r="B9" i="47" s="1"/>
  <c r="AA15" i="30"/>
  <c r="AA14" i="30"/>
  <c r="C69" i="47" s="1"/>
  <c r="D69" i="47" s="1"/>
  <c r="AA172" i="30"/>
  <c r="L8" i="42"/>
  <c r="AA12" i="30" s="1"/>
  <c r="H12" i="42"/>
  <c r="G12" i="42" s="1"/>
  <c r="B15" i="47" l="1"/>
  <c r="B18" i="47"/>
  <c r="B48" i="47" s="1"/>
  <c r="E69" i="47"/>
  <c r="E71" i="47" s="1"/>
  <c r="B93" i="47"/>
  <c r="AA177" i="30"/>
  <c r="AA169" i="30"/>
  <c r="AA170" i="30"/>
  <c r="AA178" i="30"/>
  <c r="AA22" i="30"/>
  <c r="AA21" i="30"/>
  <c r="AA11" i="30"/>
  <c r="J5" i="42"/>
  <c r="J4" i="42"/>
  <c r="I4" i="42"/>
  <c r="I5" i="42"/>
  <c r="I23" i="42"/>
  <c r="G23" i="42" s="1"/>
  <c r="I24" i="42"/>
  <c r="H24" i="42"/>
  <c r="G24" i="42" s="1"/>
  <c r="I22" i="42"/>
  <c r="H22" i="42"/>
  <c r="G22" i="42" s="1"/>
  <c r="B16" i="47" l="1"/>
  <c r="B17" i="47" s="1"/>
  <c r="B47" i="47"/>
  <c r="D95" i="47"/>
  <c r="G4" i="42"/>
  <c r="L4" i="42" s="1"/>
  <c r="G5" i="42"/>
  <c r="L23" i="42"/>
  <c r="L12" i="42"/>
  <c r="L24" i="42"/>
  <c r="AA189" i="30"/>
  <c r="AA34" i="30"/>
  <c r="L22" i="42"/>
  <c r="AA8" i="30"/>
  <c r="L5" i="42" l="1"/>
  <c r="AA188" i="30"/>
  <c r="AA33" i="30"/>
  <c r="AA166" i="30"/>
  <c r="AA167" i="30"/>
  <c r="AA9" i="30"/>
  <c r="AA187" i="30"/>
  <c r="AA32" i="30"/>
  <c r="T3" i="40"/>
  <c r="AF21" i="30" s="1"/>
  <c r="T4" i="40"/>
  <c r="AF43" i="30" s="1"/>
  <c r="T5" i="40"/>
  <c r="T6" i="40"/>
  <c r="T7" i="40"/>
  <c r="AF103" i="30" s="1"/>
  <c r="T8" i="40"/>
  <c r="AF45" i="30" s="1"/>
  <c r="T9" i="40"/>
  <c r="AF41" i="30" s="1"/>
  <c r="T10" i="40"/>
  <c r="AF46" i="30" s="1"/>
  <c r="T11" i="40"/>
  <c r="AF44" i="30" s="1"/>
  <c r="T12" i="40"/>
  <c r="T13" i="40"/>
  <c r="T14" i="40"/>
  <c r="T15" i="40"/>
  <c r="T16" i="40"/>
  <c r="T17" i="40"/>
  <c r="T18" i="40"/>
  <c r="AF47" i="30" s="1"/>
  <c r="T19" i="40"/>
  <c r="AF48" i="30" s="1"/>
  <c r="T20" i="40"/>
  <c r="T21" i="40"/>
  <c r="T22" i="40"/>
  <c r="AF114" i="30" s="1"/>
  <c r="T23" i="40"/>
  <c r="T24" i="40"/>
  <c r="AF216" i="30" s="1"/>
  <c r="AO216" i="30" s="1"/>
  <c r="BG216" i="30" s="1"/>
  <c r="T25" i="40"/>
  <c r="AF62" i="30" s="1"/>
  <c r="T26" i="40"/>
  <c r="T27" i="40"/>
  <c r="AF117" i="30" s="1"/>
  <c r="T28" i="40"/>
  <c r="AF66" i="30" s="1"/>
  <c r="T2" i="40"/>
  <c r="AF42" i="30" s="1"/>
  <c r="AE196" i="30"/>
  <c r="AE74" i="30"/>
  <c r="G82" i="50" s="1"/>
  <c r="AE55" i="30"/>
  <c r="G67" i="50" s="1"/>
  <c r="L29" i="41"/>
  <c r="K29" i="41"/>
  <c r="P29" i="41"/>
  <c r="J29" i="41"/>
  <c r="I29" i="41"/>
  <c r="H29" i="41"/>
  <c r="G29" i="41"/>
  <c r="E29" i="41"/>
  <c r="D29" i="41"/>
  <c r="AE81" i="30"/>
  <c r="G88" i="50" s="1"/>
  <c r="AE37" i="30"/>
  <c r="G53" i="50" s="1"/>
  <c r="D29" i="40"/>
  <c r="E29" i="40"/>
  <c r="F29" i="40"/>
  <c r="G29" i="40"/>
  <c r="H29" i="40"/>
  <c r="I29" i="40"/>
  <c r="J29" i="40"/>
  <c r="K29" i="40"/>
  <c r="L29" i="40"/>
  <c r="M29" i="40"/>
  <c r="N29" i="40"/>
  <c r="O29" i="40"/>
  <c r="P29" i="40"/>
  <c r="Q29" i="40"/>
  <c r="R29" i="40"/>
  <c r="S29" i="40"/>
  <c r="H88" i="50" l="1"/>
  <c r="I88" i="50"/>
  <c r="K23" i="50" s="1"/>
  <c r="J88" i="50"/>
  <c r="L23" i="50" s="1"/>
  <c r="J53" i="50"/>
  <c r="L16" i="50" s="1"/>
  <c r="I53" i="50"/>
  <c r="K16" i="50" s="1"/>
  <c r="H53" i="50"/>
  <c r="AF110" i="30"/>
  <c r="AF99" i="30"/>
  <c r="AF111" i="30"/>
  <c r="AF100" i="30"/>
  <c r="AF105" i="30"/>
  <c r="AF94" i="30"/>
  <c r="AF106" i="30"/>
  <c r="AF95" i="30"/>
  <c r="AF108" i="30"/>
  <c r="AF97" i="30"/>
  <c r="AF112" i="30"/>
  <c r="AF101" i="30"/>
  <c r="AF107" i="30"/>
  <c r="AF96" i="30"/>
  <c r="AF113" i="30"/>
  <c r="AF102" i="30"/>
  <c r="AF109" i="30"/>
  <c r="AF98" i="30"/>
  <c r="AG37" i="30"/>
  <c r="AO66" i="30"/>
  <c r="AD66" i="30"/>
  <c r="AD65" i="30" s="1"/>
  <c r="AB81" i="30"/>
  <c r="AB80" i="30" s="1"/>
  <c r="AC81" i="30"/>
  <c r="AC80" i="30" s="1"/>
  <c r="AJ37" i="30"/>
  <c r="AH37" i="30"/>
  <c r="AB13" i="30"/>
  <c r="AF88" i="30"/>
  <c r="AF29" i="30"/>
  <c r="AF241" i="30"/>
  <c r="AF27" i="30"/>
  <c r="AF219" i="30"/>
  <c r="AF86" i="30"/>
  <c r="AF90" i="30"/>
  <c r="AF30" i="30"/>
  <c r="AF243" i="30"/>
  <c r="AF25" i="30"/>
  <c r="AF15" i="30"/>
  <c r="AF24" i="30"/>
  <c r="AF14" i="30"/>
  <c r="AO62" i="30"/>
  <c r="BG66" i="30"/>
  <c r="BG65" i="30" s="1"/>
  <c r="AO65" i="30"/>
  <c r="AF28" i="30"/>
  <c r="AK37" i="30"/>
  <c r="AK36" i="30" s="1"/>
  <c r="AM37" i="30"/>
  <c r="AM36" i="30" s="1"/>
  <c r="AG81" i="30"/>
  <c r="AI81" i="30"/>
  <c r="AE15" i="30"/>
  <c r="G38" i="50" s="1"/>
  <c r="AE25" i="30"/>
  <c r="G43" i="50" s="1"/>
  <c r="AE202" i="30"/>
  <c r="AE201" i="30"/>
  <c r="AE30" i="30"/>
  <c r="G48" i="50" s="1"/>
  <c r="AE35" i="30"/>
  <c r="G52" i="50" s="1"/>
  <c r="AC49" i="30"/>
  <c r="AE198" i="30"/>
  <c r="AE200" i="30"/>
  <c r="AE195" i="30"/>
  <c r="AE32" i="30"/>
  <c r="G49" i="50" s="1"/>
  <c r="AE27" i="30"/>
  <c r="G45" i="50" s="1"/>
  <c r="AE34" i="30"/>
  <c r="G51" i="50" s="1"/>
  <c r="AE29" i="30"/>
  <c r="G47" i="50" s="1"/>
  <c r="AF32" i="30"/>
  <c r="AE185" i="30"/>
  <c r="AE199" i="30"/>
  <c r="AE182" i="30"/>
  <c r="AE197" i="30"/>
  <c r="AE184" i="30"/>
  <c r="AF116" i="30"/>
  <c r="AF283" i="30"/>
  <c r="AJ36" i="30"/>
  <c r="AE178" i="30"/>
  <c r="AE170" i="30"/>
  <c r="AE167" i="30"/>
  <c r="AE22" i="30"/>
  <c r="G40" i="50" s="1"/>
  <c r="AE177" i="30"/>
  <c r="AE169" i="30"/>
  <c r="AE166" i="30"/>
  <c r="AF23" i="30"/>
  <c r="AF179" i="30"/>
  <c r="AF171" i="30"/>
  <c r="AF35" i="30"/>
  <c r="AF277" i="30"/>
  <c r="AF244" i="30"/>
  <c r="AO244" i="30" s="1"/>
  <c r="BG244" i="30" s="1"/>
  <c r="AF227" i="30"/>
  <c r="AO227" i="30" s="1"/>
  <c r="BG227" i="30" s="1"/>
  <c r="AF60" i="30"/>
  <c r="AF12" i="30"/>
  <c r="AF170" i="30"/>
  <c r="AF167" i="30"/>
  <c r="AF178" i="30"/>
  <c r="AF89" i="30"/>
  <c r="AF299" i="30"/>
  <c r="AF58" i="30"/>
  <c r="AF141" i="30"/>
  <c r="BF137" i="30" s="1"/>
  <c r="AF85" i="30"/>
  <c r="AF213" i="30"/>
  <c r="AF297" i="30"/>
  <c r="AF188" i="30"/>
  <c r="AF208" i="30"/>
  <c r="AF54" i="30"/>
  <c r="AF296" i="30"/>
  <c r="AF70" i="30"/>
  <c r="AF303" i="30"/>
  <c r="AF229" i="30"/>
  <c r="AE204" i="30"/>
  <c r="AF148" i="30"/>
  <c r="AF301" i="30"/>
  <c r="AF298" i="30"/>
  <c r="AF189" i="30"/>
  <c r="AF209" i="30"/>
  <c r="AF71" i="30"/>
  <c r="AF91" i="30"/>
  <c r="AF304" i="30"/>
  <c r="AF218" i="30"/>
  <c r="AF214" i="30"/>
  <c r="AF210" i="30"/>
  <c r="AF177" i="30"/>
  <c r="AF169" i="30"/>
  <c r="AF166" i="30"/>
  <c r="AF57" i="30"/>
  <c r="AF305" i="30"/>
  <c r="AF212" i="30"/>
  <c r="AF9" i="30"/>
  <c r="AF59" i="30"/>
  <c r="AF307" i="30"/>
  <c r="AF220" i="30"/>
  <c r="AE171" i="30"/>
  <c r="AE179" i="30"/>
  <c r="AF84" i="30"/>
  <c r="AF295" i="30"/>
  <c r="AF207" i="30"/>
  <c r="AF72" i="30"/>
  <c r="AF308" i="30"/>
  <c r="AF22" i="30"/>
  <c r="AE227" i="30"/>
  <c r="AE180" i="30"/>
  <c r="AE60" i="30"/>
  <c r="G72" i="50" s="1"/>
  <c r="AE172" i="30"/>
  <c r="AE123" i="30"/>
  <c r="G115" i="50" s="1"/>
  <c r="AF242" i="30"/>
  <c r="AF190" i="30"/>
  <c r="AF300" i="30"/>
  <c r="AF272" i="30"/>
  <c r="AF211" i="30"/>
  <c r="AF294" i="30"/>
  <c r="AF187" i="30"/>
  <c r="AF34" i="30"/>
  <c r="AF75" i="30"/>
  <c r="AF274" i="30"/>
  <c r="AF310" i="30"/>
  <c r="AF309" i="30"/>
  <c r="AF73" i="30"/>
  <c r="AF273" i="30"/>
  <c r="AF74" i="30"/>
  <c r="AF270" i="30"/>
  <c r="AF221" i="30"/>
  <c r="AF79" i="30"/>
  <c r="AF275" i="30"/>
  <c r="AF142" i="30"/>
  <c r="AF231" i="30"/>
  <c r="AF222" i="30"/>
  <c r="AF81" i="30"/>
  <c r="AO81" i="30" s="1"/>
  <c r="BG81" i="30" s="1"/>
  <c r="AF76" i="30"/>
  <c r="AF276" i="30"/>
  <c r="AF143" i="30"/>
  <c r="AF235" i="30"/>
  <c r="AF223" i="30"/>
  <c r="AF92" i="30"/>
  <c r="AF51" i="30"/>
  <c r="AF77" i="30"/>
  <c r="AF144" i="30"/>
  <c r="AF236" i="30"/>
  <c r="AF224" i="30"/>
  <c r="AF52" i="30"/>
  <c r="AF78" i="30"/>
  <c r="AF278" i="30"/>
  <c r="AF145" i="30"/>
  <c r="AF237" i="30"/>
  <c r="AF225" i="30"/>
  <c r="AF53" i="30"/>
  <c r="AF83" i="30"/>
  <c r="AF279" i="30"/>
  <c r="AF146" i="30"/>
  <c r="AF238" i="30"/>
  <c r="AF226" i="30"/>
  <c r="AF281" i="30"/>
  <c r="AO281" i="30" s="1"/>
  <c r="BG281" i="30" s="1"/>
  <c r="AF55" i="30"/>
  <c r="AF280" i="30"/>
  <c r="AF147" i="30"/>
  <c r="AF239" i="30"/>
  <c r="AF11" i="30"/>
  <c r="AF8" i="30"/>
  <c r="AF56" i="30"/>
  <c r="AF240" i="30"/>
  <c r="AF13" i="30"/>
  <c r="AF87" i="30"/>
  <c r="AF33" i="30"/>
  <c r="AF306" i="30"/>
  <c r="AE289" i="30"/>
  <c r="AE277" i="30"/>
  <c r="AE240" i="30"/>
  <c r="AE223" i="30"/>
  <c r="AE124" i="30"/>
  <c r="G116" i="50" s="1"/>
  <c r="AE75" i="30"/>
  <c r="G83" i="50" s="1"/>
  <c r="AE56" i="30"/>
  <c r="G68" i="50" s="1"/>
  <c r="AE290" i="30"/>
  <c r="AE278" i="30"/>
  <c r="AE241" i="30"/>
  <c r="AE224" i="30"/>
  <c r="AE125" i="30"/>
  <c r="G117" i="50" s="1"/>
  <c r="AE76" i="30"/>
  <c r="G84" i="50" s="1"/>
  <c r="AE57" i="30"/>
  <c r="G69" i="50" s="1"/>
  <c r="AE285" i="30"/>
  <c r="AE272" i="30"/>
  <c r="AE235" i="30"/>
  <c r="AE218" i="30"/>
  <c r="AE70" i="30"/>
  <c r="G78" i="50" s="1"/>
  <c r="AE51" i="30"/>
  <c r="G63" i="50" s="1"/>
  <c r="AE286" i="30"/>
  <c r="AE273" i="30"/>
  <c r="AE236" i="30"/>
  <c r="AE219" i="30"/>
  <c r="AE121" i="30"/>
  <c r="G113" i="50" s="1"/>
  <c r="AE71" i="30"/>
  <c r="G79" i="50" s="1"/>
  <c r="AE52" i="30"/>
  <c r="G64" i="50" s="1"/>
  <c r="AE287" i="30"/>
  <c r="AE275" i="30"/>
  <c r="AE238" i="30"/>
  <c r="AE221" i="30"/>
  <c r="AE122" i="30"/>
  <c r="G114" i="50" s="1"/>
  <c r="AE73" i="30"/>
  <c r="G81" i="50" s="1"/>
  <c r="AE54" i="30"/>
  <c r="G66" i="50" s="1"/>
  <c r="AE12" i="30"/>
  <c r="G35" i="50" s="1"/>
  <c r="AE9" i="30"/>
  <c r="G34" i="50" s="1"/>
  <c r="AE23" i="30"/>
  <c r="G41" i="50" s="1"/>
  <c r="AE291" i="30"/>
  <c r="AE279" i="30"/>
  <c r="AE242" i="30"/>
  <c r="AE225" i="30"/>
  <c r="AE126" i="30"/>
  <c r="G118" i="50" s="1"/>
  <c r="AE77" i="30"/>
  <c r="G85" i="50" s="1"/>
  <c r="AE58" i="30"/>
  <c r="G70" i="50" s="1"/>
  <c r="AE274" i="30"/>
  <c r="AE237" i="30"/>
  <c r="AE220" i="30"/>
  <c r="AE72" i="30"/>
  <c r="G80" i="50" s="1"/>
  <c r="AE53" i="30"/>
  <c r="G65" i="50" s="1"/>
  <c r="AE292" i="30"/>
  <c r="AE280" i="30"/>
  <c r="AE243" i="30"/>
  <c r="AE226" i="30"/>
  <c r="AE127" i="30"/>
  <c r="G119" i="50" s="1"/>
  <c r="AE78" i="30"/>
  <c r="G86" i="50" s="1"/>
  <c r="AE59" i="30"/>
  <c r="G71" i="50" s="1"/>
  <c r="AE281" i="30"/>
  <c r="AE79" i="30"/>
  <c r="G87" i="50" s="1"/>
  <c r="AE244" i="30"/>
  <c r="AE193" i="30"/>
  <c r="AE62" i="30"/>
  <c r="G73" i="50" s="1"/>
  <c r="AE229" i="30"/>
  <c r="AE66" i="30"/>
  <c r="G76" i="50" s="1"/>
  <c r="AE231" i="30"/>
  <c r="AE11" i="30"/>
  <c r="AE288" i="30"/>
  <c r="AE276" i="30"/>
  <c r="AE239" i="30"/>
  <c r="AE222" i="30"/>
  <c r="J23" i="50" l="1"/>
  <c r="K88" i="50"/>
  <c r="K53" i="50"/>
  <c r="J16" i="50"/>
  <c r="J38" i="50"/>
  <c r="I38" i="50"/>
  <c r="H38" i="50"/>
  <c r="K38" i="50" s="1"/>
  <c r="J43" i="50"/>
  <c r="I43" i="50"/>
  <c r="H43" i="50"/>
  <c r="K43" i="50" s="1"/>
  <c r="J41" i="50"/>
  <c r="I41" i="50"/>
  <c r="H41" i="50"/>
  <c r="K41" i="50" s="1"/>
  <c r="J73" i="50"/>
  <c r="L19" i="50" s="1"/>
  <c r="I73" i="50"/>
  <c r="H73" i="50"/>
  <c r="H76" i="50"/>
  <c r="I76" i="50"/>
  <c r="K20" i="50" s="1"/>
  <c r="J76" i="50"/>
  <c r="L20" i="50" s="1"/>
  <c r="AE24" i="30"/>
  <c r="G42" i="50" s="1"/>
  <c r="AC23" i="30"/>
  <c r="AI281" i="30"/>
  <c r="AG62" i="30"/>
  <c r="AO25" i="30"/>
  <c r="BG25" i="30" s="1"/>
  <c r="AD25" i="30"/>
  <c r="AO15" i="30"/>
  <c r="BG15" i="30" s="1"/>
  <c r="AD15" i="30"/>
  <c r="AO23" i="30"/>
  <c r="BG23" i="30" s="1"/>
  <c r="AD23" i="30"/>
  <c r="AO13" i="30"/>
  <c r="AD13" i="30"/>
  <c r="AB117" i="30"/>
  <c r="AC117" i="30"/>
  <c r="AB15" i="30"/>
  <c r="AC15" i="30"/>
  <c r="AB25" i="30"/>
  <c r="AC25" i="30"/>
  <c r="AB62" i="30"/>
  <c r="AB61" i="30" s="1"/>
  <c r="AC62" i="30"/>
  <c r="AB66" i="30"/>
  <c r="AB65" i="30" s="1"/>
  <c r="AC66" i="30"/>
  <c r="AC65" i="30" s="1"/>
  <c r="AB116" i="30"/>
  <c r="AB49" i="30"/>
  <c r="AI23" i="30"/>
  <c r="AB23" i="30"/>
  <c r="BG62" i="30"/>
  <c r="AM81" i="30"/>
  <c r="AM80" i="30" s="1"/>
  <c r="AN81" i="30"/>
  <c r="AN80" i="30" s="1"/>
  <c r="AL37" i="30"/>
  <c r="AL36" i="30" s="1"/>
  <c r="AN37" i="30"/>
  <c r="AN36" i="30" s="1"/>
  <c r="AL23" i="30"/>
  <c r="AN23" i="30"/>
  <c r="AL81" i="30"/>
  <c r="AK81" i="30"/>
  <c r="AK80" i="30" s="1"/>
  <c r="AL80" i="30"/>
  <c r="BG13" i="30"/>
  <c r="AG80" i="30"/>
  <c r="AH81" i="30"/>
  <c r="AH80" i="30" s="1"/>
  <c r="AI80" i="30"/>
  <c r="AJ81" i="30"/>
  <c r="AJ80" i="30" s="1"/>
  <c r="AG15" i="30"/>
  <c r="AI15" i="30"/>
  <c r="AG25" i="30"/>
  <c r="AI25" i="30"/>
  <c r="AI49" i="30"/>
  <c r="AG49" i="30"/>
  <c r="AM49" i="30" s="1"/>
  <c r="AJ23" i="30"/>
  <c r="AG23" i="30"/>
  <c r="AI66" i="30"/>
  <c r="AL66" i="30" s="1"/>
  <c r="AL65" i="30" s="1"/>
  <c r="AG66" i="30"/>
  <c r="AI185" i="30"/>
  <c r="AJ185" i="30" s="1"/>
  <c r="AG185" i="30"/>
  <c r="AH185" i="30" s="1"/>
  <c r="AI182" i="30"/>
  <c r="AG182" i="30"/>
  <c r="AI184" i="30"/>
  <c r="AJ184" i="30" s="1"/>
  <c r="AG184" i="30"/>
  <c r="AH184" i="30" s="1"/>
  <c r="AI229" i="30"/>
  <c r="AG229" i="30"/>
  <c r="AI231" i="30"/>
  <c r="AG231" i="30"/>
  <c r="AG204" i="30"/>
  <c r="AI204" i="30"/>
  <c r="AJ204" i="30" s="1"/>
  <c r="AG227" i="30"/>
  <c r="AH227" i="30" s="1"/>
  <c r="AI227" i="30"/>
  <c r="AJ227" i="30" s="1"/>
  <c r="AG244" i="30"/>
  <c r="AH244" i="30" s="1"/>
  <c r="AI244" i="30"/>
  <c r="AJ244" i="30" s="1"/>
  <c r="AG193" i="30"/>
  <c r="AI193" i="30"/>
  <c r="AG171" i="30"/>
  <c r="AH171" i="30" s="1"/>
  <c r="AI171" i="30"/>
  <c r="AJ171" i="30" s="1"/>
  <c r="AG179" i="30"/>
  <c r="AH179" i="30" s="1"/>
  <c r="AI179" i="30"/>
  <c r="AJ179" i="30" s="1"/>
  <c r="AG180" i="30"/>
  <c r="AH180" i="30" s="1"/>
  <c r="AI180" i="30"/>
  <c r="AJ180" i="30" s="1"/>
  <c r="AG172" i="30"/>
  <c r="AI172" i="30"/>
  <c r="AI168" i="30" s="1"/>
  <c r="AI62" i="30"/>
  <c r="AG13" i="30"/>
  <c r="AI13" i="30"/>
  <c r="Q208" i="30"/>
  <c r="Q196" i="30"/>
  <c r="L88" i="50" l="1"/>
  <c r="M23" i="50"/>
  <c r="L53" i="50"/>
  <c r="M16" i="50"/>
  <c r="J19" i="50"/>
  <c r="K73" i="50"/>
  <c r="J20" i="50"/>
  <c r="K76" i="50"/>
  <c r="AM15" i="30"/>
  <c r="B89" i="47"/>
  <c r="B41" i="47"/>
  <c r="AM25" i="30"/>
  <c r="C89" i="47"/>
  <c r="AM23" i="30"/>
  <c r="C88" i="47"/>
  <c r="B88" i="47"/>
  <c r="B91" i="47" s="1"/>
  <c r="B92" i="47" s="1"/>
  <c r="B94" i="47" s="1"/>
  <c r="B39" i="47"/>
  <c r="AM13" i="30"/>
  <c r="AP62" i="30"/>
  <c r="AR62" i="30"/>
  <c r="AK66" i="30"/>
  <c r="AK65" i="30" s="1"/>
  <c r="AM66" i="30"/>
  <c r="AM65" i="30" s="1"/>
  <c r="AK62" i="30"/>
  <c r="AM62" i="30"/>
  <c r="AL15" i="30"/>
  <c r="AN15" i="30"/>
  <c r="AL25" i="30"/>
  <c r="AN25" i="30"/>
  <c r="AL49" i="30"/>
  <c r="AN49" i="30"/>
  <c r="AN66" i="30"/>
  <c r="AN65" i="30" s="1"/>
  <c r="AL62" i="30"/>
  <c r="AN62" i="30"/>
  <c r="AK13" i="30"/>
  <c r="AL13" i="30"/>
  <c r="AN13" i="30"/>
  <c r="AH15" i="30"/>
  <c r="AK15" i="30"/>
  <c r="AJ15" i="30"/>
  <c r="AK25" i="30"/>
  <c r="AH25" i="30"/>
  <c r="AJ25" i="30"/>
  <c r="AH49" i="30"/>
  <c r="AK49" i="30"/>
  <c r="AH23" i="30"/>
  <c r="AK23" i="30"/>
  <c r="AJ13" i="30"/>
  <c r="AH13" i="30"/>
  <c r="AI65" i="30"/>
  <c r="AJ66" i="30"/>
  <c r="AJ65" i="30" s="1"/>
  <c r="AH66" i="30"/>
  <c r="AH65" i="30" s="1"/>
  <c r="AG65" i="30"/>
  <c r="AJ62" i="30"/>
  <c r="AI61" i="30"/>
  <c r="AH62" i="30"/>
  <c r="AG61" i="30"/>
  <c r="AJ182" i="30"/>
  <c r="AJ181" i="30" s="1"/>
  <c r="AI181" i="30"/>
  <c r="AG181" i="30"/>
  <c r="AH182" i="30"/>
  <c r="AH181" i="30" s="1"/>
  <c r="AJ229" i="30"/>
  <c r="AJ228" i="30" s="1"/>
  <c r="AI228" i="30"/>
  <c r="AH229" i="30"/>
  <c r="AH228" i="30" s="1"/>
  <c r="AG228" i="30"/>
  <c r="AJ231" i="30"/>
  <c r="AJ230" i="30" s="1"/>
  <c r="AI230" i="30"/>
  <c r="AH231" i="30"/>
  <c r="AH230" i="30" s="1"/>
  <c r="AG230" i="30"/>
  <c r="AH204" i="30"/>
  <c r="AH172" i="30"/>
  <c r="AH168" i="30" s="1"/>
  <c r="AJ172" i="30"/>
  <c r="AJ168" i="30" s="1"/>
  <c r="AG192" i="30"/>
  <c r="AH193" i="30"/>
  <c r="AH192" i="30" s="1"/>
  <c r="AI192" i="30"/>
  <c r="AJ193" i="30"/>
  <c r="AJ192" i="30" s="1"/>
  <c r="AJ49" i="30"/>
  <c r="W193" i="30"/>
  <c r="R193" i="30"/>
  <c r="AA82" i="30"/>
  <c r="O302" i="30"/>
  <c r="P302" i="30"/>
  <c r="R302" i="30"/>
  <c r="S302" i="30"/>
  <c r="T302" i="30"/>
  <c r="U302" i="30"/>
  <c r="V302" i="30"/>
  <c r="W302" i="30"/>
  <c r="X310" i="30"/>
  <c r="Q310" i="30"/>
  <c r="N310" i="30"/>
  <c r="X309" i="30"/>
  <c r="Q309" i="30"/>
  <c r="N309" i="30"/>
  <c r="X308" i="30"/>
  <c r="Q308" i="30"/>
  <c r="N308" i="30"/>
  <c r="X307" i="30"/>
  <c r="Q307" i="30"/>
  <c r="N307" i="30"/>
  <c r="X306" i="30"/>
  <c r="Q306" i="30"/>
  <c r="N306" i="30"/>
  <c r="X305" i="30"/>
  <c r="Q305" i="30"/>
  <c r="N305" i="30"/>
  <c r="X304" i="30"/>
  <c r="Q304" i="30"/>
  <c r="N304" i="30"/>
  <c r="X303" i="30"/>
  <c r="Q303" i="30"/>
  <c r="N303" i="30"/>
  <c r="O293" i="30"/>
  <c r="P293" i="30"/>
  <c r="R293" i="30"/>
  <c r="S293" i="30"/>
  <c r="T293" i="30"/>
  <c r="U293" i="30"/>
  <c r="V293" i="30"/>
  <c r="W293" i="30"/>
  <c r="X301" i="30"/>
  <c r="Q301" i="30"/>
  <c r="N301" i="30"/>
  <c r="X300" i="30"/>
  <c r="Q300" i="30"/>
  <c r="N300" i="30"/>
  <c r="X299" i="30"/>
  <c r="Q299" i="30"/>
  <c r="N299" i="30"/>
  <c r="X298" i="30"/>
  <c r="Q298" i="30"/>
  <c r="N298" i="30"/>
  <c r="X297" i="30"/>
  <c r="Q297" i="30"/>
  <c r="N297" i="30"/>
  <c r="X296" i="30"/>
  <c r="Q296" i="30"/>
  <c r="N296" i="30"/>
  <c r="X295" i="30"/>
  <c r="Q295" i="30"/>
  <c r="N295" i="30"/>
  <c r="X294" i="30"/>
  <c r="Q294" i="30"/>
  <c r="N294" i="30"/>
  <c r="O284" i="30"/>
  <c r="P284" i="30"/>
  <c r="R284" i="30"/>
  <c r="S284" i="30"/>
  <c r="T284" i="30"/>
  <c r="U284" i="30"/>
  <c r="V284" i="30"/>
  <c r="W284" i="30"/>
  <c r="X292" i="30"/>
  <c r="Q292" i="30"/>
  <c r="N292" i="30"/>
  <c r="X291" i="30"/>
  <c r="Q291" i="30"/>
  <c r="N291" i="30"/>
  <c r="X290" i="30"/>
  <c r="Q290" i="30"/>
  <c r="N290" i="30"/>
  <c r="X289" i="30"/>
  <c r="Q289" i="30"/>
  <c r="N289" i="30"/>
  <c r="X288" i="30"/>
  <c r="Q288" i="30"/>
  <c r="N288" i="30"/>
  <c r="X287" i="30"/>
  <c r="Q287" i="30"/>
  <c r="N287" i="30"/>
  <c r="X286" i="30"/>
  <c r="Q286" i="30"/>
  <c r="N286" i="30"/>
  <c r="X285" i="30"/>
  <c r="Q285" i="30"/>
  <c r="N285" i="30"/>
  <c r="O271" i="30"/>
  <c r="P271" i="30"/>
  <c r="R271" i="30"/>
  <c r="S271" i="30"/>
  <c r="T271" i="30"/>
  <c r="U271" i="30"/>
  <c r="V271" i="30"/>
  <c r="W271" i="30"/>
  <c r="X280" i="30"/>
  <c r="Q280" i="30"/>
  <c r="N280" i="30"/>
  <c r="X279" i="30"/>
  <c r="Q279" i="30"/>
  <c r="N279" i="30"/>
  <c r="X278" i="30"/>
  <c r="Q278" i="30"/>
  <c r="N278" i="30"/>
  <c r="X277" i="30"/>
  <c r="Q277" i="30"/>
  <c r="N277" i="30"/>
  <c r="X276" i="30"/>
  <c r="Q276" i="30"/>
  <c r="N276" i="30"/>
  <c r="X275" i="30"/>
  <c r="Q275" i="30"/>
  <c r="N275" i="30"/>
  <c r="X274" i="30"/>
  <c r="Q274" i="30"/>
  <c r="N274" i="30"/>
  <c r="X273" i="30"/>
  <c r="Q273" i="30"/>
  <c r="N273" i="30"/>
  <c r="X272" i="30"/>
  <c r="Q272" i="30"/>
  <c r="N272" i="30"/>
  <c r="X267" i="30"/>
  <c r="Q267" i="30"/>
  <c r="N267" i="30"/>
  <c r="X266" i="30"/>
  <c r="Q266" i="30"/>
  <c r="N266" i="30"/>
  <c r="X265" i="30"/>
  <c r="Q265" i="30"/>
  <c r="N265" i="30"/>
  <c r="X264" i="30"/>
  <c r="Q264" i="30"/>
  <c r="N264" i="30"/>
  <c r="X263" i="30"/>
  <c r="Q263" i="30"/>
  <c r="N263" i="30"/>
  <c r="X262" i="30"/>
  <c r="Q262" i="30"/>
  <c r="N262" i="30"/>
  <c r="X261" i="30"/>
  <c r="Q261" i="30"/>
  <c r="N261" i="30"/>
  <c r="X260" i="30"/>
  <c r="Q260" i="30"/>
  <c r="N260" i="30"/>
  <c r="X259" i="30"/>
  <c r="Q259" i="30"/>
  <c r="N259" i="30"/>
  <c r="O245" i="30"/>
  <c r="P245" i="30"/>
  <c r="R245" i="30"/>
  <c r="S245" i="30"/>
  <c r="T245" i="30"/>
  <c r="U245" i="30"/>
  <c r="V245" i="30"/>
  <c r="W245" i="30"/>
  <c r="X254" i="30"/>
  <c r="Q254" i="30"/>
  <c r="N254" i="30"/>
  <c r="X253" i="30"/>
  <c r="Q253" i="30"/>
  <c r="N253" i="30"/>
  <c r="X252" i="30"/>
  <c r="Q252" i="30"/>
  <c r="N252" i="30"/>
  <c r="X251" i="30"/>
  <c r="Q251" i="30"/>
  <c r="N251" i="30"/>
  <c r="X250" i="30"/>
  <c r="Q250" i="30"/>
  <c r="N250" i="30"/>
  <c r="X249" i="30"/>
  <c r="Q249" i="30"/>
  <c r="N249" i="30"/>
  <c r="X248" i="30"/>
  <c r="Q248" i="30"/>
  <c r="N248" i="30"/>
  <c r="X247" i="30"/>
  <c r="Q247" i="30"/>
  <c r="N247" i="30"/>
  <c r="X246" i="30"/>
  <c r="Q246" i="30"/>
  <c r="N246" i="30"/>
  <c r="X238" i="30"/>
  <c r="Q238" i="30"/>
  <c r="N238" i="30"/>
  <c r="X221" i="30"/>
  <c r="Q221" i="30"/>
  <c r="N221" i="30"/>
  <c r="O234" i="30"/>
  <c r="P234" i="30"/>
  <c r="R234" i="30"/>
  <c r="S234" i="30"/>
  <c r="T234" i="30"/>
  <c r="U234" i="30"/>
  <c r="V234" i="30"/>
  <c r="W234" i="30"/>
  <c r="X240" i="30"/>
  <c r="Q240" i="30"/>
  <c r="N240" i="30"/>
  <c r="X239" i="30"/>
  <c r="Q239" i="30"/>
  <c r="N239" i="30"/>
  <c r="X241" i="30"/>
  <c r="Q241" i="30"/>
  <c r="N241" i="30"/>
  <c r="N224" i="30"/>
  <c r="X224" i="30"/>
  <c r="Q224" i="30"/>
  <c r="X242" i="30"/>
  <c r="Q242" i="30"/>
  <c r="N242" i="30"/>
  <c r="X243" i="30"/>
  <c r="Q243" i="30"/>
  <c r="N243" i="30"/>
  <c r="X226" i="30"/>
  <c r="Q226" i="30"/>
  <c r="N226" i="30"/>
  <c r="X237" i="30"/>
  <c r="Q237" i="30"/>
  <c r="N237" i="30"/>
  <c r="X236" i="30"/>
  <c r="Q236" i="30"/>
  <c r="N236" i="30"/>
  <c r="X235" i="30"/>
  <c r="Q235" i="30"/>
  <c r="N235" i="30"/>
  <c r="O217" i="30"/>
  <c r="P217" i="30"/>
  <c r="R217" i="30"/>
  <c r="S217" i="30"/>
  <c r="T217" i="30"/>
  <c r="U217" i="30"/>
  <c r="V217" i="30"/>
  <c r="W217" i="30"/>
  <c r="X225" i="30"/>
  <c r="Q225" i="30"/>
  <c r="N225" i="30"/>
  <c r="X223" i="30"/>
  <c r="Q223" i="30"/>
  <c r="N223" i="30"/>
  <c r="X222" i="30"/>
  <c r="Q222" i="30"/>
  <c r="N222" i="30"/>
  <c r="X220" i="30"/>
  <c r="Q220" i="30"/>
  <c r="N220" i="30"/>
  <c r="X219" i="30"/>
  <c r="Q219" i="30"/>
  <c r="N219" i="30"/>
  <c r="X218" i="30"/>
  <c r="Q218" i="30"/>
  <c r="N218" i="30"/>
  <c r="R206" i="30"/>
  <c r="S206" i="30"/>
  <c r="T206" i="30"/>
  <c r="T311" i="30" s="1"/>
  <c r="U206" i="30"/>
  <c r="V206" i="30"/>
  <c r="W206" i="30"/>
  <c r="X214" i="30"/>
  <c r="Q214" i="30"/>
  <c r="N214" i="30"/>
  <c r="X213" i="30"/>
  <c r="Q213" i="30"/>
  <c r="N213" i="30"/>
  <c r="X212" i="30"/>
  <c r="Q212" i="30"/>
  <c r="N212" i="30"/>
  <c r="X211" i="30"/>
  <c r="Q211" i="30"/>
  <c r="N211" i="30"/>
  <c r="X210" i="30"/>
  <c r="Q210" i="30"/>
  <c r="N210" i="30"/>
  <c r="X209" i="30"/>
  <c r="Q209" i="30"/>
  <c r="N209" i="30"/>
  <c r="X208" i="30"/>
  <c r="N208" i="30"/>
  <c r="X207" i="30"/>
  <c r="Q207" i="30"/>
  <c r="N207" i="30"/>
  <c r="X202" i="30"/>
  <c r="Q202" i="30"/>
  <c r="N202" i="30"/>
  <c r="N201" i="30"/>
  <c r="Q201" i="30"/>
  <c r="X201" i="30"/>
  <c r="X200" i="30"/>
  <c r="Q200" i="30"/>
  <c r="N200" i="30"/>
  <c r="N199" i="30"/>
  <c r="N198" i="30"/>
  <c r="Q198" i="30"/>
  <c r="X198" i="30"/>
  <c r="X195" i="30"/>
  <c r="Q195" i="30"/>
  <c r="N195" i="30"/>
  <c r="X197" i="30"/>
  <c r="Q197" i="30"/>
  <c r="N197" i="30"/>
  <c r="X196" i="30"/>
  <c r="X199" i="30"/>
  <c r="Q199" i="30"/>
  <c r="X187" i="30"/>
  <c r="X188" i="30"/>
  <c r="Q188" i="30"/>
  <c r="X189" i="30"/>
  <c r="Q189" i="30"/>
  <c r="Q190" i="30"/>
  <c r="X190" i="30"/>
  <c r="Q187" i="30"/>
  <c r="N196" i="30"/>
  <c r="N190" i="30"/>
  <c r="N189" i="30"/>
  <c r="N188" i="30"/>
  <c r="N187" i="30"/>
  <c r="X178" i="30"/>
  <c r="Q178" i="30"/>
  <c r="N178" i="30"/>
  <c r="X177" i="30"/>
  <c r="Q177" i="30"/>
  <c r="N177" i="30"/>
  <c r="X170" i="30"/>
  <c r="X169" i="30"/>
  <c r="Q170" i="30"/>
  <c r="Q167" i="30"/>
  <c r="Q166" i="30"/>
  <c r="Q169" i="30"/>
  <c r="N170" i="30"/>
  <c r="N169" i="30"/>
  <c r="W21" i="30"/>
  <c r="W16" i="30" s="1"/>
  <c r="AE82" i="30"/>
  <c r="AT82" i="30"/>
  <c r="O50" i="30"/>
  <c r="P50" i="30"/>
  <c r="R50" i="30"/>
  <c r="S50" i="30"/>
  <c r="T50" i="30"/>
  <c r="U50" i="30"/>
  <c r="V50" i="30"/>
  <c r="W50" i="30"/>
  <c r="L76" i="50" l="1"/>
  <c r="M20" i="50"/>
  <c r="AO310" i="30"/>
  <c r="BG310" i="30" s="1"/>
  <c r="AO309" i="30"/>
  <c r="BG309" i="30" s="1"/>
  <c r="AO308" i="30"/>
  <c r="BG308" i="30" s="1"/>
  <c r="AO307" i="30"/>
  <c r="BG307" i="30" s="1"/>
  <c r="AO306" i="30"/>
  <c r="BG306" i="30" s="1"/>
  <c r="AO305" i="30"/>
  <c r="BG305" i="30" s="1"/>
  <c r="AO304" i="30"/>
  <c r="BG304" i="30" s="1"/>
  <c r="AO303" i="30"/>
  <c r="BG303" i="30" s="1"/>
  <c r="AO301" i="30"/>
  <c r="BG301" i="30" s="1"/>
  <c r="AO300" i="30"/>
  <c r="BG300" i="30" s="1"/>
  <c r="AO299" i="30"/>
  <c r="BG299" i="30" s="1"/>
  <c r="AO298" i="30"/>
  <c r="BG298" i="30" s="1"/>
  <c r="AO297" i="30"/>
  <c r="BG297" i="30" s="1"/>
  <c r="AO296" i="30"/>
  <c r="BG296" i="30" s="1"/>
  <c r="AO295" i="30"/>
  <c r="BG295" i="30" s="1"/>
  <c r="AO294" i="30"/>
  <c r="AG292" i="30"/>
  <c r="AH292" i="30" s="1"/>
  <c r="AG291" i="30"/>
  <c r="AH291" i="30" s="1"/>
  <c r="AG290" i="30"/>
  <c r="AH290" i="30" s="1"/>
  <c r="AG289" i="30"/>
  <c r="AH289" i="30" s="1"/>
  <c r="AG288" i="30"/>
  <c r="AH288" i="30" s="1"/>
  <c r="AG287" i="30"/>
  <c r="AH287" i="30" s="1"/>
  <c r="AG286" i="30"/>
  <c r="AH286" i="30" s="1"/>
  <c r="AG285" i="30"/>
  <c r="AO280" i="30"/>
  <c r="BG280" i="30" s="1"/>
  <c r="AI280" i="30"/>
  <c r="AG280" i="30"/>
  <c r="AO279" i="30"/>
  <c r="BG279" i="30" s="1"/>
  <c r="AI279" i="30"/>
  <c r="AJ279" i="30" s="1"/>
  <c r="AG279" i="30"/>
  <c r="AH279" i="30" s="1"/>
  <c r="AO278" i="30"/>
  <c r="BG278" i="30" s="1"/>
  <c r="AI278" i="30"/>
  <c r="AJ278" i="30" s="1"/>
  <c r="AG278" i="30"/>
  <c r="AH278" i="30" s="1"/>
  <c r="AO277" i="30"/>
  <c r="BG277" i="30" s="1"/>
  <c r="AI277" i="30"/>
  <c r="AJ277" i="30" s="1"/>
  <c r="AG277" i="30"/>
  <c r="AH277" i="30" s="1"/>
  <c r="AO276" i="30"/>
  <c r="BG276" i="30" s="1"/>
  <c r="AI276" i="30"/>
  <c r="AJ276" i="30" s="1"/>
  <c r="AG276" i="30"/>
  <c r="AH276" i="30" s="1"/>
  <c r="AO275" i="30"/>
  <c r="BG275" i="30" s="1"/>
  <c r="AI275" i="30"/>
  <c r="AJ275" i="30" s="1"/>
  <c r="AG275" i="30"/>
  <c r="AH275" i="30" s="1"/>
  <c r="AO274" i="30"/>
  <c r="BG274" i="30" s="1"/>
  <c r="AI274" i="30"/>
  <c r="AJ274" i="30" s="1"/>
  <c r="AG274" i="30"/>
  <c r="AH274" i="30" s="1"/>
  <c r="AO273" i="30"/>
  <c r="BG273" i="30" s="1"/>
  <c r="AI273" i="30"/>
  <c r="AJ273" i="30" s="1"/>
  <c r="AG273" i="30"/>
  <c r="AH273" i="30" s="1"/>
  <c r="AI272" i="30"/>
  <c r="AO238" i="30"/>
  <c r="BG238" i="30" s="1"/>
  <c r="AG238" i="30"/>
  <c r="AH238" i="30" s="1"/>
  <c r="AO221" i="30"/>
  <c r="BG221" i="30" s="1"/>
  <c r="AG221" i="30"/>
  <c r="AH221" i="30" s="1"/>
  <c r="AO240" i="30"/>
  <c r="BG240" i="30" s="1"/>
  <c r="AG240" i="30"/>
  <c r="AH240" i="30" s="1"/>
  <c r="AO239" i="30"/>
  <c r="BG239" i="30" s="1"/>
  <c r="AG239" i="30"/>
  <c r="AH239" i="30" s="1"/>
  <c r="AO241" i="30"/>
  <c r="BG241" i="30" s="1"/>
  <c r="AG241" i="30"/>
  <c r="AH241" i="30" s="1"/>
  <c r="AG224" i="30"/>
  <c r="AH224" i="30" s="1"/>
  <c r="AO224" i="30"/>
  <c r="BG224" i="30" s="1"/>
  <c r="AO242" i="30"/>
  <c r="BG242" i="30" s="1"/>
  <c r="AG242" i="30"/>
  <c r="AH242" i="30" s="1"/>
  <c r="AO243" i="30"/>
  <c r="BG243" i="30" s="1"/>
  <c r="AG243" i="30"/>
  <c r="AH243" i="30" s="1"/>
  <c r="AO226" i="30"/>
  <c r="BG226" i="30" s="1"/>
  <c r="AG226" i="30"/>
  <c r="AH226" i="30" s="1"/>
  <c r="AO237" i="30"/>
  <c r="BG237" i="30" s="1"/>
  <c r="AG237" i="30"/>
  <c r="AH237" i="30" s="1"/>
  <c r="AO236" i="30"/>
  <c r="BG236" i="30" s="1"/>
  <c r="AG236" i="30"/>
  <c r="AH236" i="30" s="1"/>
  <c r="AO235" i="30"/>
  <c r="AG235" i="30"/>
  <c r="AO225" i="30"/>
  <c r="BG225" i="30" s="1"/>
  <c r="AG225" i="30"/>
  <c r="AH225" i="30" s="1"/>
  <c r="AO223" i="30"/>
  <c r="BG223" i="30" s="1"/>
  <c r="AG223" i="30"/>
  <c r="AH223" i="30" s="1"/>
  <c r="AO222" i="30"/>
  <c r="BG222" i="30" s="1"/>
  <c r="AG222" i="30"/>
  <c r="AH222" i="30" s="1"/>
  <c r="AO220" i="30"/>
  <c r="BG220" i="30" s="1"/>
  <c r="AG220" i="30"/>
  <c r="AH220" i="30" s="1"/>
  <c r="AO219" i="30"/>
  <c r="BG219" i="30" s="1"/>
  <c r="AG219" i="30"/>
  <c r="AH219" i="30" s="1"/>
  <c r="AO218" i="30"/>
  <c r="AG218" i="30"/>
  <c r="AG217" i="30" s="1"/>
  <c r="AG316" i="30" s="1"/>
  <c r="B7" i="46" s="1"/>
  <c r="AO187" i="30"/>
  <c r="AO188" i="30"/>
  <c r="BG188" i="30" s="1"/>
  <c r="AO189" i="30"/>
  <c r="BG189" i="30" s="1"/>
  <c r="AO190" i="30"/>
  <c r="BG190" i="30" s="1"/>
  <c r="Q186" i="30"/>
  <c r="AI178" i="30"/>
  <c r="AJ178" i="30" s="1"/>
  <c r="AG178" i="30"/>
  <c r="AH178" i="30" s="1"/>
  <c r="X173" i="30"/>
  <c r="X168" i="30"/>
  <c r="AI170" i="30"/>
  <c r="AJ170" i="30" s="1"/>
  <c r="AI167" i="30"/>
  <c r="AJ167" i="30" s="1"/>
  <c r="Q168" i="30"/>
  <c r="AG170" i="30"/>
  <c r="AH170" i="30" s="1"/>
  <c r="AK61" i="30"/>
  <c r="AY62" i="30"/>
  <c r="AT62" i="30"/>
  <c r="BC62" i="30" s="1"/>
  <c r="AM61" i="30"/>
  <c r="BA62" i="30"/>
  <c r="AL61" i="30"/>
  <c r="AW62" i="30"/>
  <c r="AN61" i="30"/>
  <c r="AJ61" i="30"/>
  <c r="AU62" i="30"/>
  <c r="BF62" i="30" s="1"/>
  <c r="AX62" i="30"/>
  <c r="AH61" i="30"/>
  <c r="AV62" i="30"/>
  <c r="AQ62" i="30"/>
  <c r="AS62" i="30"/>
  <c r="BD62" i="30" s="1"/>
  <c r="AI292" i="30"/>
  <c r="AJ292" i="30" s="1"/>
  <c r="AI291" i="30"/>
  <c r="AJ291" i="30" s="1"/>
  <c r="AI290" i="30"/>
  <c r="AJ290" i="30" s="1"/>
  <c r="AI289" i="30"/>
  <c r="AJ289" i="30" s="1"/>
  <c r="AI288" i="30"/>
  <c r="AJ288" i="30" s="1"/>
  <c r="AI287" i="30"/>
  <c r="AI286" i="30"/>
  <c r="AJ286" i="30" s="1"/>
  <c r="AI285" i="30"/>
  <c r="AI238" i="30"/>
  <c r="AJ238" i="30" s="1"/>
  <c r="AI221" i="30"/>
  <c r="AJ221" i="30" s="1"/>
  <c r="AI240" i="30"/>
  <c r="AJ240" i="30" s="1"/>
  <c r="AI239" i="30"/>
  <c r="AJ239" i="30" s="1"/>
  <c r="AI241" i="30"/>
  <c r="AJ241" i="30" s="1"/>
  <c r="AI224" i="30"/>
  <c r="AJ224" i="30" s="1"/>
  <c r="AI242" i="30"/>
  <c r="AJ242" i="30" s="1"/>
  <c r="AI243" i="30"/>
  <c r="AJ243" i="30" s="1"/>
  <c r="AI226" i="30"/>
  <c r="AJ226" i="30" s="1"/>
  <c r="AI237" i="30"/>
  <c r="AJ237" i="30" s="1"/>
  <c r="AI236" i="30"/>
  <c r="AJ236" i="30" s="1"/>
  <c r="AI235" i="30"/>
  <c r="AI225" i="30"/>
  <c r="AJ225" i="30" s="1"/>
  <c r="AI223" i="30"/>
  <c r="AJ223" i="30" s="1"/>
  <c r="AI222" i="30"/>
  <c r="AJ222" i="30" s="1"/>
  <c r="AI220" i="30"/>
  <c r="AJ220" i="30" s="1"/>
  <c r="AI219" i="30"/>
  <c r="AJ219" i="30" s="1"/>
  <c r="AI218" i="30"/>
  <c r="AI177" i="30"/>
  <c r="AI173" i="30" s="1"/>
  <c r="AI315" i="30" s="1"/>
  <c r="G6" i="46" s="1"/>
  <c r="Q173" i="30"/>
  <c r="AG177" i="30"/>
  <c r="AG173" i="30" s="1"/>
  <c r="AG315" i="30" s="1"/>
  <c r="B6" i="46" s="1"/>
  <c r="N173" i="30"/>
  <c r="AI166" i="30"/>
  <c r="Q165" i="30"/>
  <c r="AG169" i="30"/>
  <c r="AG168" i="30" s="1"/>
  <c r="N168" i="30"/>
  <c r="W311" i="30"/>
  <c r="R311" i="30"/>
  <c r="AJ280" i="30"/>
  <c r="AH280" i="30"/>
  <c r="AJ272" i="30"/>
  <c r="AJ271" i="30" s="1"/>
  <c r="AI271" i="30"/>
  <c r="AJ235" i="30"/>
  <c r="AJ234" i="30" s="1"/>
  <c r="AI234" i="30"/>
  <c r="AJ218" i="30"/>
  <c r="AJ217" i="30" s="1"/>
  <c r="AJ316" i="30" s="1"/>
  <c r="E7" i="46" s="1"/>
  <c r="F7" i="46" s="1"/>
  <c r="AI217" i="30"/>
  <c r="AI316" i="30" s="1"/>
  <c r="G7" i="46" s="1"/>
  <c r="AI284" i="30"/>
  <c r="AI313" i="30" s="1"/>
  <c r="G4" i="46" s="1"/>
  <c r="AJ285" i="30"/>
  <c r="AJ177" i="30"/>
  <c r="AJ173" i="30" s="1"/>
  <c r="AJ166" i="30"/>
  <c r="AI169" i="30"/>
  <c r="X271" i="30"/>
  <c r="AO272" i="30"/>
  <c r="AH285" i="30"/>
  <c r="AH284" i="30" s="1"/>
  <c r="AH313" i="30" s="1"/>
  <c r="C4" i="46" s="1"/>
  <c r="D4" i="46" s="1"/>
  <c r="AG284" i="30"/>
  <c r="AG313" i="30" s="1"/>
  <c r="B4" i="46" s="1"/>
  <c r="AH218" i="30"/>
  <c r="AH217" i="30" s="1"/>
  <c r="AH316" i="30" s="1"/>
  <c r="C7" i="46" s="1"/>
  <c r="D7" i="46" s="1"/>
  <c r="N271" i="30"/>
  <c r="AG272" i="30"/>
  <c r="BG294" i="30"/>
  <c r="BG293" i="30" s="1"/>
  <c r="AO293" i="30"/>
  <c r="AO186" i="30"/>
  <c r="BG187" i="30"/>
  <c r="BG186" i="30" s="1"/>
  <c r="BG235" i="30"/>
  <c r="AO234" i="30"/>
  <c r="BG218" i="30"/>
  <c r="BG217" i="30" s="1"/>
  <c r="AO217" i="30"/>
  <c r="AH235" i="30"/>
  <c r="AH234" i="30" s="1"/>
  <c r="AG234" i="30"/>
  <c r="Q206" i="30"/>
  <c r="N206" i="30"/>
  <c r="AH177" i="30"/>
  <c r="AH173" i="30" s="1"/>
  <c r="AH315" i="30" s="1"/>
  <c r="C6" i="46" s="1"/>
  <c r="D6" i="46" s="1"/>
  <c r="AH169" i="30"/>
  <c r="N234" i="30"/>
  <c r="Q258" i="30"/>
  <c r="Q234" i="30"/>
  <c r="X258" i="30"/>
  <c r="N245" i="30"/>
  <c r="Q217" i="30"/>
  <c r="X234" i="30"/>
  <c r="X217" i="30"/>
  <c r="Q271" i="30"/>
  <c r="N302" i="30"/>
  <c r="Q284" i="30"/>
  <c r="Q293" i="30"/>
  <c r="Q302" i="30"/>
  <c r="X206" i="30"/>
  <c r="Q245" i="30"/>
  <c r="N284" i="30"/>
  <c r="N293" i="30"/>
  <c r="X245" i="30"/>
  <c r="N258" i="30"/>
  <c r="X284" i="30"/>
  <c r="X293" i="30"/>
  <c r="X302" i="30"/>
  <c r="Q194" i="30"/>
  <c r="X194" i="30"/>
  <c r="BE62" i="30" l="1"/>
  <c r="AZ62" i="30"/>
  <c r="BB62" i="30"/>
  <c r="AJ287" i="30"/>
  <c r="AJ284" i="30" s="1"/>
  <c r="AJ313" i="30" s="1"/>
  <c r="E4" i="46" s="1"/>
  <c r="F4" i="46" s="1"/>
  <c r="AI312" i="30"/>
  <c r="G3" i="46" s="1"/>
  <c r="AJ315" i="30"/>
  <c r="E6" i="46" s="1"/>
  <c r="F6" i="46" s="1"/>
  <c r="BG234" i="30"/>
  <c r="AJ169" i="30"/>
  <c r="AH272" i="30"/>
  <c r="AH271" i="30" s="1"/>
  <c r="AG271" i="30"/>
  <c r="BG272" i="30"/>
  <c r="BG271" i="30" s="1"/>
  <c r="AO271" i="30"/>
  <c r="R115" i="30"/>
  <c r="W115" i="30"/>
  <c r="AT115" i="30"/>
  <c r="AE138" i="30"/>
  <c r="AG138" i="30"/>
  <c r="AM138" i="30" s="1"/>
  <c r="AE139" i="30"/>
  <c r="AT139" i="30"/>
  <c r="AE140" i="30"/>
  <c r="AT140" i="30"/>
  <c r="T149" i="30"/>
  <c r="N166" i="30"/>
  <c r="X166" i="30"/>
  <c r="N167" i="30"/>
  <c r="X167" i="30"/>
  <c r="CP33" i="39"/>
  <c r="CO33" i="39"/>
  <c r="CN33" i="39"/>
  <c r="X96" i="30" s="1"/>
  <c r="J91" i="50" s="1"/>
  <c r="CM33" i="39"/>
  <c r="CL33" i="39"/>
  <c r="CK33" i="39"/>
  <c r="CJ33" i="39"/>
  <c r="CI33" i="39"/>
  <c r="CH33" i="39"/>
  <c r="CG33" i="39"/>
  <c r="CF33" i="39"/>
  <c r="CE33" i="39"/>
  <c r="CD33" i="39"/>
  <c r="CC33" i="39"/>
  <c r="CB33" i="39"/>
  <c r="CA33" i="39"/>
  <c r="BZ33" i="39"/>
  <c r="BY33" i="39"/>
  <c r="BX33" i="39"/>
  <c r="BW33" i="39"/>
  <c r="BV33" i="39"/>
  <c r="BU33" i="39"/>
  <c r="BT33" i="39"/>
  <c r="BS33" i="39"/>
  <c r="BR33" i="39"/>
  <c r="BQ33" i="39"/>
  <c r="BP33" i="39"/>
  <c r="BO33" i="39"/>
  <c r="BN33" i="39"/>
  <c r="BM33" i="39"/>
  <c r="BL33" i="39"/>
  <c r="BK33" i="39"/>
  <c r="BJ33" i="39"/>
  <c r="BI33" i="39"/>
  <c r="BH33" i="39"/>
  <c r="BG33" i="39"/>
  <c r="BF33" i="39"/>
  <c r="BE33" i="39"/>
  <c r="BD33" i="39"/>
  <c r="BC33" i="39"/>
  <c r="BB33" i="39"/>
  <c r="BA33" i="39"/>
  <c r="AZ33" i="39"/>
  <c r="X98" i="30" s="1"/>
  <c r="J93" i="50" s="1"/>
  <c r="AY33" i="39"/>
  <c r="AX33" i="39"/>
  <c r="AW33" i="39"/>
  <c r="AV33" i="39"/>
  <c r="AU33" i="39"/>
  <c r="AT33" i="39"/>
  <c r="AS33" i="39"/>
  <c r="Q96" i="30" s="1"/>
  <c r="I91" i="50" s="1"/>
  <c r="AR33" i="39"/>
  <c r="AQ33" i="39"/>
  <c r="AP33" i="39"/>
  <c r="AO33" i="39"/>
  <c r="AN33" i="39"/>
  <c r="AM33" i="39"/>
  <c r="AL33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DB32" i="39"/>
  <c r="DA32" i="39"/>
  <c r="CZ32" i="39"/>
  <c r="CY32" i="39"/>
  <c r="CW32" i="39"/>
  <c r="CV32" i="39"/>
  <c r="CU32" i="39"/>
  <c r="CT32" i="39"/>
  <c r="CR32" i="39"/>
  <c r="CQ32" i="39"/>
  <c r="DB31" i="39"/>
  <c r="DA31" i="39"/>
  <c r="CZ31" i="39"/>
  <c r="CY31" i="39"/>
  <c r="CW31" i="39"/>
  <c r="CV31" i="39"/>
  <c r="CU31" i="39"/>
  <c r="CT31" i="39"/>
  <c r="CR31" i="39"/>
  <c r="CQ31" i="39"/>
  <c r="DB30" i="39"/>
  <c r="DA30" i="39"/>
  <c r="CZ30" i="39"/>
  <c r="CY30" i="39"/>
  <c r="CW30" i="39"/>
  <c r="CV30" i="39"/>
  <c r="CU30" i="39"/>
  <c r="CT30" i="39"/>
  <c r="CR30" i="39"/>
  <c r="CQ30" i="39"/>
  <c r="DB29" i="39"/>
  <c r="DA29" i="39"/>
  <c r="CZ29" i="39"/>
  <c r="CY29" i="39"/>
  <c r="CW29" i="39"/>
  <c r="CV29" i="39"/>
  <c r="CU29" i="39"/>
  <c r="CT29" i="39"/>
  <c r="CR29" i="39"/>
  <c r="CQ29" i="39"/>
  <c r="DB28" i="39"/>
  <c r="DA28" i="39"/>
  <c r="CZ28" i="39"/>
  <c r="CY28" i="39"/>
  <c r="CW28" i="39"/>
  <c r="CV28" i="39"/>
  <c r="CU28" i="39"/>
  <c r="CT28" i="39"/>
  <c r="CR28" i="39"/>
  <c r="CQ28" i="39"/>
  <c r="DB27" i="39"/>
  <c r="DA27" i="39"/>
  <c r="CZ27" i="39"/>
  <c r="CY27" i="39"/>
  <c r="CW27" i="39"/>
  <c r="CV27" i="39"/>
  <c r="CU27" i="39"/>
  <c r="CT27" i="39"/>
  <c r="CR27" i="39"/>
  <c r="CQ27" i="39"/>
  <c r="DB26" i="39"/>
  <c r="DA26" i="39"/>
  <c r="CZ26" i="39"/>
  <c r="CY26" i="39"/>
  <c r="CW26" i="39"/>
  <c r="CV26" i="39"/>
  <c r="CU26" i="39"/>
  <c r="CT26" i="39"/>
  <c r="CR26" i="39"/>
  <c r="CQ26" i="39"/>
  <c r="DB25" i="39"/>
  <c r="DA25" i="39"/>
  <c r="CZ25" i="39"/>
  <c r="CY25" i="39"/>
  <c r="CW25" i="39"/>
  <c r="CV25" i="39"/>
  <c r="CU25" i="39"/>
  <c r="CT25" i="39"/>
  <c r="CR25" i="39"/>
  <c r="CQ25" i="39"/>
  <c r="DB24" i="39"/>
  <c r="DA24" i="39"/>
  <c r="CZ24" i="39"/>
  <c r="CY24" i="39"/>
  <c r="CW24" i="39"/>
  <c r="CV24" i="39"/>
  <c r="CU24" i="39"/>
  <c r="CT24" i="39"/>
  <c r="CR24" i="39"/>
  <c r="CQ24" i="39"/>
  <c r="DB23" i="39"/>
  <c r="DA23" i="39"/>
  <c r="CZ23" i="39"/>
  <c r="CY23" i="39"/>
  <c r="CW23" i="39"/>
  <c r="CV23" i="39"/>
  <c r="CU23" i="39"/>
  <c r="CT23" i="39"/>
  <c r="CR23" i="39"/>
  <c r="CQ23" i="39"/>
  <c r="DB22" i="39"/>
  <c r="DA22" i="39"/>
  <c r="CZ22" i="39"/>
  <c r="CY22" i="39"/>
  <c r="CW22" i="39"/>
  <c r="CV22" i="39"/>
  <c r="CU22" i="39"/>
  <c r="CT22" i="39"/>
  <c r="CR22" i="39"/>
  <c r="CQ22" i="39"/>
  <c r="DB21" i="39"/>
  <c r="DA21" i="39"/>
  <c r="CZ21" i="39"/>
  <c r="CY21" i="39"/>
  <c r="CW21" i="39"/>
  <c r="CV21" i="39"/>
  <c r="CU21" i="39"/>
  <c r="CT21" i="39"/>
  <c r="CR21" i="39"/>
  <c r="CQ21" i="39"/>
  <c r="DB20" i="39"/>
  <c r="DA20" i="39"/>
  <c r="CZ20" i="39"/>
  <c r="CY20" i="39"/>
  <c r="CW20" i="39"/>
  <c r="CV20" i="39"/>
  <c r="CU20" i="39"/>
  <c r="CT20" i="39"/>
  <c r="CR20" i="39"/>
  <c r="CQ20" i="39"/>
  <c r="DB19" i="39"/>
  <c r="DA19" i="39"/>
  <c r="CZ19" i="39"/>
  <c r="CY19" i="39"/>
  <c r="CW19" i="39"/>
  <c r="CV19" i="39"/>
  <c r="CU19" i="39"/>
  <c r="CT19" i="39"/>
  <c r="CR19" i="39"/>
  <c r="CQ19" i="39"/>
  <c r="DB18" i="39"/>
  <c r="DA18" i="39"/>
  <c r="CZ18" i="39"/>
  <c r="CY18" i="39"/>
  <c r="CW18" i="39"/>
  <c r="CV18" i="39"/>
  <c r="CU18" i="39"/>
  <c r="CT18" i="39"/>
  <c r="CR18" i="39"/>
  <c r="CQ18" i="39"/>
  <c r="DB17" i="39"/>
  <c r="DA17" i="39"/>
  <c r="CZ17" i="39"/>
  <c r="CY17" i="39"/>
  <c r="CW17" i="39"/>
  <c r="CV17" i="39"/>
  <c r="CU17" i="39"/>
  <c r="CT17" i="39"/>
  <c r="CR17" i="39"/>
  <c r="CQ17" i="39"/>
  <c r="DB16" i="39"/>
  <c r="DA16" i="39"/>
  <c r="CZ16" i="39"/>
  <c r="CY16" i="39"/>
  <c r="CW16" i="39"/>
  <c r="CV16" i="39"/>
  <c r="CU16" i="39"/>
  <c r="CT16" i="39"/>
  <c r="CR16" i="39"/>
  <c r="CQ16" i="39"/>
  <c r="DB15" i="39"/>
  <c r="DA15" i="39"/>
  <c r="CZ15" i="39"/>
  <c r="CY15" i="39"/>
  <c r="CW15" i="39"/>
  <c r="CV15" i="39"/>
  <c r="CU15" i="39"/>
  <c r="CT15" i="39"/>
  <c r="CR15" i="39"/>
  <c r="CQ15" i="39"/>
  <c r="DB14" i="39"/>
  <c r="DA14" i="39"/>
  <c r="CZ14" i="39"/>
  <c r="CY14" i="39"/>
  <c r="CW14" i="39"/>
  <c r="CV14" i="39"/>
  <c r="CU14" i="39"/>
  <c r="CT14" i="39"/>
  <c r="CR14" i="39"/>
  <c r="CQ14" i="39"/>
  <c r="DB13" i="39"/>
  <c r="DA13" i="39"/>
  <c r="CZ13" i="39"/>
  <c r="CY13" i="39"/>
  <c r="CW13" i="39"/>
  <c r="CV13" i="39"/>
  <c r="CU13" i="39"/>
  <c r="CT13" i="39"/>
  <c r="CR13" i="39"/>
  <c r="CQ13" i="39"/>
  <c r="DB12" i="39"/>
  <c r="DA12" i="39"/>
  <c r="CZ12" i="39"/>
  <c r="CY12" i="39"/>
  <c r="CW12" i="39"/>
  <c r="CV12" i="39"/>
  <c r="CU12" i="39"/>
  <c r="CT12" i="39"/>
  <c r="CR12" i="39"/>
  <c r="CQ12" i="39"/>
  <c r="DB11" i="39"/>
  <c r="DA11" i="39"/>
  <c r="CZ11" i="39"/>
  <c r="CY11" i="39"/>
  <c r="CW11" i="39"/>
  <c r="CV11" i="39"/>
  <c r="CU11" i="39"/>
  <c r="CT11" i="39"/>
  <c r="CR11" i="39"/>
  <c r="CQ11" i="39"/>
  <c r="DB10" i="39"/>
  <c r="DA10" i="39"/>
  <c r="CZ10" i="39"/>
  <c r="CY10" i="39"/>
  <c r="CW10" i="39"/>
  <c r="CV10" i="39"/>
  <c r="CU10" i="39"/>
  <c r="CT10" i="39"/>
  <c r="CR10" i="39"/>
  <c r="CQ10" i="39"/>
  <c r="DB9" i="39"/>
  <c r="DA9" i="39"/>
  <c r="CZ9" i="39"/>
  <c r="CY9" i="39"/>
  <c r="CW9" i="39"/>
  <c r="CV9" i="39"/>
  <c r="CU9" i="39"/>
  <c r="CT9" i="39"/>
  <c r="CR9" i="39"/>
  <c r="CQ9" i="39"/>
  <c r="DB8" i="39"/>
  <c r="DA8" i="39"/>
  <c r="CZ8" i="39"/>
  <c r="CY8" i="39"/>
  <c r="CW8" i="39"/>
  <c r="CV8" i="39"/>
  <c r="CU8" i="39"/>
  <c r="CT8" i="39"/>
  <c r="CR8" i="39"/>
  <c r="CQ8" i="39"/>
  <c r="DB7" i="39"/>
  <c r="DA7" i="39"/>
  <c r="CZ7" i="39"/>
  <c r="CY7" i="39"/>
  <c r="CW7" i="39"/>
  <c r="CV7" i="39"/>
  <c r="CU7" i="39"/>
  <c r="CT7" i="39"/>
  <c r="CR7" i="39"/>
  <c r="CQ7" i="39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AS32" i="38"/>
  <c r="N96" i="30" s="1"/>
  <c r="H91" i="50" s="1"/>
  <c r="K91" i="50" s="1"/>
  <c r="AT32" i="38"/>
  <c r="AU32" i="38"/>
  <c r="AV32" i="38"/>
  <c r="AW32" i="38"/>
  <c r="AX32" i="38"/>
  <c r="AY32" i="38"/>
  <c r="AZ32" i="38"/>
  <c r="BA32" i="38"/>
  <c r="BB32" i="38"/>
  <c r="BC32" i="38"/>
  <c r="BD32" i="38"/>
  <c r="BE32" i="38"/>
  <c r="BF32" i="38"/>
  <c r="BG32" i="38"/>
  <c r="BH32" i="38"/>
  <c r="BI32" i="38"/>
  <c r="BJ32" i="38"/>
  <c r="BK32" i="38"/>
  <c r="BL32" i="38"/>
  <c r="BM32" i="38"/>
  <c r="BN32" i="38"/>
  <c r="BO32" i="38"/>
  <c r="BP32" i="38"/>
  <c r="BQ32" i="38"/>
  <c r="BR32" i="38"/>
  <c r="BS32" i="38"/>
  <c r="BT32" i="38"/>
  <c r="BU32" i="38"/>
  <c r="BV32" i="38"/>
  <c r="BW32" i="38"/>
  <c r="BX32" i="38"/>
  <c r="BY32" i="38"/>
  <c r="BZ32" i="38"/>
  <c r="CA32" i="38"/>
  <c r="CB32" i="38"/>
  <c r="CC32" i="38"/>
  <c r="CD32" i="38"/>
  <c r="CE32" i="38"/>
  <c r="CF32" i="38"/>
  <c r="CG32" i="38"/>
  <c r="CH32" i="38"/>
  <c r="CI32" i="38"/>
  <c r="CJ32" i="38"/>
  <c r="CK32" i="38"/>
  <c r="CL32" i="38"/>
  <c r="CM32" i="38"/>
  <c r="CN32" i="38"/>
  <c r="CO32" i="38"/>
  <c r="CP32" i="38"/>
  <c r="B32" i="38"/>
  <c r="CR31" i="38"/>
  <c r="CQ31" i="38"/>
  <c r="CR30" i="38"/>
  <c r="CQ30" i="38"/>
  <c r="CR29" i="38"/>
  <c r="CQ29" i="38"/>
  <c r="CR28" i="38"/>
  <c r="CQ28" i="38"/>
  <c r="CR27" i="38"/>
  <c r="CQ27" i="38"/>
  <c r="CR26" i="38"/>
  <c r="CQ26" i="38"/>
  <c r="CR25" i="38"/>
  <c r="CQ25" i="38"/>
  <c r="CR24" i="38"/>
  <c r="CQ24" i="38"/>
  <c r="CR23" i="38"/>
  <c r="CQ23" i="38"/>
  <c r="CR22" i="38"/>
  <c r="CQ22" i="38"/>
  <c r="CR21" i="38"/>
  <c r="CQ21" i="38"/>
  <c r="CR20" i="38"/>
  <c r="CQ20" i="38"/>
  <c r="CR19" i="38"/>
  <c r="CQ19" i="38"/>
  <c r="CR18" i="38"/>
  <c r="CQ18" i="38"/>
  <c r="CR17" i="38"/>
  <c r="CQ17" i="38"/>
  <c r="CR16" i="38"/>
  <c r="CQ16" i="38"/>
  <c r="CR15" i="38"/>
  <c r="CQ15" i="38"/>
  <c r="CR14" i="38"/>
  <c r="CQ14" i="38"/>
  <c r="CR13" i="38"/>
  <c r="CQ13" i="38"/>
  <c r="CR12" i="38"/>
  <c r="CQ12" i="38"/>
  <c r="CR11" i="38"/>
  <c r="CQ11" i="38"/>
  <c r="CR10" i="38"/>
  <c r="CQ10" i="38"/>
  <c r="CR9" i="38"/>
  <c r="CQ9" i="38"/>
  <c r="CR8" i="38"/>
  <c r="CQ8" i="38"/>
  <c r="CR7" i="38"/>
  <c r="CQ7" i="38"/>
  <c r="CR6" i="38"/>
  <c r="CQ6" i="38"/>
  <c r="J43" i="34"/>
  <c r="G43" i="34"/>
  <c r="B43" i="34"/>
  <c r="B42" i="34"/>
  <c r="I43" i="34"/>
  <c r="H43" i="34"/>
  <c r="F43" i="34"/>
  <c r="E43" i="34"/>
  <c r="D43" i="34"/>
  <c r="C43" i="34"/>
  <c r="AC139" i="30" l="1"/>
  <c r="X165" i="30"/>
  <c r="AG167" i="30"/>
  <c r="AH167" i="30" s="1"/>
  <c r="N136" i="30"/>
  <c r="H127" i="50" s="1"/>
  <c r="AO98" i="30"/>
  <c r="AD98" i="30"/>
  <c r="AO96" i="30"/>
  <c r="BG96" i="30" s="1"/>
  <c r="AD96" i="30"/>
  <c r="AB138" i="30"/>
  <c r="AC138" i="30"/>
  <c r="AB140" i="30"/>
  <c r="AC140" i="30"/>
  <c r="AI96" i="30"/>
  <c r="AC96" i="30"/>
  <c r="AO139" i="30"/>
  <c r="AB139" i="30"/>
  <c r="AG96" i="30"/>
  <c r="AB96" i="30"/>
  <c r="X136" i="30"/>
  <c r="J127" i="50" s="1"/>
  <c r="X102" i="30"/>
  <c r="J97" i="50" s="1"/>
  <c r="X131" i="30"/>
  <c r="J122" i="50" s="1"/>
  <c r="X97" i="30"/>
  <c r="J92" i="50" s="1"/>
  <c r="X135" i="30"/>
  <c r="J126" i="50" s="1"/>
  <c r="X101" i="30"/>
  <c r="J96" i="50" s="1"/>
  <c r="X130" i="30"/>
  <c r="J121" i="50" s="1"/>
  <c r="X95" i="30"/>
  <c r="J90" i="50" s="1"/>
  <c r="X94" i="30"/>
  <c r="J89" i="50" s="1"/>
  <c r="X129" i="30"/>
  <c r="J120" i="50" s="1"/>
  <c r="Q94" i="30"/>
  <c r="I89" i="50" s="1"/>
  <c r="Q129" i="30"/>
  <c r="I120" i="50" s="1"/>
  <c r="X133" i="30"/>
  <c r="J124" i="50" s="1"/>
  <c r="X99" i="30"/>
  <c r="J94" i="50" s="1"/>
  <c r="BG98" i="30"/>
  <c r="X132" i="30"/>
  <c r="J123" i="50" s="1"/>
  <c r="X134" i="30"/>
  <c r="J125" i="50" s="1"/>
  <c r="X100" i="30"/>
  <c r="J95" i="50" s="1"/>
  <c r="Q102" i="30"/>
  <c r="I97" i="50" s="1"/>
  <c r="Q136" i="30"/>
  <c r="I127" i="50" s="1"/>
  <c r="AJ96" i="30"/>
  <c r="AN96" i="30"/>
  <c r="AL96" i="30"/>
  <c r="Q131" i="30"/>
  <c r="I122" i="50" s="1"/>
  <c r="Q97" i="30"/>
  <c r="I92" i="50" s="1"/>
  <c r="Q101" i="30"/>
  <c r="I96" i="50" s="1"/>
  <c r="Q135" i="30"/>
  <c r="I126" i="50" s="1"/>
  <c r="Q130" i="30"/>
  <c r="I121" i="50" s="1"/>
  <c r="Q95" i="30"/>
  <c r="I90" i="50" s="1"/>
  <c r="Q133" i="30"/>
  <c r="I124" i="50" s="1"/>
  <c r="Q99" i="30"/>
  <c r="I94" i="50" s="1"/>
  <c r="Q132" i="30"/>
  <c r="I123" i="50" s="1"/>
  <c r="Q98" i="30"/>
  <c r="I93" i="50" s="1"/>
  <c r="Q134" i="30"/>
  <c r="I125" i="50" s="1"/>
  <c r="Q100" i="30"/>
  <c r="I95" i="50" s="1"/>
  <c r="N134" i="30"/>
  <c r="H125" i="50" s="1"/>
  <c r="K125" i="50" s="1"/>
  <c r="N100" i="30"/>
  <c r="H95" i="50" s="1"/>
  <c r="K95" i="50" s="1"/>
  <c r="N132" i="30"/>
  <c r="H123" i="50" s="1"/>
  <c r="K123" i="50" s="1"/>
  <c r="N98" i="30"/>
  <c r="H93" i="50" s="1"/>
  <c r="K93" i="50" s="1"/>
  <c r="N133" i="30"/>
  <c r="H124" i="50" s="1"/>
  <c r="K124" i="50" s="1"/>
  <c r="N99" i="30"/>
  <c r="H94" i="50" s="1"/>
  <c r="K94" i="50" s="1"/>
  <c r="N94" i="30"/>
  <c r="H89" i="50" s="1"/>
  <c r="N129" i="30"/>
  <c r="H120" i="50" s="1"/>
  <c r="N130" i="30"/>
  <c r="H121" i="50" s="1"/>
  <c r="K121" i="50" s="1"/>
  <c r="N95" i="30"/>
  <c r="H90" i="50" s="1"/>
  <c r="K90" i="50" s="1"/>
  <c r="N101" i="30"/>
  <c r="H96" i="50" s="1"/>
  <c r="K96" i="50" s="1"/>
  <c r="N135" i="30"/>
  <c r="H126" i="50" s="1"/>
  <c r="K126" i="50" s="1"/>
  <c r="N131" i="30"/>
  <c r="H122" i="50" s="1"/>
  <c r="K122" i="50" s="1"/>
  <c r="N97" i="30"/>
  <c r="H92" i="50" s="1"/>
  <c r="K92" i="50" s="1"/>
  <c r="AK96" i="30"/>
  <c r="AH96" i="30"/>
  <c r="AM96" i="30"/>
  <c r="N102" i="30"/>
  <c r="H97" i="50" s="1"/>
  <c r="K97" i="50" s="1"/>
  <c r="AN139" i="30"/>
  <c r="AM139" i="30"/>
  <c r="AS138" i="30"/>
  <c r="AK138" i="30"/>
  <c r="AU139" i="30"/>
  <c r="AL139" i="30"/>
  <c r="AK139" i="30"/>
  <c r="AJ312" i="30"/>
  <c r="E3" i="46" s="1"/>
  <c r="F3" i="46" s="1"/>
  <c r="N8" i="30"/>
  <c r="AG166" i="30"/>
  <c r="N165" i="30"/>
  <c r="X30" i="30"/>
  <c r="J48" i="50" s="1"/>
  <c r="X35" i="30"/>
  <c r="J52" i="50" s="1"/>
  <c r="X105" i="30"/>
  <c r="J99" i="50" s="1"/>
  <c r="X27" i="30"/>
  <c r="J45" i="50" s="1"/>
  <c r="Q27" i="30"/>
  <c r="X32" i="30"/>
  <c r="J49" i="50" s="1"/>
  <c r="Q32" i="30"/>
  <c r="I49" i="50" s="1"/>
  <c r="X70" i="30"/>
  <c r="J78" i="50" s="1"/>
  <c r="X29" i="30"/>
  <c r="J47" i="50" s="1"/>
  <c r="X34" i="30"/>
  <c r="J51" i="50" s="1"/>
  <c r="X28" i="30"/>
  <c r="J46" i="50" s="1"/>
  <c r="X33" i="30"/>
  <c r="J50" i="50" s="1"/>
  <c r="Q30" i="30"/>
  <c r="Q35" i="30"/>
  <c r="I52" i="50" s="1"/>
  <c r="Q29" i="30"/>
  <c r="Q34" i="30"/>
  <c r="I51" i="50" s="1"/>
  <c r="Q28" i="30"/>
  <c r="Q33" i="30"/>
  <c r="I50" i="50" s="1"/>
  <c r="N28" i="30"/>
  <c r="N33" i="30"/>
  <c r="H50" i="50" s="1"/>
  <c r="K50" i="50" s="1"/>
  <c r="N29" i="30"/>
  <c r="N34" i="30"/>
  <c r="H51" i="50" s="1"/>
  <c r="K51" i="50" s="1"/>
  <c r="N27" i="30"/>
  <c r="N32" i="30"/>
  <c r="H49" i="50" s="1"/>
  <c r="N30" i="30"/>
  <c r="N35" i="30"/>
  <c r="H52" i="50" s="1"/>
  <c r="K52" i="50" s="1"/>
  <c r="AG312" i="30"/>
  <c r="B3" i="46" s="1"/>
  <c r="AO140" i="30"/>
  <c r="X42" i="30"/>
  <c r="J55" i="50" s="1"/>
  <c r="X8" i="30"/>
  <c r="CQ33" i="39"/>
  <c r="Q8" i="30"/>
  <c r="X9" i="30"/>
  <c r="J34" i="50" s="1"/>
  <c r="CR33" i="39"/>
  <c r="Q9" i="30"/>
  <c r="I34" i="50" s="1"/>
  <c r="T34" i="39"/>
  <c r="T35" i="39" s="1"/>
  <c r="AH166" i="30"/>
  <c r="AH312" i="30" s="1"/>
  <c r="C3" i="46" s="1"/>
  <c r="D3" i="46" s="1"/>
  <c r="N111" i="30"/>
  <c r="N57" i="30"/>
  <c r="N146" i="30"/>
  <c r="H133" i="50" s="1"/>
  <c r="N89" i="30"/>
  <c r="N125" i="30"/>
  <c r="N76" i="30"/>
  <c r="C41" i="39"/>
  <c r="Q43" i="30"/>
  <c r="Q75" i="30"/>
  <c r="Q145" i="30"/>
  <c r="I132" i="50" s="1"/>
  <c r="Q124" i="30"/>
  <c r="I116" i="50" s="1"/>
  <c r="Q88" i="30"/>
  <c r="Q110" i="30"/>
  <c r="Q56" i="30"/>
  <c r="Q44" i="30"/>
  <c r="X47" i="30"/>
  <c r="J60" i="50" s="1"/>
  <c r="X85" i="30"/>
  <c r="X53" i="30"/>
  <c r="J65" i="50" s="1"/>
  <c r="X107" i="30"/>
  <c r="J101" i="50" s="1"/>
  <c r="X72" i="30"/>
  <c r="J80" i="50" s="1"/>
  <c r="N41" i="30"/>
  <c r="N71" i="30"/>
  <c r="N84" i="30"/>
  <c r="N142" i="30"/>
  <c r="H129" i="50" s="1"/>
  <c r="N121" i="30"/>
  <c r="N106" i="30"/>
  <c r="Q47" i="30"/>
  <c r="Q72" i="30"/>
  <c r="Q53" i="30"/>
  <c r="Q107" i="30"/>
  <c r="Q85" i="30"/>
  <c r="D36" i="39"/>
  <c r="Q45" i="30"/>
  <c r="X45" i="30"/>
  <c r="J58" i="50" s="1"/>
  <c r="AO105" i="30"/>
  <c r="Q105" i="30"/>
  <c r="AO70" i="30"/>
  <c r="BG70" i="30" s="1"/>
  <c r="Q70" i="30"/>
  <c r="X51" i="30"/>
  <c r="J63" i="50" s="1"/>
  <c r="Q51" i="30"/>
  <c r="Q120" i="30"/>
  <c r="I112" i="50" s="1"/>
  <c r="X83" i="30"/>
  <c r="Q83" i="30"/>
  <c r="X141" i="30"/>
  <c r="J128" i="50" s="1"/>
  <c r="X120" i="30"/>
  <c r="J112" i="50" s="1"/>
  <c r="Q141" i="30"/>
  <c r="I128" i="50" s="1"/>
  <c r="X108" i="30"/>
  <c r="J102" i="50" s="1"/>
  <c r="X86" i="30"/>
  <c r="X143" i="30"/>
  <c r="J130" i="50" s="1"/>
  <c r="X54" i="30"/>
  <c r="J66" i="50" s="1"/>
  <c r="X73" i="30"/>
  <c r="J81" i="50" s="1"/>
  <c r="X122" i="30"/>
  <c r="J114" i="50" s="1"/>
  <c r="X59" i="30"/>
  <c r="J71" i="50" s="1"/>
  <c r="X148" i="30"/>
  <c r="J135" i="50" s="1"/>
  <c r="X127" i="30"/>
  <c r="J119" i="50" s="1"/>
  <c r="X91" i="30"/>
  <c r="X78" i="30"/>
  <c r="J86" i="50" s="1"/>
  <c r="X113" i="30"/>
  <c r="J107" i="50" s="1"/>
  <c r="C36" i="39"/>
  <c r="Q143" i="30"/>
  <c r="I130" i="50" s="1"/>
  <c r="Q122" i="30"/>
  <c r="I114" i="50" s="1"/>
  <c r="Q54" i="30"/>
  <c r="Q73" i="30"/>
  <c r="Q108" i="30"/>
  <c r="Q86" i="30"/>
  <c r="Q91" i="30"/>
  <c r="Q59" i="30"/>
  <c r="Q148" i="30"/>
  <c r="I135" i="50" s="1"/>
  <c r="Q127" i="30"/>
  <c r="I119" i="50" s="1"/>
  <c r="Q78" i="30"/>
  <c r="Q113" i="30"/>
  <c r="N47" i="30"/>
  <c r="N72" i="30"/>
  <c r="N107" i="30"/>
  <c r="N85" i="30"/>
  <c r="N22" i="30"/>
  <c r="H40" i="50" s="1"/>
  <c r="N12" i="30"/>
  <c r="H35" i="50" s="1"/>
  <c r="N46" i="30"/>
  <c r="N148" i="30"/>
  <c r="H135" i="50" s="1"/>
  <c r="K135" i="50" s="1"/>
  <c r="N113" i="30"/>
  <c r="N59" i="30"/>
  <c r="N127" i="30"/>
  <c r="N91" i="30"/>
  <c r="N78" i="30"/>
  <c r="N86" i="30"/>
  <c r="N108" i="30"/>
  <c r="N143" i="30"/>
  <c r="H130" i="50" s="1"/>
  <c r="K130" i="50" s="1"/>
  <c r="N122" i="30"/>
  <c r="N73" i="30"/>
  <c r="N45" i="30"/>
  <c r="N105" i="30"/>
  <c r="N70" i="30"/>
  <c r="N83" i="30"/>
  <c r="N141" i="30"/>
  <c r="H128" i="50" s="1"/>
  <c r="N120" i="30"/>
  <c r="D37" i="39"/>
  <c r="X41" i="30"/>
  <c r="J54" i="50" s="1"/>
  <c r="X84" i="30"/>
  <c r="X142" i="30"/>
  <c r="J129" i="50" s="1"/>
  <c r="X121" i="30"/>
  <c r="J113" i="50" s="1"/>
  <c r="X106" i="30"/>
  <c r="J100" i="50" s="1"/>
  <c r="X52" i="30"/>
  <c r="J64" i="50" s="1"/>
  <c r="X71" i="30"/>
  <c r="J79" i="50" s="1"/>
  <c r="C37" i="39"/>
  <c r="Q41" i="30"/>
  <c r="Q84" i="30"/>
  <c r="Q71" i="30"/>
  <c r="Q52" i="30"/>
  <c r="Q142" i="30"/>
  <c r="I129" i="50" s="1"/>
  <c r="Q121" i="30"/>
  <c r="I113" i="50" s="1"/>
  <c r="Q106" i="30"/>
  <c r="AO32" i="30"/>
  <c r="D44" i="39"/>
  <c r="X111" i="30"/>
  <c r="J105" i="50" s="1"/>
  <c r="X89" i="30"/>
  <c r="X125" i="30"/>
  <c r="J117" i="50" s="1"/>
  <c r="X76" i="30"/>
  <c r="J84" i="50" s="1"/>
  <c r="X146" i="30"/>
  <c r="J133" i="50" s="1"/>
  <c r="X57" i="30"/>
  <c r="J69" i="50" s="1"/>
  <c r="D38" i="39"/>
  <c r="X46" i="30"/>
  <c r="J59" i="50" s="1"/>
  <c r="N44" i="30"/>
  <c r="N43" i="30"/>
  <c r="N75" i="30"/>
  <c r="N145" i="30"/>
  <c r="H132" i="50" s="1"/>
  <c r="N124" i="30"/>
  <c r="N56" i="30"/>
  <c r="N88" i="30"/>
  <c r="N110" i="30"/>
  <c r="C44" i="39"/>
  <c r="Q111" i="30"/>
  <c r="Q57" i="30"/>
  <c r="Q76" i="30"/>
  <c r="Q89" i="30"/>
  <c r="Q146" i="30"/>
  <c r="I133" i="50" s="1"/>
  <c r="Q125" i="30"/>
  <c r="I117" i="50" s="1"/>
  <c r="C38" i="39"/>
  <c r="Q46" i="30"/>
  <c r="X109" i="30"/>
  <c r="J103" i="50" s="1"/>
  <c r="X55" i="30"/>
  <c r="J67" i="50" s="1"/>
  <c r="X144" i="30"/>
  <c r="J131" i="50" s="1"/>
  <c r="X123" i="30"/>
  <c r="J115" i="50" s="1"/>
  <c r="X74" i="30"/>
  <c r="J82" i="50" s="1"/>
  <c r="X87" i="30"/>
  <c r="D45" i="39"/>
  <c r="X77" i="30"/>
  <c r="J85" i="50" s="1"/>
  <c r="X147" i="30"/>
  <c r="J134" i="50" s="1"/>
  <c r="X126" i="30"/>
  <c r="J118" i="50" s="1"/>
  <c r="X58" i="30"/>
  <c r="J70" i="50" s="1"/>
  <c r="X90" i="30"/>
  <c r="X112" i="30"/>
  <c r="J106" i="50" s="1"/>
  <c r="S34" i="39"/>
  <c r="S35" i="39" s="1"/>
  <c r="Q42" i="30"/>
  <c r="Q87" i="30"/>
  <c r="Q109" i="30"/>
  <c r="Q144" i="30"/>
  <c r="I131" i="50" s="1"/>
  <c r="Q123" i="30"/>
  <c r="I115" i="50" s="1"/>
  <c r="Q55" i="30"/>
  <c r="Q74" i="30"/>
  <c r="C45" i="39"/>
  <c r="Q90" i="30"/>
  <c r="Q58" i="30"/>
  <c r="Q77" i="30"/>
  <c r="Q112" i="30"/>
  <c r="Q147" i="30"/>
  <c r="I134" i="50" s="1"/>
  <c r="Q126" i="30"/>
  <c r="I118" i="50" s="1"/>
  <c r="D42" i="39"/>
  <c r="X11" i="30"/>
  <c r="X21" i="30"/>
  <c r="J39" i="50" s="1"/>
  <c r="C42" i="39"/>
  <c r="Q11" i="30"/>
  <c r="Q21" i="30"/>
  <c r="D47" i="39"/>
  <c r="X12" i="30"/>
  <c r="J35" i="50" s="1"/>
  <c r="X22" i="30"/>
  <c r="J40" i="50" s="1"/>
  <c r="C47" i="39"/>
  <c r="Q12" i="30"/>
  <c r="I35" i="50" s="1"/>
  <c r="Q22" i="30"/>
  <c r="I40" i="50" s="1"/>
  <c r="X48" i="30"/>
  <c r="J61" i="50" s="1"/>
  <c r="N51" i="30"/>
  <c r="N11" i="30"/>
  <c r="N21" i="30"/>
  <c r="Q48" i="30"/>
  <c r="N52" i="30"/>
  <c r="N48" i="30"/>
  <c r="N112" i="30"/>
  <c r="N90" i="30"/>
  <c r="N58" i="30"/>
  <c r="N77" i="30"/>
  <c r="N147" i="30"/>
  <c r="H134" i="50" s="1"/>
  <c r="K134" i="50" s="1"/>
  <c r="N126" i="30"/>
  <c r="N42" i="30"/>
  <c r="N74" i="30"/>
  <c r="N87" i="30"/>
  <c r="N55" i="30"/>
  <c r="N144" i="30"/>
  <c r="H131" i="50" s="1"/>
  <c r="K131" i="50" s="1"/>
  <c r="N109" i="30"/>
  <c r="N123" i="30"/>
  <c r="N53" i="30"/>
  <c r="D41" i="39"/>
  <c r="X43" i="30"/>
  <c r="J56" i="50" s="1"/>
  <c r="X145" i="30"/>
  <c r="J132" i="50" s="1"/>
  <c r="X124" i="30"/>
  <c r="J116" i="50" s="1"/>
  <c r="X56" i="30"/>
  <c r="J68" i="50" s="1"/>
  <c r="X75" i="30"/>
  <c r="J83" i="50" s="1"/>
  <c r="X88" i="30"/>
  <c r="X110" i="30"/>
  <c r="J104" i="50" s="1"/>
  <c r="X44" i="30"/>
  <c r="J57" i="50" s="1"/>
  <c r="AO33" i="30"/>
  <c r="BG33" i="30" s="1"/>
  <c r="N54" i="30"/>
  <c r="N9" i="30"/>
  <c r="H34" i="50" s="1"/>
  <c r="K34" i="50" s="1"/>
  <c r="C43" i="39"/>
  <c r="CU33" i="39"/>
  <c r="C40" i="39"/>
  <c r="CT33" i="39"/>
  <c r="C39" i="39"/>
  <c r="CW33" i="39"/>
  <c r="C46" i="39"/>
  <c r="CV33" i="39"/>
  <c r="D43" i="39"/>
  <c r="CZ33" i="39"/>
  <c r="D40" i="39"/>
  <c r="CY33" i="39"/>
  <c r="D39" i="39"/>
  <c r="DB33" i="39"/>
  <c r="D46" i="39"/>
  <c r="DA33" i="39"/>
  <c r="I45" i="50" l="1"/>
  <c r="I48" i="50"/>
  <c r="I47" i="50"/>
  <c r="I46" i="50"/>
  <c r="H46" i="50"/>
  <c r="K46" i="50" s="1"/>
  <c r="H47" i="50"/>
  <c r="K47" i="50" s="1"/>
  <c r="H45" i="50"/>
  <c r="H48" i="50"/>
  <c r="K48" i="50" s="1"/>
  <c r="H105" i="50"/>
  <c r="H69" i="50"/>
  <c r="H117" i="50"/>
  <c r="H84" i="50"/>
  <c r="I56" i="50"/>
  <c r="I83" i="50"/>
  <c r="I104" i="50"/>
  <c r="I68" i="50"/>
  <c r="I57" i="50"/>
  <c r="H54" i="50"/>
  <c r="H79" i="50"/>
  <c r="H113" i="50"/>
  <c r="H100" i="50"/>
  <c r="I60" i="50"/>
  <c r="I80" i="50"/>
  <c r="I65" i="50"/>
  <c r="I101" i="50"/>
  <c r="I58" i="50"/>
  <c r="I99" i="50"/>
  <c r="I78" i="50"/>
  <c r="I63" i="50"/>
  <c r="I66" i="50"/>
  <c r="I81" i="50"/>
  <c r="I102" i="50"/>
  <c r="I71" i="50"/>
  <c r="I86" i="50"/>
  <c r="I107" i="50"/>
  <c r="H60" i="50"/>
  <c r="K60" i="50" s="1"/>
  <c r="H80" i="50"/>
  <c r="K80" i="50" s="1"/>
  <c r="H101" i="50"/>
  <c r="K101" i="50" s="1"/>
  <c r="H59" i="50"/>
  <c r="H107" i="50"/>
  <c r="K107" i="50" s="1"/>
  <c r="H71" i="50"/>
  <c r="K71" i="50" s="1"/>
  <c r="H119" i="50"/>
  <c r="K119" i="50" s="1"/>
  <c r="H86" i="50"/>
  <c r="K86" i="50" s="1"/>
  <c r="H102" i="50"/>
  <c r="K102" i="50" s="1"/>
  <c r="H114" i="50"/>
  <c r="K114" i="50" s="1"/>
  <c r="H81" i="50"/>
  <c r="K81" i="50" s="1"/>
  <c r="H58" i="50"/>
  <c r="K58" i="50" s="1"/>
  <c r="H99" i="50"/>
  <c r="H78" i="50"/>
  <c r="H112" i="50"/>
  <c r="I54" i="50"/>
  <c r="I79" i="50"/>
  <c r="I64" i="50"/>
  <c r="I100" i="50"/>
  <c r="H57" i="50"/>
  <c r="H56" i="50"/>
  <c r="H83" i="50"/>
  <c r="H116" i="50"/>
  <c r="H68" i="50"/>
  <c r="H104" i="50"/>
  <c r="I105" i="50"/>
  <c r="I69" i="50"/>
  <c r="I84" i="50"/>
  <c r="I59" i="50"/>
  <c r="I55" i="50"/>
  <c r="I103" i="50"/>
  <c r="I67" i="50"/>
  <c r="I82" i="50"/>
  <c r="I70" i="50"/>
  <c r="I85" i="50"/>
  <c r="I106" i="50"/>
  <c r="I39" i="50"/>
  <c r="H63" i="50"/>
  <c r="H39" i="50"/>
  <c r="K39" i="50" s="1"/>
  <c r="I61" i="50"/>
  <c r="H64" i="50"/>
  <c r="K64" i="50" s="1"/>
  <c r="H61" i="50"/>
  <c r="K61" i="50" s="1"/>
  <c r="H106" i="50"/>
  <c r="K106" i="50" s="1"/>
  <c r="H70" i="50"/>
  <c r="K70" i="50" s="1"/>
  <c r="H85" i="50"/>
  <c r="K85" i="50" s="1"/>
  <c r="H118" i="50"/>
  <c r="K118" i="50" s="1"/>
  <c r="H55" i="50"/>
  <c r="K55" i="50" s="1"/>
  <c r="H82" i="50"/>
  <c r="K82" i="50" s="1"/>
  <c r="H67" i="50"/>
  <c r="K67" i="50" s="1"/>
  <c r="H103" i="50"/>
  <c r="K103" i="50" s="1"/>
  <c r="H115" i="50"/>
  <c r="K115" i="50" s="1"/>
  <c r="H65" i="50"/>
  <c r="K65" i="50" s="1"/>
  <c r="H66" i="50"/>
  <c r="K66" i="50" s="1"/>
  <c r="K89" i="50"/>
  <c r="J28" i="50"/>
  <c r="K120" i="50"/>
  <c r="J14" i="50"/>
  <c r="K45" i="50"/>
  <c r="J15" i="50"/>
  <c r="K49" i="50"/>
  <c r="J17" i="50"/>
  <c r="K54" i="50"/>
  <c r="K99" i="50"/>
  <c r="K78" i="50"/>
  <c r="J29" i="50"/>
  <c r="K128" i="50"/>
  <c r="J27" i="50"/>
  <c r="K112" i="50"/>
  <c r="K63" i="50"/>
  <c r="K127" i="50"/>
  <c r="L28" i="50"/>
  <c r="K28" i="50"/>
  <c r="L14" i="50"/>
  <c r="K14" i="50"/>
  <c r="L15" i="50"/>
  <c r="K15" i="50"/>
  <c r="K105" i="50"/>
  <c r="K69" i="50"/>
  <c r="K133" i="50"/>
  <c r="K117" i="50"/>
  <c r="K84" i="50"/>
  <c r="K79" i="50"/>
  <c r="K129" i="50"/>
  <c r="K113" i="50"/>
  <c r="K100" i="50"/>
  <c r="K27" i="50"/>
  <c r="L29" i="50"/>
  <c r="L27" i="50"/>
  <c r="K29" i="50"/>
  <c r="K40" i="50"/>
  <c r="K35" i="50"/>
  <c r="K59" i="50"/>
  <c r="L17" i="50"/>
  <c r="K17" i="50"/>
  <c r="K57" i="50"/>
  <c r="K56" i="50"/>
  <c r="K83" i="50"/>
  <c r="K132" i="50"/>
  <c r="K116" i="50"/>
  <c r="K68" i="50"/>
  <c r="K104" i="50"/>
  <c r="AD129" i="30"/>
  <c r="AI94" i="30"/>
  <c r="AC129" i="30"/>
  <c r="AB129" i="30"/>
  <c r="AG8" i="30"/>
  <c r="AO35" i="30"/>
  <c r="BG35" i="30" s="1"/>
  <c r="AD105" i="30"/>
  <c r="AD70" i="30"/>
  <c r="AO34" i="30"/>
  <c r="BG34" i="30" s="1"/>
  <c r="AG35" i="30"/>
  <c r="AD42" i="30"/>
  <c r="AI8" i="30"/>
  <c r="AO9" i="30"/>
  <c r="BG9" i="30" s="1"/>
  <c r="AI9" i="30"/>
  <c r="AB89" i="30"/>
  <c r="AC75" i="30"/>
  <c r="AC124" i="30"/>
  <c r="AC88" i="30"/>
  <c r="AC110" i="30"/>
  <c r="AC56" i="30"/>
  <c r="AD47" i="30"/>
  <c r="AB84" i="30"/>
  <c r="AC72" i="30"/>
  <c r="AC53" i="30"/>
  <c r="AC107" i="30"/>
  <c r="AC85" i="30"/>
  <c r="AD45" i="30"/>
  <c r="AC70" i="30"/>
  <c r="AC120" i="30"/>
  <c r="AC83" i="30"/>
  <c r="AD141" i="30"/>
  <c r="AC141" i="30"/>
  <c r="AC122" i="30"/>
  <c r="AC54" i="30"/>
  <c r="AC73" i="30"/>
  <c r="AC86" i="30"/>
  <c r="AC91" i="30"/>
  <c r="AC59" i="30"/>
  <c r="AC127" i="30"/>
  <c r="AC78" i="30"/>
  <c r="AC113" i="30"/>
  <c r="AB85" i="30"/>
  <c r="AB91" i="30"/>
  <c r="AB86" i="30"/>
  <c r="AG143" i="30"/>
  <c r="AB83" i="30"/>
  <c r="AB141" i="30"/>
  <c r="AD41" i="30"/>
  <c r="AC84" i="30"/>
  <c r="AC71" i="30"/>
  <c r="AC52" i="30"/>
  <c r="AI142" i="30"/>
  <c r="AC121" i="30"/>
  <c r="AC106" i="30"/>
  <c r="AD46" i="30"/>
  <c r="AB88" i="30"/>
  <c r="AC111" i="30"/>
  <c r="AC57" i="30"/>
  <c r="AC76" i="30"/>
  <c r="AC89" i="30"/>
  <c r="AC125" i="30"/>
  <c r="AC87" i="30"/>
  <c r="AC109" i="30"/>
  <c r="AC123" i="30"/>
  <c r="AC55" i="30"/>
  <c r="AC74" i="30"/>
  <c r="AC90" i="30"/>
  <c r="AC58" i="30"/>
  <c r="AC77" i="30"/>
  <c r="AC112" i="30"/>
  <c r="AC126" i="30"/>
  <c r="AD21" i="30"/>
  <c r="AC11" i="30"/>
  <c r="AC21" i="30"/>
  <c r="AC12" i="30"/>
  <c r="AD48" i="30"/>
  <c r="AB11" i="30"/>
  <c r="AB90" i="30"/>
  <c r="AB87" i="30"/>
  <c r="AD43" i="30"/>
  <c r="AD44" i="30"/>
  <c r="AG9" i="30"/>
  <c r="AM9" i="30" s="1"/>
  <c r="AC27" i="30"/>
  <c r="AC30" i="30"/>
  <c r="AC29" i="30"/>
  <c r="AC28" i="30"/>
  <c r="AB41" i="30"/>
  <c r="AC51" i="30"/>
  <c r="AI51" i="30"/>
  <c r="AC26" i="30"/>
  <c r="AO136" i="30"/>
  <c r="BG136" i="30" s="1"/>
  <c r="AD136" i="30"/>
  <c r="AO102" i="30"/>
  <c r="BG102" i="30" s="1"/>
  <c r="AD102" i="30"/>
  <c r="AO131" i="30"/>
  <c r="BG131" i="30" s="1"/>
  <c r="AD131" i="30"/>
  <c r="AO97" i="30"/>
  <c r="BG97" i="30" s="1"/>
  <c r="AD97" i="30"/>
  <c r="AO135" i="30"/>
  <c r="BG135" i="30" s="1"/>
  <c r="AD135" i="30"/>
  <c r="AO101" i="30"/>
  <c r="BG101" i="30" s="1"/>
  <c r="AD101" i="30"/>
  <c r="AO130" i="30"/>
  <c r="BG130" i="30" s="1"/>
  <c r="AD130" i="30"/>
  <c r="AO95" i="30"/>
  <c r="BG95" i="30" s="1"/>
  <c r="AD95" i="30"/>
  <c r="AO94" i="30"/>
  <c r="AN94" i="30" s="1"/>
  <c r="AD94" i="30"/>
  <c r="AO133" i="30"/>
  <c r="BG133" i="30" s="1"/>
  <c r="AD133" i="30"/>
  <c r="AO99" i="30"/>
  <c r="BG99" i="30" s="1"/>
  <c r="AD99" i="30"/>
  <c r="AO132" i="30"/>
  <c r="BG132" i="30" s="1"/>
  <c r="AD132" i="30"/>
  <c r="AO134" i="30"/>
  <c r="BG134" i="30" s="1"/>
  <c r="AD134" i="30"/>
  <c r="AO100" i="30"/>
  <c r="BG100" i="30" s="1"/>
  <c r="AD100" i="30"/>
  <c r="AO30" i="30"/>
  <c r="BG30" i="30" s="1"/>
  <c r="AD30" i="30"/>
  <c r="AO27" i="30"/>
  <c r="AD27" i="30"/>
  <c r="AO29" i="30"/>
  <c r="BG29" i="30" s="1"/>
  <c r="AD29" i="30"/>
  <c r="AO28" i="30"/>
  <c r="BG28" i="30" s="1"/>
  <c r="AD28" i="30"/>
  <c r="AO53" i="30"/>
  <c r="BG53" i="30" s="1"/>
  <c r="AD53" i="30"/>
  <c r="AO107" i="30"/>
  <c r="BG107" i="30" s="1"/>
  <c r="AD107" i="30"/>
  <c r="AO72" i="30"/>
  <c r="BG72" i="30" s="1"/>
  <c r="AD72" i="30"/>
  <c r="AO51" i="30"/>
  <c r="BG51" i="30" s="1"/>
  <c r="AD51" i="30"/>
  <c r="AO120" i="30"/>
  <c r="AD120" i="30"/>
  <c r="AO108" i="30"/>
  <c r="BG108" i="30" s="1"/>
  <c r="AD108" i="30"/>
  <c r="AO143" i="30"/>
  <c r="BG143" i="30" s="1"/>
  <c r="AD143" i="30"/>
  <c r="AO54" i="30"/>
  <c r="BG54" i="30" s="1"/>
  <c r="AD54" i="30"/>
  <c r="AO73" i="30"/>
  <c r="BG73" i="30" s="1"/>
  <c r="AD73" i="30"/>
  <c r="AO122" i="30"/>
  <c r="BG122" i="30" s="1"/>
  <c r="AD122" i="30"/>
  <c r="AO59" i="30"/>
  <c r="BG59" i="30" s="1"/>
  <c r="AD59" i="30"/>
  <c r="AO148" i="30"/>
  <c r="BG148" i="30" s="1"/>
  <c r="AD148" i="30"/>
  <c r="AO127" i="30"/>
  <c r="BG127" i="30" s="1"/>
  <c r="AD127" i="30"/>
  <c r="AO78" i="30"/>
  <c r="BG78" i="30" s="1"/>
  <c r="AD78" i="30"/>
  <c r="AO113" i="30"/>
  <c r="AD113" i="30"/>
  <c r="AD40" i="30"/>
  <c r="AO142" i="30"/>
  <c r="BG142" i="30" s="1"/>
  <c r="AD142" i="30"/>
  <c r="AO121" i="30"/>
  <c r="BG121" i="30" s="1"/>
  <c r="AD121" i="30"/>
  <c r="AO106" i="30"/>
  <c r="BG106" i="30" s="1"/>
  <c r="AD106" i="30"/>
  <c r="AO52" i="30"/>
  <c r="BG52" i="30" s="1"/>
  <c r="AD52" i="30"/>
  <c r="AO71" i="30"/>
  <c r="BG71" i="30" s="1"/>
  <c r="AD71" i="30"/>
  <c r="AO111" i="30"/>
  <c r="AD111" i="30"/>
  <c r="AO125" i="30"/>
  <c r="BG125" i="30" s="1"/>
  <c r="AD125" i="30"/>
  <c r="AO76" i="30"/>
  <c r="AD76" i="30"/>
  <c r="AO146" i="30"/>
  <c r="BG146" i="30" s="1"/>
  <c r="AD146" i="30"/>
  <c r="AO57" i="30"/>
  <c r="AD57" i="30"/>
  <c r="AO109" i="30"/>
  <c r="BG109" i="30" s="1"/>
  <c r="AD109" i="30"/>
  <c r="AO55" i="30"/>
  <c r="BG55" i="30" s="1"/>
  <c r="AD55" i="30"/>
  <c r="AO144" i="30"/>
  <c r="BG144" i="30" s="1"/>
  <c r="AD144" i="30"/>
  <c r="AO123" i="30"/>
  <c r="BG123" i="30" s="1"/>
  <c r="AD123" i="30"/>
  <c r="AO74" i="30"/>
  <c r="BG74" i="30" s="1"/>
  <c r="AD74" i="30"/>
  <c r="AO77" i="30"/>
  <c r="BG77" i="30" s="1"/>
  <c r="AD77" i="30"/>
  <c r="AO147" i="30"/>
  <c r="BG147" i="30" s="1"/>
  <c r="AD147" i="30"/>
  <c r="AO126" i="30"/>
  <c r="BG126" i="30" s="1"/>
  <c r="AD126" i="30"/>
  <c r="AO58" i="30"/>
  <c r="BG58" i="30" s="1"/>
  <c r="AD58" i="30"/>
  <c r="AO112" i="30"/>
  <c r="BG112" i="30" s="1"/>
  <c r="AD112" i="30"/>
  <c r="AO11" i="30"/>
  <c r="AD11" i="30"/>
  <c r="AO12" i="30"/>
  <c r="BG12" i="30" s="1"/>
  <c r="AD12" i="30"/>
  <c r="AO22" i="30"/>
  <c r="BG22" i="30" s="1"/>
  <c r="AD22" i="30"/>
  <c r="AO145" i="30"/>
  <c r="BG145" i="30" s="1"/>
  <c r="AD145" i="30"/>
  <c r="AO124" i="30"/>
  <c r="AD124" i="30"/>
  <c r="AO56" i="30"/>
  <c r="BG56" i="30" s="1"/>
  <c r="AD56" i="30"/>
  <c r="AO75" i="30"/>
  <c r="BG75" i="30" s="1"/>
  <c r="AD75" i="30"/>
  <c r="AO110" i="30"/>
  <c r="BG110" i="30" s="1"/>
  <c r="AD110" i="30"/>
  <c r="AL94" i="30"/>
  <c r="AC94" i="30"/>
  <c r="AI102" i="30"/>
  <c r="AC102" i="30"/>
  <c r="AI136" i="30"/>
  <c r="AC136" i="30"/>
  <c r="AI131" i="30"/>
  <c r="AC131" i="30"/>
  <c r="AI97" i="30"/>
  <c r="AC97" i="30"/>
  <c r="AI101" i="30"/>
  <c r="AC101" i="30"/>
  <c r="AI135" i="30"/>
  <c r="AC135" i="30"/>
  <c r="AI130" i="30"/>
  <c r="AC130" i="30"/>
  <c r="AI95" i="30"/>
  <c r="AC95" i="30"/>
  <c r="AI133" i="30"/>
  <c r="AC133" i="30"/>
  <c r="AI99" i="30"/>
  <c r="AC99" i="30"/>
  <c r="AI132" i="30"/>
  <c r="AC132" i="30"/>
  <c r="AI98" i="30"/>
  <c r="AC98" i="30"/>
  <c r="AI134" i="30"/>
  <c r="AC134" i="30"/>
  <c r="AI100" i="30"/>
  <c r="AC100" i="30"/>
  <c r="AI32" i="30"/>
  <c r="AC32" i="30"/>
  <c r="AI35" i="30"/>
  <c r="AC35" i="30"/>
  <c r="AI34" i="30"/>
  <c r="AC34" i="30"/>
  <c r="AI33" i="30"/>
  <c r="AC33" i="30"/>
  <c r="AC43" i="30"/>
  <c r="AI145" i="30"/>
  <c r="AC145" i="30"/>
  <c r="AC44" i="30"/>
  <c r="AC47" i="30"/>
  <c r="AC45" i="30"/>
  <c r="AC105" i="30"/>
  <c r="AI105" i="30"/>
  <c r="AC119" i="30"/>
  <c r="AI143" i="30"/>
  <c r="AC143" i="30"/>
  <c r="AI108" i="30"/>
  <c r="AC108" i="30"/>
  <c r="AI148" i="30"/>
  <c r="AC148" i="30"/>
  <c r="AC41" i="30"/>
  <c r="AC142" i="30"/>
  <c r="AI146" i="30"/>
  <c r="AC146" i="30"/>
  <c r="AC46" i="30"/>
  <c r="AC42" i="30"/>
  <c r="AI144" i="30"/>
  <c r="AC144" i="30"/>
  <c r="AI147" i="30"/>
  <c r="AC147" i="30"/>
  <c r="AI12" i="30"/>
  <c r="AI22" i="30"/>
  <c r="AC22" i="30"/>
  <c r="AG11" i="30"/>
  <c r="AC48" i="30"/>
  <c r="BG105" i="30"/>
  <c r="AG134" i="30"/>
  <c r="AB134" i="30"/>
  <c r="AG100" i="30"/>
  <c r="AB100" i="30"/>
  <c r="AG132" i="30"/>
  <c r="AB132" i="30"/>
  <c r="AG98" i="30"/>
  <c r="AB98" i="30"/>
  <c r="AG133" i="30"/>
  <c r="AB133" i="30"/>
  <c r="AG99" i="30"/>
  <c r="AB99" i="30"/>
  <c r="AG94" i="30"/>
  <c r="AB94" i="30"/>
  <c r="AG130" i="30"/>
  <c r="AB130" i="30"/>
  <c r="AG95" i="30"/>
  <c r="AB95" i="30"/>
  <c r="AG101" i="30"/>
  <c r="AB101" i="30"/>
  <c r="AG135" i="30"/>
  <c r="AB135" i="30"/>
  <c r="AG131" i="30"/>
  <c r="AB131" i="30"/>
  <c r="AG97" i="30"/>
  <c r="AB97" i="30"/>
  <c r="AG136" i="30"/>
  <c r="AB136" i="30"/>
  <c r="AG102" i="30"/>
  <c r="AB102" i="30"/>
  <c r="AB28" i="30"/>
  <c r="AG33" i="30"/>
  <c r="AB33" i="30"/>
  <c r="AB29" i="30"/>
  <c r="AG34" i="30"/>
  <c r="AM34" i="30" s="1"/>
  <c r="AB34" i="30"/>
  <c r="AB27" i="30"/>
  <c r="AG32" i="30"/>
  <c r="AB32" i="30"/>
  <c r="AB30" i="30"/>
  <c r="AM35" i="30"/>
  <c r="AB35" i="30"/>
  <c r="AB111" i="30"/>
  <c r="AB57" i="30"/>
  <c r="AG146" i="30"/>
  <c r="AB146" i="30"/>
  <c r="AB125" i="30"/>
  <c r="AB76" i="30"/>
  <c r="AG71" i="30"/>
  <c r="AB71" i="30"/>
  <c r="AG142" i="30"/>
  <c r="AB142" i="30"/>
  <c r="AB121" i="30"/>
  <c r="AB106" i="30"/>
  <c r="AB47" i="30"/>
  <c r="AG72" i="30"/>
  <c r="AM72" i="30" s="1"/>
  <c r="AB72" i="30"/>
  <c r="AB107" i="30"/>
  <c r="AG22" i="30"/>
  <c r="AB22" i="30"/>
  <c r="AB46" i="30"/>
  <c r="AG148" i="30"/>
  <c r="AM148" i="30" s="1"/>
  <c r="AB148" i="30"/>
  <c r="AB113" i="30"/>
  <c r="AB59" i="30"/>
  <c r="AB127" i="30"/>
  <c r="AB78" i="30"/>
  <c r="AB108" i="30"/>
  <c r="AM143" i="30"/>
  <c r="AB143" i="30"/>
  <c r="AB122" i="30"/>
  <c r="AB73" i="30"/>
  <c r="AB45" i="30"/>
  <c r="AB105" i="30"/>
  <c r="AG70" i="30"/>
  <c r="AB70" i="30"/>
  <c r="AB120" i="30"/>
  <c r="AB44" i="30"/>
  <c r="AB43" i="30"/>
  <c r="AB75" i="30"/>
  <c r="AG145" i="30"/>
  <c r="AB145" i="30"/>
  <c r="AB124" i="30"/>
  <c r="AB56" i="30"/>
  <c r="AB110" i="30"/>
  <c r="AB51" i="30"/>
  <c r="AB21" i="30"/>
  <c r="AB52" i="30"/>
  <c r="AB48" i="30"/>
  <c r="AB112" i="30"/>
  <c r="AB58" i="30"/>
  <c r="AB77" i="30"/>
  <c r="AG147" i="30"/>
  <c r="AM147" i="30" s="1"/>
  <c r="AB147" i="30"/>
  <c r="AB126" i="30"/>
  <c r="AB42" i="30"/>
  <c r="AB74" i="30"/>
  <c r="AB55" i="30"/>
  <c r="AG144" i="30"/>
  <c r="AM144" i="30" s="1"/>
  <c r="AB144" i="30"/>
  <c r="AB109" i="30"/>
  <c r="AB123" i="30"/>
  <c r="AB53" i="30"/>
  <c r="AB54" i="30"/>
  <c r="AG12" i="30"/>
  <c r="AB12" i="30"/>
  <c r="AG124" i="30"/>
  <c r="BG94" i="30"/>
  <c r="BG93" i="30" s="1"/>
  <c r="X128" i="30"/>
  <c r="W128" i="30" s="1"/>
  <c r="AJ94" i="30"/>
  <c r="Q128" i="30"/>
  <c r="AJ102" i="30"/>
  <c r="AN102" i="30"/>
  <c r="AL102" i="30"/>
  <c r="AL136" i="30"/>
  <c r="AJ136" i="30"/>
  <c r="AN136" i="30"/>
  <c r="AL131" i="30"/>
  <c r="AJ131" i="30"/>
  <c r="AN131" i="30"/>
  <c r="AJ97" i="30"/>
  <c r="AN97" i="30"/>
  <c r="AL97" i="30"/>
  <c r="AJ101" i="30"/>
  <c r="AN101" i="30"/>
  <c r="AL101" i="30"/>
  <c r="AL135" i="30"/>
  <c r="AJ135" i="30"/>
  <c r="AN135" i="30"/>
  <c r="AL130" i="30"/>
  <c r="AJ130" i="30"/>
  <c r="AN130" i="30"/>
  <c r="AJ95" i="30"/>
  <c r="AN95" i="30"/>
  <c r="AL95" i="30"/>
  <c r="AL133" i="30"/>
  <c r="AJ133" i="30"/>
  <c r="AN133" i="30"/>
  <c r="AJ99" i="30"/>
  <c r="AN99" i="30"/>
  <c r="AL99" i="30"/>
  <c r="AL132" i="30"/>
  <c r="AJ132" i="30"/>
  <c r="AN132" i="30"/>
  <c r="AL98" i="30"/>
  <c r="AL134" i="30"/>
  <c r="AJ134" i="30"/>
  <c r="AN134" i="30"/>
  <c r="AJ100" i="30"/>
  <c r="AN100" i="30"/>
  <c r="AL100" i="30"/>
  <c r="AK134" i="30"/>
  <c r="AH134" i="30"/>
  <c r="AM134" i="30"/>
  <c r="AK100" i="30"/>
  <c r="AH100" i="30"/>
  <c r="AM100" i="30"/>
  <c r="AK132" i="30"/>
  <c r="AH132" i="30"/>
  <c r="AM132" i="30"/>
  <c r="AK98" i="30"/>
  <c r="AH98" i="30"/>
  <c r="AM98" i="30"/>
  <c r="AK133" i="30"/>
  <c r="AH133" i="30"/>
  <c r="AM133" i="30"/>
  <c r="AK99" i="30"/>
  <c r="AH99" i="30"/>
  <c r="AM99" i="30"/>
  <c r="AK94" i="30"/>
  <c r="AH94" i="30"/>
  <c r="AM94" i="30"/>
  <c r="N128" i="30"/>
  <c r="AK130" i="30"/>
  <c r="AH130" i="30"/>
  <c r="AM130" i="30"/>
  <c r="AK95" i="30"/>
  <c r="AH95" i="30"/>
  <c r="AM95" i="30"/>
  <c r="AK101" i="30"/>
  <c r="AH101" i="30"/>
  <c r="AM101" i="30"/>
  <c r="AK135" i="30"/>
  <c r="AH135" i="30"/>
  <c r="AM135" i="30"/>
  <c r="AK131" i="30"/>
  <c r="AH131" i="30"/>
  <c r="AM131" i="30"/>
  <c r="AK97" i="30"/>
  <c r="AH97" i="30"/>
  <c r="AM97" i="30"/>
  <c r="AK136" i="30"/>
  <c r="AH136" i="30"/>
  <c r="AM136" i="30"/>
  <c r="AK102" i="30"/>
  <c r="AH102" i="30"/>
  <c r="AM102" i="30"/>
  <c r="AN32" i="30"/>
  <c r="AN33" i="30"/>
  <c r="AO31" i="30"/>
  <c r="AM33" i="30"/>
  <c r="AM32" i="30"/>
  <c r="AM31" i="30" s="1"/>
  <c r="AM146" i="30"/>
  <c r="AM71" i="30"/>
  <c r="AM142" i="30"/>
  <c r="AM22" i="30"/>
  <c r="AM12" i="30"/>
  <c r="AM145" i="30"/>
  <c r="AM124" i="30"/>
  <c r="AN140" i="30"/>
  <c r="AM140" i="30"/>
  <c r="AK70" i="30"/>
  <c r="AM70" i="30"/>
  <c r="AN145" i="30"/>
  <c r="AL35" i="30"/>
  <c r="AN35" i="30"/>
  <c r="AL34" i="30"/>
  <c r="AN34" i="30"/>
  <c r="AN31" i="30" s="1"/>
  <c r="AL9" i="30"/>
  <c r="AN9" i="30"/>
  <c r="AL143" i="30"/>
  <c r="AN143" i="30"/>
  <c r="AL148" i="30"/>
  <c r="AN148" i="30"/>
  <c r="AL142" i="30"/>
  <c r="AN142" i="30"/>
  <c r="AL146" i="30"/>
  <c r="AN146" i="30"/>
  <c r="AL144" i="30"/>
  <c r="AN144" i="30"/>
  <c r="AL147" i="30"/>
  <c r="AN147" i="30"/>
  <c r="AL12" i="30"/>
  <c r="AN12" i="30"/>
  <c r="AL22" i="30"/>
  <c r="AN22" i="30"/>
  <c r="AL32" i="30"/>
  <c r="AL145" i="30"/>
  <c r="AO141" i="30"/>
  <c r="BA137" i="30"/>
  <c r="AI141" i="30"/>
  <c r="AT137" i="30"/>
  <c r="AG141" i="30"/>
  <c r="AM141" i="30" s="1"/>
  <c r="AM137" i="30" s="1"/>
  <c r="AQ137" i="30"/>
  <c r="AO119" i="30"/>
  <c r="BG120" i="30"/>
  <c r="AK124" i="30"/>
  <c r="BG124" i="30"/>
  <c r="AK71" i="30"/>
  <c r="AU140" i="30"/>
  <c r="AL140" i="30"/>
  <c r="AK140" i="30"/>
  <c r="AH146" i="30"/>
  <c r="AK146" i="30"/>
  <c r="AJ145" i="30"/>
  <c r="AJ141" i="30"/>
  <c r="AI137" i="30"/>
  <c r="AJ143" i="30"/>
  <c r="AJ148" i="30"/>
  <c r="AH72" i="30"/>
  <c r="AK72" i="30"/>
  <c r="AH148" i="30"/>
  <c r="AK148" i="30"/>
  <c r="AH143" i="30"/>
  <c r="AK143" i="30"/>
  <c r="AH141" i="30"/>
  <c r="AG137" i="30"/>
  <c r="AK141" i="30"/>
  <c r="AJ142" i="30"/>
  <c r="AH145" i="30"/>
  <c r="AK145" i="30"/>
  <c r="AJ146" i="30"/>
  <c r="AJ144" i="30"/>
  <c r="AJ147" i="30"/>
  <c r="AH147" i="30"/>
  <c r="AK147" i="30"/>
  <c r="AH144" i="30"/>
  <c r="AK144" i="30"/>
  <c r="AK32" i="30"/>
  <c r="AO26" i="30"/>
  <c r="BG27" i="30"/>
  <c r="BG26" i="30" s="1"/>
  <c r="AJ35" i="30"/>
  <c r="AJ34" i="30"/>
  <c r="AJ33" i="30"/>
  <c r="AL33" i="30"/>
  <c r="AH33" i="30"/>
  <c r="AK33" i="30"/>
  <c r="AH34" i="30"/>
  <c r="AK34" i="30"/>
  <c r="AH35" i="30"/>
  <c r="AK35" i="30"/>
  <c r="AH22" i="30"/>
  <c r="AK22" i="30"/>
  <c r="AH12" i="30"/>
  <c r="AK12" i="30"/>
  <c r="AJ12" i="30"/>
  <c r="AH9" i="30"/>
  <c r="AK9" i="30"/>
  <c r="BG113" i="30"/>
  <c r="AJ32" i="30"/>
  <c r="AJ31" i="30" s="1"/>
  <c r="AI31" i="30"/>
  <c r="AG31" i="30"/>
  <c r="AH32" i="30"/>
  <c r="AH31" i="30" s="1"/>
  <c r="AG28" i="30"/>
  <c r="AG29" i="30"/>
  <c r="AG30" i="30"/>
  <c r="AG111" i="30"/>
  <c r="AM111" i="30" s="1"/>
  <c r="AG57" i="30"/>
  <c r="AG125" i="30"/>
  <c r="AM125" i="30" s="1"/>
  <c r="AG76" i="30"/>
  <c r="AM76" i="30" s="1"/>
  <c r="AI75" i="30"/>
  <c r="AI110" i="30"/>
  <c r="AI56" i="30"/>
  <c r="AG121" i="30"/>
  <c r="AM121" i="30" s="1"/>
  <c r="AG106" i="30"/>
  <c r="AM106" i="30" s="1"/>
  <c r="AI72" i="30"/>
  <c r="AI53" i="30"/>
  <c r="AI107" i="30"/>
  <c r="AL105" i="30"/>
  <c r="AI70" i="30"/>
  <c r="AI54" i="30"/>
  <c r="AI73" i="30"/>
  <c r="AI59" i="30"/>
  <c r="AI78" i="30"/>
  <c r="AI113" i="30"/>
  <c r="AG107" i="30"/>
  <c r="AM107" i="30" s="1"/>
  <c r="AG113" i="30"/>
  <c r="AM113" i="30" s="1"/>
  <c r="AG59" i="30"/>
  <c r="AM59" i="30" s="1"/>
  <c r="AG127" i="30"/>
  <c r="AM127" i="30" s="1"/>
  <c r="AG78" i="30"/>
  <c r="AM78" i="30" s="1"/>
  <c r="AG108" i="30"/>
  <c r="AM108" i="30" s="1"/>
  <c r="AG122" i="30"/>
  <c r="AM122" i="30" s="1"/>
  <c r="AG73" i="30"/>
  <c r="AM73" i="30" s="1"/>
  <c r="AG105" i="30"/>
  <c r="AG120" i="30"/>
  <c r="AI71" i="30"/>
  <c r="AI52" i="30"/>
  <c r="AI106" i="30"/>
  <c r="AG75" i="30"/>
  <c r="AM75" i="30" s="1"/>
  <c r="AH124" i="30"/>
  <c r="AG56" i="30"/>
  <c r="AM56" i="30" s="1"/>
  <c r="AG110" i="30"/>
  <c r="AM110" i="30" s="1"/>
  <c r="AI111" i="30"/>
  <c r="AI57" i="30"/>
  <c r="AI76" i="30"/>
  <c r="AI109" i="30"/>
  <c r="AI55" i="30"/>
  <c r="AI74" i="30"/>
  <c r="AI58" i="30"/>
  <c r="AI77" i="30"/>
  <c r="AI112" i="30"/>
  <c r="AG51" i="30"/>
  <c r="AM51" i="30" s="1"/>
  <c r="AG52" i="30"/>
  <c r="AM52" i="30" s="1"/>
  <c r="AG112" i="30"/>
  <c r="AM112" i="30" s="1"/>
  <c r="AG58" i="30"/>
  <c r="AM58" i="30" s="1"/>
  <c r="AG77" i="30"/>
  <c r="AM77" i="30" s="1"/>
  <c r="AG126" i="30"/>
  <c r="AM126" i="30" s="1"/>
  <c r="AG74" i="30"/>
  <c r="AM74" i="30" s="1"/>
  <c r="AG55" i="30"/>
  <c r="AM55" i="30" s="1"/>
  <c r="AG109" i="30"/>
  <c r="AM109" i="30" s="1"/>
  <c r="AG123" i="30"/>
  <c r="AM123" i="30" s="1"/>
  <c r="AG53" i="30"/>
  <c r="AM53" i="30" s="1"/>
  <c r="AG54" i="30"/>
  <c r="AM54" i="30" s="1"/>
  <c r="AH71" i="30"/>
  <c r="AH70" i="30"/>
  <c r="Q26" i="30"/>
  <c r="AI27" i="30"/>
  <c r="AI30" i="30"/>
  <c r="AI29" i="30"/>
  <c r="AI28" i="30"/>
  <c r="N26" i="30"/>
  <c r="AG27" i="30"/>
  <c r="X26" i="30"/>
  <c r="AI124" i="30"/>
  <c r="AI120" i="30"/>
  <c r="AI122" i="30"/>
  <c r="AI127" i="30"/>
  <c r="AI121" i="30"/>
  <c r="AI125" i="30"/>
  <c r="AI123" i="30"/>
  <c r="AI126" i="30"/>
  <c r="N31" i="30"/>
  <c r="AB31" i="30" s="1"/>
  <c r="AO21" i="30"/>
  <c r="AI11" i="30"/>
  <c r="AI21" i="30"/>
  <c r="AG21" i="30"/>
  <c r="C90" i="47" s="1"/>
  <c r="C91" i="47" s="1"/>
  <c r="C92" i="47" s="1"/>
  <c r="C94" i="47" s="1"/>
  <c r="B95" i="47" s="1"/>
  <c r="AJ9" i="30"/>
  <c r="AO137" i="30"/>
  <c r="BG141" i="30"/>
  <c r="BG137" i="30" s="1"/>
  <c r="AO8" i="30"/>
  <c r="BG156" i="30" s="1"/>
  <c r="AJ70" i="30"/>
  <c r="AJ120" i="30"/>
  <c r="AH120" i="30"/>
  <c r="AH57" i="30"/>
  <c r="BG32" i="30"/>
  <c r="BG111" i="30"/>
  <c r="BG104" i="30" s="1"/>
  <c r="AJ22" i="30"/>
  <c r="AJ76" i="30"/>
  <c r="AJ57" i="30"/>
  <c r="BG57" i="30"/>
  <c r="BG50" i="30" s="1"/>
  <c r="AO50" i="30"/>
  <c r="BG76" i="30"/>
  <c r="BG69" i="30" s="1"/>
  <c r="AO69" i="30"/>
  <c r="X31" i="30"/>
  <c r="X40" i="30"/>
  <c r="Q82" i="30"/>
  <c r="N40" i="30"/>
  <c r="N137" i="30"/>
  <c r="N119" i="30"/>
  <c r="Q31" i="30"/>
  <c r="N82" i="30"/>
  <c r="Q119" i="30"/>
  <c r="Q137" i="30"/>
  <c r="X82" i="30"/>
  <c r="AO82" i="30" s="1"/>
  <c r="AU82" i="30" s="1"/>
  <c r="Q40" i="30"/>
  <c r="X137" i="30"/>
  <c r="X119" i="30"/>
  <c r="R21" i="30"/>
  <c r="R16" i="30" s="1"/>
  <c r="D48" i="39"/>
  <c r="C48" i="39"/>
  <c r="BG31" i="30" l="1"/>
  <c r="L125" i="50"/>
  <c r="L127" i="50"/>
  <c r="M28" i="50"/>
  <c r="L124" i="50"/>
  <c r="L123" i="50"/>
  <c r="L122" i="50"/>
  <c r="L121" i="50"/>
  <c r="L120" i="50"/>
  <c r="L126" i="50"/>
  <c r="L34" i="50"/>
  <c r="L47" i="50"/>
  <c r="L46" i="50"/>
  <c r="L45" i="50"/>
  <c r="M14" i="50"/>
  <c r="L48" i="50"/>
  <c r="L51" i="50"/>
  <c r="L50" i="50"/>
  <c r="L49" i="50"/>
  <c r="M15" i="50"/>
  <c r="L52" i="50"/>
  <c r="L61" i="50"/>
  <c r="L60" i="50"/>
  <c r="L59" i="50"/>
  <c r="L58" i="50"/>
  <c r="L57" i="50"/>
  <c r="L56" i="50"/>
  <c r="L55" i="50"/>
  <c r="L54" i="50"/>
  <c r="M17" i="50"/>
  <c r="L62" i="50"/>
  <c r="L134" i="50"/>
  <c r="L133" i="50"/>
  <c r="L132" i="50"/>
  <c r="L131" i="50"/>
  <c r="L130" i="50"/>
  <c r="L129" i="50"/>
  <c r="L128" i="50"/>
  <c r="M29" i="50"/>
  <c r="L135" i="50"/>
  <c r="L118" i="50"/>
  <c r="L117" i="50"/>
  <c r="L116" i="50"/>
  <c r="L115" i="50"/>
  <c r="L114" i="50"/>
  <c r="L113" i="50"/>
  <c r="L112" i="50"/>
  <c r="M27" i="50"/>
  <c r="L119" i="50"/>
  <c r="AG119" i="30"/>
  <c r="B7" i="47"/>
  <c r="N14" i="30"/>
  <c r="N24" i="30"/>
  <c r="AM21" i="30"/>
  <c r="X79" i="30"/>
  <c r="J87" i="50" s="1"/>
  <c r="L22" i="50" s="1"/>
  <c r="X60" i="30"/>
  <c r="J72" i="50" s="1"/>
  <c r="L18" i="50" s="1"/>
  <c r="AK142" i="30"/>
  <c r="AH142" i="30"/>
  <c r="AD26" i="30"/>
  <c r="AD119" i="30"/>
  <c r="AD128" i="30"/>
  <c r="AD50" i="30"/>
  <c r="AD137" i="30"/>
  <c r="AC128" i="30"/>
  <c r="AB137" i="30"/>
  <c r="X103" i="30"/>
  <c r="J98" i="50" s="1"/>
  <c r="L24" i="50" s="1"/>
  <c r="X114" i="30"/>
  <c r="J108" i="50" s="1"/>
  <c r="L25" i="50" s="1"/>
  <c r="AN98" i="30"/>
  <c r="AJ98" i="30"/>
  <c r="AC40" i="30"/>
  <c r="AC137" i="30"/>
  <c r="AB26" i="30"/>
  <c r="AB128" i="30"/>
  <c r="AB119" i="30"/>
  <c r="AI82" i="30"/>
  <c r="AC82" i="30"/>
  <c r="X93" i="30"/>
  <c r="AO103" i="30"/>
  <c r="AO93" i="30" s="1"/>
  <c r="AB40" i="30"/>
  <c r="R128" i="30"/>
  <c r="AG82" i="30"/>
  <c r="AB82" i="30"/>
  <c r="AM28" i="30"/>
  <c r="AM29" i="30"/>
  <c r="AM30" i="30"/>
  <c r="AL31" i="30"/>
  <c r="AK31" i="30"/>
  <c r="AM82" i="30"/>
  <c r="AK57" i="30"/>
  <c r="AM57" i="30"/>
  <c r="AK105" i="30"/>
  <c r="AM105" i="30"/>
  <c r="AK120" i="30"/>
  <c r="AM120" i="30"/>
  <c r="AM119" i="30" s="1"/>
  <c r="AK27" i="30"/>
  <c r="AM27" i="30"/>
  <c r="AM26" i="30" s="1"/>
  <c r="AN8" i="30"/>
  <c r="AM8" i="30"/>
  <c r="AN82" i="30"/>
  <c r="AL141" i="30"/>
  <c r="AL137" i="30" s="1"/>
  <c r="AN141" i="30"/>
  <c r="AN137" i="30" s="1"/>
  <c r="AL75" i="30"/>
  <c r="AN75" i="30"/>
  <c r="AL110" i="30"/>
  <c r="AN110" i="30"/>
  <c r="AL56" i="30"/>
  <c r="AN56" i="30"/>
  <c r="AL72" i="30"/>
  <c r="AN72" i="30"/>
  <c r="AL53" i="30"/>
  <c r="AN53" i="30"/>
  <c r="AL107" i="30"/>
  <c r="AN107" i="30"/>
  <c r="AN105" i="30"/>
  <c r="AL70" i="30"/>
  <c r="AN70" i="30"/>
  <c r="AL51" i="30"/>
  <c r="AN51" i="30"/>
  <c r="AL54" i="30"/>
  <c r="AN54" i="30"/>
  <c r="AL73" i="30"/>
  <c r="AN73" i="30"/>
  <c r="AL108" i="30"/>
  <c r="AN108" i="30"/>
  <c r="AL59" i="30"/>
  <c r="AN59" i="30"/>
  <c r="AL78" i="30"/>
  <c r="AN78" i="30"/>
  <c r="AL113" i="30"/>
  <c r="AN113" i="30"/>
  <c r="AL71" i="30"/>
  <c r="AN71" i="30"/>
  <c r="AL52" i="30"/>
  <c r="AN52" i="30"/>
  <c r="AL106" i="30"/>
  <c r="AN106" i="30"/>
  <c r="AL111" i="30"/>
  <c r="AN111" i="30"/>
  <c r="AL57" i="30"/>
  <c r="AN57" i="30"/>
  <c r="AL76" i="30"/>
  <c r="AN76" i="30"/>
  <c r="AL109" i="30"/>
  <c r="AN109" i="30"/>
  <c r="AL55" i="30"/>
  <c r="AN55" i="30"/>
  <c r="AL74" i="30"/>
  <c r="AN74" i="30"/>
  <c r="AL58" i="30"/>
  <c r="AN58" i="30"/>
  <c r="AL77" i="30"/>
  <c r="AN77" i="30"/>
  <c r="AL112" i="30"/>
  <c r="AN112" i="30"/>
  <c r="AL27" i="30"/>
  <c r="AN27" i="30"/>
  <c r="AL30" i="30"/>
  <c r="AN30" i="30"/>
  <c r="AL29" i="30"/>
  <c r="AN29" i="30"/>
  <c r="AL28" i="30"/>
  <c r="AN28" i="30"/>
  <c r="AL124" i="30"/>
  <c r="AN124" i="30"/>
  <c r="AL120" i="30"/>
  <c r="AN120" i="30"/>
  <c r="AL122" i="30"/>
  <c r="AN122" i="30"/>
  <c r="AL127" i="30"/>
  <c r="AN127" i="30"/>
  <c r="AL121" i="30"/>
  <c r="AN121" i="30"/>
  <c r="AL125" i="30"/>
  <c r="AN125" i="30"/>
  <c r="AL123" i="30"/>
  <c r="AN123" i="30"/>
  <c r="AL126" i="30"/>
  <c r="AN126" i="30"/>
  <c r="AL11" i="30"/>
  <c r="AN11" i="30"/>
  <c r="AL21" i="30"/>
  <c r="AN21" i="30"/>
  <c r="AK11" i="30"/>
  <c r="AM11" i="30"/>
  <c r="AL8" i="30"/>
  <c r="AL26" i="30"/>
  <c r="AL119" i="30"/>
  <c r="X24" i="30"/>
  <c r="J42" i="50" s="1"/>
  <c r="X14" i="30"/>
  <c r="BG119" i="30"/>
  <c r="AL82" i="30"/>
  <c r="AK82" i="30"/>
  <c r="AJ137" i="30"/>
  <c r="AH137" i="30"/>
  <c r="AK137" i="30"/>
  <c r="AH111" i="30"/>
  <c r="AK111" i="30"/>
  <c r="AH125" i="30"/>
  <c r="AK125" i="30"/>
  <c r="AH76" i="30"/>
  <c r="AK76" i="30"/>
  <c r="AJ75" i="30"/>
  <c r="AJ110" i="30"/>
  <c r="AJ56" i="30"/>
  <c r="AH121" i="30"/>
  <c r="AK121" i="30"/>
  <c r="AH106" i="30"/>
  <c r="AK106" i="30"/>
  <c r="AJ72" i="30"/>
  <c r="AJ53" i="30"/>
  <c r="AJ107" i="30"/>
  <c r="AJ51" i="30"/>
  <c r="AJ54" i="30"/>
  <c r="AJ73" i="30"/>
  <c r="AJ108" i="30"/>
  <c r="AJ59" i="30"/>
  <c r="AJ78" i="30"/>
  <c r="AJ113" i="30"/>
  <c r="AH107" i="30"/>
  <c r="AK107" i="30"/>
  <c r="AH113" i="30"/>
  <c r="AK113" i="30"/>
  <c r="AH59" i="30"/>
  <c r="AK59" i="30"/>
  <c r="AH127" i="30"/>
  <c r="AK127" i="30"/>
  <c r="AH78" i="30"/>
  <c r="AK78" i="30"/>
  <c r="AH108" i="30"/>
  <c r="AK108" i="30"/>
  <c r="AH122" i="30"/>
  <c r="AK122" i="30"/>
  <c r="AH73" i="30"/>
  <c r="AK73" i="30"/>
  <c r="AJ71" i="30"/>
  <c r="AJ52" i="30"/>
  <c r="AJ106" i="30"/>
  <c r="AH75" i="30"/>
  <c r="AK75" i="30"/>
  <c r="AH56" i="30"/>
  <c r="AK56" i="30"/>
  <c r="AH110" i="30"/>
  <c r="AK110" i="30"/>
  <c r="AJ111" i="30"/>
  <c r="AJ109" i="30"/>
  <c r="AJ55" i="30"/>
  <c r="AJ74" i="30"/>
  <c r="AJ58" i="30"/>
  <c r="AJ77" i="30"/>
  <c r="AJ112" i="30"/>
  <c r="AH51" i="30"/>
  <c r="AK51" i="30"/>
  <c r="AH52" i="30"/>
  <c r="AK52" i="30"/>
  <c r="AH112" i="30"/>
  <c r="AK112" i="30"/>
  <c r="AH58" i="30"/>
  <c r="AK58" i="30"/>
  <c r="AH77" i="30"/>
  <c r="AK77" i="30"/>
  <c r="AH126" i="30"/>
  <c r="AK126" i="30"/>
  <c r="AH74" i="30"/>
  <c r="AK74" i="30"/>
  <c r="AH55" i="30"/>
  <c r="AK55" i="30"/>
  <c r="AH109" i="30"/>
  <c r="AK109" i="30"/>
  <c r="AH123" i="30"/>
  <c r="AK123" i="30"/>
  <c r="AH53" i="30"/>
  <c r="AK53" i="30"/>
  <c r="AH54" i="30"/>
  <c r="AK54" i="30"/>
  <c r="AJ124" i="30"/>
  <c r="AJ122" i="30"/>
  <c r="AJ127" i="30"/>
  <c r="AJ121" i="30"/>
  <c r="AJ125" i="30"/>
  <c r="AJ123" i="30"/>
  <c r="AJ126" i="30"/>
  <c r="AK8" i="30"/>
  <c r="AK21" i="30"/>
  <c r="AH28" i="30"/>
  <c r="AK28" i="30"/>
  <c r="AH29" i="30"/>
  <c r="AK29" i="30"/>
  <c r="AH30" i="30"/>
  <c r="AK30" i="30"/>
  <c r="AJ30" i="30"/>
  <c r="AJ29" i="30"/>
  <c r="AJ28" i="30"/>
  <c r="AJ8" i="30"/>
  <c r="N60" i="30"/>
  <c r="AJ105" i="30"/>
  <c r="AH105" i="30"/>
  <c r="AO24" i="30"/>
  <c r="X50" i="30"/>
  <c r="AI119" i="30"/>
  <c r="AI26" i="30"/>
  <c r="AJ27" i="30"/>
  <c r="AJ26" i="30" s="1"/>
  <c r="AG26" i="30"/>
  <c r="AH27" i="30"/>
  <c r="AH26" i="30" s="1"/>
  <c r="AH21" i="30"/>
  <c r="AH8" i="30"/>
  <c r="AJ11" i="30"/>
  <c r="AH11" i="30"/>
  <c r="BG21" i="30"/>
  <c r="BG11" i="30"/>
  <c r="AJ21" i="30"/>
  <c r="AO156" i="30"/>
  <c r="W119" i="30"/>
  <c r="R137" i="30"/>
  <c r="R119" i="30"/>
  <c r="W137" i="30"/>
  <c r="N217" i="30"/>
  <c r="N194" i="30"/>
  <c r="X186" i="30"/>
  <c r="CQ7" i="35"/>
  <c r="CR7" i="35"/>
  <c r="CT7" i="35"/>
  <c r="CU7" i="35"/>
  <c r="CV7" i="35"/>
  <c r="CW7" i="35"/>
  <c r="CY7" i="35"/>
  <c r="CZ7" i="35"/>
  <c r="DA7" i="35"/>
  <c r="DB7" i="35"/>
  <c r="CQ8" i="35"/>
  <c r="CR8" i="35"/>
  <c r="CT8" i="35"/>
  <c r="CU8" i="35"/>
  <c r="CV8" i="35"/>
  <c r="CW8" i="35"/>
  <c r="CY8" i="35"/>
  <c r="CZ8" i="35"/>
  <c r="DA8" i="35"/>
  <c r="DB8" i="35"/>
  <c r="CQ9" i="35"/>
  <c r="CR9" i="35"/>
  <c r="CT9" i="35"/>
  <c r="CU9" i="35"/>
  <c r="CV9" i="35"/>
  <c r="CW9" i="35"/>
  <c r="CY9" i="35"/>
  <c r="CZ9" i="35"/>
  <c r="DA9" i="35"/>
  <c r="DB9" i="35"/>
  <c r="CQ10" i="35"/>
  <c r="CR10" i="35"/>
  <c r="CT10" i="35"/>
  <c r="CU10" i="35"/>
  <c r="CV10" i="35"/>
  <c r="CW10" i="35"/>
  <c r="CY10" i="35"/>
  <c r="CZ10" i="35"/>
  <c r="DA10" i="35"/>
  <c r="DB10" i="35"/>
  <c r="CQ11" i="35"/>
  <c r="CR11" i="35"/>
  <c r="CT11" i="35"/>
  <c r="CU11" i="35"/>
  <c r="CV11" i="35"/>
  <c r="CW11" i="35"/>
  <c r="CY11" i="35"/>
  <c r="CZ11" i="35"/>
  <c r="DA11" i="35"/>
  <c r="DB11" i="35"/>
  <c r="CQ12" i="35"/>
  <c r="CR12" i="35"/>
  <c r="CT12" i="35"/>
  <c r="CU12" i="35"/>
  <c r="CV12" i="35"/>
  <c r="CW12" i="35"/>
  <c r="CY12" i="35"/>
  <c r="CZ12" i="35"/>
  <c r="DA12" i="35"/>
  <c r="DB12" i="35"/>
  <c r="CQ13" i="35"/>
  <c r="CR13" i="35"/>
  <c r="CT13" i="35"/>
  <c r="CU13" i="35"/>
  <c r="CV13" i="35"/>
  <c r="CW13" i="35"/>
  <c r="CY13" i="35"/>
  <c r="CZ13" i="35"/>
  <c r="DA13" i="35"/>
  <c r="DB13" i="35"/>
  <c r="CQ14" i="35"/>
  <c r="CR14" i="35"/>
  <c r="CT14" i="35"/>
  <c r="CU14" i="35"/>
  <c r="CV14" i="35"/>
  <c r="CW14" i="35"/>
  <c r="CY14" i="35"/>
  <c r="CZ14" i="35"/>
  <c r="DA14" i="35"/>
  <c r="DB14" i="35"/>
  <c r="CQ15" i="35"/>
  <c r="CR15" i="35"/>
  <c r="CT15" i="35"/>
  <c r="CU15" i="35"/>
  <c r="CV15" i="35"/>
  <c r="CW15" i="35"/>
  <c r="CY15" i="35"/>
  <c r="CZ15" i="35"/>
  <c r="DA15" i="35"/>
  <c r="DB15" i="35"/>
  <c r="CQ16" i="35"/>
  <c r="CR16" i="35"/>
  <c r="CT16" i="35"/>
  <c r="CU16" i="35"/>
  <c r="CV16" i="35"/>
  <c r="CW16" i="35"/>
  <c r="CY16" i="35"/>
  <c r="CZ16" i="35"/>
  <c r="DA16" i="35"/>
  <c r="DB16" i="35"/>
  <c r="CQ17" i="35"/>
  <c r="CR17" i="35"/>
  <c r="CT17" i="35"/>
  <c r="CU17" i="35"/>
  <c r="CV17" i="35"/>
  <c r="CW17" i="35"/>
  <c r="CY17" i="35"/>
  <c r="CZ17" i="35"/>
  <c r="DA17" i="35"/>
  <c r="DB17" i="35"/>
  <c r="CQ18" i="35"/>
  <c r="CR18" i="35"/>
  <c r="CT18" i="35"/>
  <c r="CU18" i="35"/>
  <c r="CV18" i="35"/>
  <c r="CW18" i="35"/>
  <c r="CY18" i="35"/>
  <c r="CZ18" i="35"/>
  <c r="DA18" i="35"/>
  <c r="DB18" i="35"/>
  <c r="CQ19" i="35"/>
  <c r="CR19" i="35"/>
  <c r="CT19" i="35"/>
  <c r="CU19" i="35"/>
  <c r="CV19" i="35"/>
  <c r="CW19" i="35"/>
  <c r="CY19" i="35"/>
  <c r="CZ19" i="35"/>
  <c r="DA19" i="35"/>
  <c r="DB19" i="35"/>
  <c r="CQ20" i="35"/>
  <c r="CR20" i="35"/>
  <c r="CT20" i="35"/>
  <c r="CU20" i="35"/>
  <c r="CV20" i="35"/>
  <c r="CW20" i="35"/>
  <c r="CY20" i="35"/>
  <c r="CZ20" i="35"/>
  <c r="DA20" i="35"/>
  <c r="DB20" i="35"/>
  <c r="CQ21" i="35"/>
  <c r="CR21" i="35"/>
  <c r="CT21" i="35"/>
  <c r="CU21" i="35"/>
  <c r="CV21" i="35"/>
  <c r="CW21" i="35"/>
  <c r="CY21" i="35"/>
  <c r="CZ21" i="35"/>
  <c r="DA21" i="35"/>
  <c r="DB21" i="35"/>
  <c r="CQ22" i="35"/>
  <c r="CR22" i="35"/>
  <c r="CT22" i="35"/>
  <c r="CU22" i="35"/>
  <c r="CV22" i="35"/>
  <c r="CW22" i="35"/>
  <c r="CY22" i="35"/>
  <c r="CZ22" i="35"/>
  <c r="DA22" i="35"/>
  <c r="DB22" i="35"/>
  <c r="CQ23" i="35"/>
  <c r="CR23" i="35"/>
  <c r="CT23" i="35"/>
  <c r="CU23" i="35"/>
  <c r="CV23" i="35"/>
  <c r="CW23" i="35"/>
  <c r="CY23" i="35"/>
  <c r="CZ23" i="35"/>
  <c r="DA23" i="35"/>
  <c r="DB23" i="35"/>
  <c r="CQ24" i="35"/>
  <c r="CR24" i="35"/>
  <c r="CT24" i="35"/>
  <c r="CU24" i="35"/>
  <c r="CV24" i="35"/>
  <c r="CW24" i="35"/>
  <c r="CY24" i="35"/>
  <c r="CZ24" i="35"/>
  <c r="DA24" i="35"/>
  <c r="DB24" i="35"/>
  <c r="CQ25" i="35"/>
  <c r="CR25" i="35"/>
  <c r="CT25" i="35"/>
  <c r="CU25" i="35"/>
  <c r="CV25" i="35"/>
  <c r="CW25" i="35"/>
  <c r="CY25" i="35"/>
  <c r="CZ25" i="35"/>
  <c r="DA25" i="35"/>
  <c r="DB25" i="35"/>
  <c r="CQ26" i="35"/>
  <c r="CR26" i="35"/>
  <c r="CT26" i="35"/>
  <c r="CU26" i="35"/>
  <c r="CV26" i="35"/>
  <c r="CW26" i="35"/>
  <c r="CY26" i="35"/>
  <c r="CZ26" i="35"/>
  <c r="DA26" i="35"/>
  <c r="DB26" i="35"/>
  <c r="CQ27" i="35"/>
  <c r="CR27" i="35"/>
  <c r="CT27" i="35"/>
  <c r="CU27" i="35"/>
  <c r="CV27" i="35"/>
  <c r="CW27" i="35"/>
  <c r="CY27" i="35"/>
  <c r="CZ27" i="35"/>
  <c r="DA27" i="35"/>
  <c r="DB27" i="35"/>
  <c r="CQ28" i="35"/>
  <c r="CR28" i="35"/>
  <c r="CT28" i="35"/>
  <c r="CU28" i="35"/>
  <c r="CV28" i="35"/>
  <c r="CW28" i="35"/>
  <c r="CY28" i="35"/>
  <c r="CZ28" i="35"/>
  <c r="DA28" i="35"/>
  <c r="DB28" i="35"/>
  <c r="CQ29" i="35"/>
  <c r="CR29" i="35"/>
  <c r="CT29" i="35"/>
  <c r="CU29" i="35"/>
  <c r="CV29" i="35"/>
  <c r="CW29" i="35"/>
  <c r="CY29" i="35"/>
  <c r="CZ29" i="35"/>
  <c r="DA29" i="35"/>
  <c r="DB29" i="35"/>
  <c r="CQ30" i="35"/>
  <c r="CR30" i="35"/>
  <c r="CT30" i="35"/>
  <c r="CU30" i="35"/>
  <c r="CV30" i="35"/>
  <c r="CW30" i="35"/>
  <c r="CY30" i="35"/>
  <c r="CZ30" i="35"/>
  <c r="DA30" i="35"/>
  <c r="DB30" i="35"/>
  <c r="CQ31" i="35"/>
  <c r="CR31" i="35"/>
  <c r="CT31" i="35"/>
  <c r="CU31" i="35"/>
  <c r="CV31" i="35"/>
  <c r="CW31" i="35"/>
  <c r="CY31" i="35"/>
  <c r="CZ31" i="35"/>
  <c r="DA31" i="35"/>
  <c r="DB31" i="35"/>
  <c r="CQ32" i="35"/>
  <c r="CR32" i="35"/>
  <c r="CT32" i="35"/>
  <c r="CU32" i="35"/>
  <c r="CV32" i="35"/>
  <c r="CW32" i="35"/>
  <c r="CY32" i="35"/>
  <c r="CZ32" i="35"/>
  <c r="DA32" i="35"/>
  <c r="DB32" i="35"/>
  <c r="CQ33" i="35"/>
  <c r="CR33" i="35"/>
  <c r="CT33" i="35"/>
  <c r="CU33" i="35"/>
  <c r="CV33" i="35"/>
  <c r="CW33" i="35"/>
  <c r="CY33" i="35"/>
  <c r="CZ33" i="35"/>
  <c r="DA33" i="35"/>
  <c r="DB33" i="35"/>
  <c r="CQ34" i="35"/>
  <c r="CR34" i="35"/>
  <c r="CT34" i="35"/>
  <c r="CU34" i="35"/>
  <c r="CV34" i="35"/>
  <c r="CW34" i="35"/>
  <c r="CY34" i="35"/>
  <c r="CZ34" i="35"/>
  <c r="DA34" i="35"/>
  <c r="DB34" i="35"/>
  <c r="CQ35" i="35"/>
  <c r="CR35" i="35"/>
  <c r="CT35" i="35"/>
  <c r="CU35" i="35"/>
  <c r="CV35" i="35"/>
  <c r="CW35" i="35"/>
  <c r="CY35" i="35"/>
  <c r="CZ35" i="35"/>
  <c r="DA35" i="35"/>
  <c r="DB35" i="35"/>
  <c r="CQ36" i="35"/>
  <c r="CR36" i="35"/>
  <c r="CT36" i="35"/>
  <c r="CU36" i="35"/>
  <c r="CV36" i="35"/>
  <c r="CW36" i="35"/>
  <c r="CY36" i="35"/>
  <c r="CZ36" i="35"/>
  <c r="DA36" i="35"/>
  <c r="DB36" i="35"/>
  <c r="CQ37" i="35"/>
  <c r="CR37" i="35"/>
  <c r="CT37" i="35"/>
  <c r="CU37" i="35"/>
  <c r="CV37" i="35"/>
  <c r="CW37" i="35"/>
  <c r="CY37" i="35"/>
  <c r="CZ37" i="35"/>
  <c r="DA37" i="35"/>
  <c r="DB37" i="35"/>
  <c r="CQ38" i="35"/>
  <c r="CR38" i="35"/>
  <c r="CT38" i="35"/>
  <c r="CU38" i="35"/>
  <c r="CV38" i="35"/>
  <c r="CW38" i="35"/>
  <c r="CY38" i="35"/>
  <c r="CZ38" i="35"/>
  <c r="DA38" i="35"/>
  <c r="DB38" i="35"/>
  <c r="CQ39" i="35"/>
  <c r="CR39" i="35"/>
  <c r="CT39" i="35"/>
  <c r="CU39" i="35"/>
  <c r="CV39" i="35"/>
  <c r="CW39" i="35"/>
  <c r="CY39" i="35"/>
  <c r="CZ39" i="35"/>
  <c r="DA39" i="35"/>
  <c r="DB39" i="35"/>
  <c r="CQ40" i="35"/>
  <c r="CR40" i="35"/>
  <c r="CT40" i="35"/>
  <c r="CU40" i="35"/>
  <c r="CV40" i="35"/>
  <c r="CW40" i="35"/>
  <c r="CY40" i="35"/>
  <c r="CZ40" i="35"/>
  <c r="DA40" i="35"/>
  <c r="DB40" i="35"/>
  <c r="CQ41" i="35"/>
  <c r="CR41" i="35"/>
  <c r="CT41" i="35"/>
  <c r="CU41" i="35"/>
  <c r="CV41" i="35"/>
  <c r="CW41" i="35"/>
  <c r="CY41" i="35"/>
  <c r="CZ41" i="35"/>
  <c r="DA41" i="35"/>
  <c r="DB41" i="35"/>
  <c r="B42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D53" i="35" s="1"/>
  <c r="AX42" i="35"/>
  <c r="AY42" i="35"/>
  <c r="D54" i="35" s="1"/>
  <c r="AZ42" i="35"/>
  <c r="BA42" i="35"/>
  <c r="BB42" i="35"/>
  <c r="BC42" i="35"/>
  <c r="BD42" i="35"/>
  <c r="BE42" i="35"/>
  <c r="BF42" i="35"/>
  <c r="BG42" i="35"/>
  <c r="D52" i="35" s="1"/>
  <c r="BH42" i="35"/>
  <c r="BI42" i="35"/>
  <c r="BJ42" i="35"/>
  <c r="BK42" i="35"/>
  <c r="BL42" i="35"/>
  <c r="BM42" i="35"/>
  <c r="BN42" i="35"/>
  <c r="BO42" i="35"/>
  <c r="BP42" i="35"/>
  <c r="BQ42" i="35"/>
  <c r="BR42" i="35"/>
  <c r="BS42" i="35"/>
  <c r="BT42" i="35"/>
  <c r="BU42" i="35"/>
  <c r="BV42" i="35"/>
  <c r="BW42" i="35"/>
  <c r="BX42" i="35"/>
  <c r="BY42" i="35"/>
  <c r="BZ42" i="35"/>
  <c r="CA42" i="35"/>
  <c r="CB42" i="35"/>
  <c r="CC42" i="35"/>
  <c r="CD42" i="35"/>
  <c r="CE42" i="35"/>
  <c r="CF42" i="35"/>
  <c r="CG42" i="35"/>
  <c r="CH42" i="35"/>
  <c r="CI42" i="35"/>
  <c r="CJ42" i="35"/>
  <c r="CK42" i="35"/>
  <c r="CL42" i="35"/>
  <c r="CM42" i="35"/>
  <c r="CN42" i="35"/>
  <c r="CO42" i="35"/>
  <c r="CP42" i="35"/>
  <c r="C47" i="35"/>
  <c r="C53" i="35"/>
  <c r="AE175" i="30"/>
  <c r="AE191" i="30"/>
  <c r="CQ7" i="34"/>
  <c r="CR7" i="34"/>
  <c r="CT7" i="34"/>
  <c r="CU7" i="34"/>
  <c r="CV7" i="34"/>
  <c r="CW7" i="34"/>
  <c r="CY7" i="34"/>
  <c r="CZ7" i="34"/>
  <c r="DA7" i="34"/>
  <c r="DB7" i="34"/>
  <c r="CQ8" i="34"/>
  <c r="CR8" i="34"/>
  <c r="CT8" i="34"/>
  <c r="CU8" i="34"/>
  <c r="CV8" i="34"/>
  <c r="CW8" i="34"/>
  <c r="CY8" i="34"/>
  <c r="CZ8" i="34"/>
  <c r="DA8" i="34"/>
  <c r="DB8" i="34"/>
  <c r="CQ9" i="34"/>
  <c r="CR9" i="34"/>
  <c r="CT9" i="34"/>
  <c r="CU9" i="34"/>
  <c r="CV9" i="34"/>
  <c r="CW9" i="34"/>
  <c r="CY9" i="34"/>
  <c r="CZ9" i="34"/>
  <c r="DA9" i="34"/>
  <c r="DB9" i="34"/>
  <c r="CQ10" i="34"/>
  <c r="CR10" i="34"/>
  <c r="CT10" i="34"/>
  <c r="CU10" i="34"/>
  <c r="CV10" i="34"/>
  <c r="CW10" i="34"/>
  <c r="CY10" i="34"/>
  <c r="CZ10" i="34"/>
  <c r="DA10" i="34"/>
  <c r="DB10" i="34"/>
  <c r="CQ11" i="34"/>
  <c r="CR11" i="34"/>
  <c r="CT11" i="34"/>
  <c r="CU11" i="34"/>
  <c r="CV11" i="34"/>
  <c r="CW11" i="34"/>
  <c r="CY11" i="34"/>
  <c r="CZ11" i="34"/>
  <c r="DA11" i="34"/>
  <c r="DB11" i="34"/>
  <c r="CQ12" i="34"/>
  <c r="CR12" i="34"/>
  <c r="CT12" i="34"/>
  <c r="CU12" i="34"/>
  <c r="CV12" i="34"/>
  <c r="CW12" i="34"/>
  <c r="CY12" i="34"/>
  <c r="CZ12" i="34"/>
  <c r="DA12" i="34"/>
  <c r="DB12" i="34"/>
  <c r="CQ13" i="34"/>
  <c r="CR13" i="34"/>
  <c r="CT13" i="34"/>
  <c r="CU13" i="34"/>
  <c r="CV13" i="34"/>
  <c r="CW13" i="34"/>
  <c r="CY13" i="34"/>
  <c r="CZ13" i="34"/>
  <c r="DA13" i="34"/>
  <c r="DB13" i="34"/>
  <c r="CQ14" i="34"/>
  <c r="CR14" i="34"/>
  <c r="CT14" i="34"/>
  <c r="CU14" i="34"/>
  <c r="CV14" i="34"/>
  <c r="CW14" i="34"/>
  <c r="CY14" i="34"/>
  <c r="CZ14" i="34"/>
  <c r="DA14" i="34"/>
  <c r="DB14" i="34"/>
  <c r="CQ15" i="34"/>
  <c r="CR15" i="34"/>
  <c r="CT15" i="34"/>
  <c r="CU15" i="34"/>
  <c r="CV15" i="34"/>
  <c r="CW15" i="34"/>
  <c r="CY15" i="34"/>
  <c r="CZ15" i="34"/>
  <c r="DA15" i="34"/>
  <c r="DB15" i="34"/>
  <c r="CQ16" i="34"/>
  <c r="CR16" i="34"/>
  <c r="CT16" i="34"/>
  <c r="CU16" i="34"/>
  <c r="CV16" i="34"/>
  <c r="CW16" i="34"/>
  <c r="CY16" i="34"/>
  <c r="CZ16" i="34"/>
  <c r="DA16" i="34"/>
  <c r="DB16" i="34"/>
  <c r="CQ17" i="34"/>
  <c r="CR17" i="34"/>
  <c r="CT17" i="34"/>
  <c r="CU17" i="34"/>
  <c r="CV17" i="34"/>
  <c r="CW17" i="34"/>
  <c r="CY17" i="34"/>
  <c r="CZ17" i="34"/>
  <c r="DA17" i="34"/>
  <c r="DB17" i="34"/>
  <c r="CQ18" i="34"/>
  <c r="CR18" i="34"/>
  <c r="CT18" i="34"/>
  <c r="CU18" i="34"/>
  <c r="CV18" i="34"/>
  <c r="CW18" i="34"/>
  <c r="CY18" i="34"/>
  <c r="CZ18" i="34"/>
  <c r="DA18" i="34"/>
  <c r="DB18" i="34"/>
  <c r="CQ19" i="34"/>
  <c r="CR19" i="34"/>
  <c r="CT19" i="34"/>
  <c r="CU19" i="34"/>
  <c r="CV19" i="34"/>
  <c r="CW19" i="34"/>
  <c r="CY19" i="34"/>
  <c r="CZ19" i="34"/>
  <c r="DA19" i="34"/>
  <c r="DB19" i="34"/>
  <c r="CQ20" i="34"/>
  <c r="CR20" i="34"/>
  <c r="CT20" i="34"/>
  <c r="CU20" i="34"/>
  <c r="CV20" i="34"/>
  <c r="CW20" i="34"/>
  <c r="CY20" i="34"/>
  <c r="CZ20" i="34"/>
  <c r="DA20" i="34"/>
  <c r="DB20" i="34"/>
  <c r="CQ21" i="34"/>
  <c r="CR21" i="34"/>
  <c r="CT21" i="34"/>
  <c r="CU21" i="34"/>
  <c r="CV21" i="34"/>
  <c r="CW21" i="34"/>
  <c r="CY21" i="34"/>
  <c r="CZ21" i="34"/>
  <c r="DA21" i="34"/>
  <c r="DB21" i="34"/>
  <c r="CQ22" i="34"/>
  <c r="CR22" i="34"/>
  <c r="CT22" i="34"/>
  <c r="CU22" i="34"/>
  <c r="CV22" i="34"/>
  <c r="CW22" i="34"/>
  <c r="CY22" i="34"/>
  <c r="CZ22" i="34"/>
  <c r="DA22" i="34"/>
  <c r="DB22" i="34"/>
  <c r="CQ23" i="34"/>
  <c r="CR23" i="34"/>
  <c r="CT23" i="34"/>
  <c r="CU23" i="34"/>
  <c r="CV23" i="34"/>
  <c r="CW23" i="34"/>
  <c r="CY23" i="34"/>
  <c r="CZ23" i="34"/>
  <c r="DA23" i="34"/>
  <c r="DB23" i="34"/>
  <c r="CQ24" i="34"/>
  <c r="CR24" i="34"/>
  <c r="CT24" i="34"/>
  <c r="CU24" i="34"/>
  <c r="CV24" i="34"/>
  <c r="CW24" i="34"/>
  <c r="CY24" i="34"/>
  <c r="CZ24" i="34"/>
  <c r="DA24" i="34"/>
  <c r="DB24" i="34"/>
  <c r="CQ25" i="34"/>
  <c r="CR25" i="34"/>
  <c r="CT25" i="34"/>
  <c r="CU25" i="34"/>
  <c r="CV25" i="34"/>
  <c r="CW25" i="34"/>
  <c r="CY25" i="34"/>
  <c r="CZ25" i="34"/>
  <c r="DA25" i="34"/>
  <c r="DB25" i="34"/>
  <c r="CQ26" i="34"/>
  <c r="CR26" i="34"/>
  <c r="CT26" i="34"/>
  <c r="CU26" i="34"/>
  <c r="CV26" i="34"/>
  <c r="CW26" i="34"/>
  <c r="CY26" i="34"/>
  <c r="CZ26" i="34"/>
  <c r="DA26" i="34"/>
  <c r="DB26" i="34"/>
  <c r="CQ27" i="34"/>
  <c r="CR27" i="34"/>
  <c r="CT27" i="34"/>
  <c r="CU27" i="34"/>
  <c r="CV27" i="34"/>
  <c r="CW27" i="34"/>
  <c r="CY27" i="34"/>
  <c r="CZ27" i="34"/>
  <c r="DA27" i="34"/>
  <c r="DB27" i="34"/>
  <c r="CQ28" i="34"/>
  <c r="CR28" i="34"/>
  <c r="CT28" i="34"/>
  <c r="CU28" i="34"/>
  <c r="CV28" i="34"/>
  <c r="CW28" i="34"/>
  <c r="CY28" i="34"/>
  <c r="CZ28" i="34"/>
  <c r="DA28" i="34"/>
  <c r="DB28" i="34"/>
  <c r="CQ29" i="34"/>
  <c r="CR29" i="34"/>
  <c r="CT29" i="34"/>
  <c r="CU29" i="34"/>
  <c r="CV29" i="34"/>
  <c r="CW29" i="34"/>
  <c r="CY29" i="34"/>
  <c r="CZ29" i="34"/>
  <c r="DA29" i="34"/>
  <c r="DB29" i="34"/>
  <c r="CQ30" i="34"/>
  <c r="CR30" i="34"/>
  <c r="CT30" i="34"/>
  <c r="CU30" i="34"/>
  <c r="CV30" i="34"/>
  <c r="CW30" i="34"/>
  <c r="CY30" i="34"/>
  <c r="CZ30" i="34"/>
  <c r="DA30" i="34"/>
  <c r="DB30" i="34"/>
  <c r="CQ31" i="34"/>
  <c r="CR31" i="34"/>
  <c r="CT31" i="34"/>
  <c r="CU31" i="34"/>
  <c r="CV31" i="34"/>
  <c r="CW31" i="34"/>
  <c r="CY31" i="34"/>
  <c r="CZ31" i="34"/>
  <c r="DA31" i="34"/>
  <c r="DB31" i="34"/>
  <c r="CQ32" i="34"/>
  <c r="CR32" i="34"/>
  <c r="CT32" i="34"/>
  <c r="CU32" i="34"/>
  <c r="CV32" i="34"/>
  <c r="CW32" i="34"/>
  <c r="CY32" i="34"/>
  <c r="CZ32" i="34"/>
  <c r="DA32" i="34"/>
  <c r="DB32" i="34"/>
  <c r="CQ33" i="34"/>
  <c r="CR33" i="34"/>
  <c r="CT33" i="34"/>
  <c r="CU33" i="34"/>
  <c r="CV33" i="34"/>
  <c r="CW33" i="34"/>
  <c r="CY33" i="34"/>
  <c r="CZ33" i="34"/>
  <c r="DA33" i="34"/>
  <c r="DB33" i="34"/>
  <c r="CQ34" i="34"/>
  <c r="CR34" i="34"/>
  <c r="CT34" i="34"/>
  <c r="CU34" i="34"/>
  <c r="CV34" i="34"/>
  <c r="CW34" i="34"/>
  <c r="CY34" i="34"/>
  <c r="CZ34" i="34"/>
  <c r="DA34" i="34"/>
  <c r="DB34" i="34"/>
  <c r="CQ35" i="34"/>
  <c r="CR35" i="34"/>
  <c r="CT35" i="34"/>
  <c r="CU35" i="34"/>
  <c r="CV35" i="34"/>
  <c r="CW35" i="34"/>
  <c r="CY35" i="34"/>
  <c r="CZ35" i="34"/>
  <c r="DA35" i="34"/>
  <c r="DB35" i="34"/>
  <c r="CQ36" i="34"/>
  <c r="CR36" i="34"/>
  <c r="CT36" i="34"/>
  <c r="CU36" i="34"/>
  <c r="CV36" i="34"/>
  <c r="CW36" i="34"/>
  <c r="CY36" i="34"/>
  <c r="CZ36" i="34"/>
  <c r="DA36" i="34"/>
  <c r="DB36" i="34"/>
  <c r="CQ37" i="34"/>
  <c r="CR37" i="34"/>
  <c r="CT37" i="34"/>
  <c r="CU37" i="34"/>
  <c r="CV37" i="34"/>
  <c r="CW37" i="34"/>
  <c r="CY37" i="34"/>
  <c r="CZ37" i="34"/>
  <c r="DA37" i="34"/>
  <c r="DB37" i="34"/>
  <c r="CQ38" i="34"/>
  <c r="CR38" i="34"/>
  <c r="CT38" i="34"/>
  <c r="CU38" i="34"/>
  <c r="CV38" i="34"/>
  <c r="CW38" i="34"/>
  <c r="CY38" i="34"/>
  <c r="CZ38" i="34"/>
  <c r="DA38" i="34"/>
  <c r="DB38" i="34"/>
  <c r="CQ39" i="34"/>
  <c r="CR39" i="34"/>
  <c r="CT39" i="34"/>
  <c r="CU39" i="34"/>
  <c r="CV39" i="34"/>
  <c r="CW39" i="34"/>
  <c r="CY39" i="34"/>
  <c r="CZ39" i="34"/>
  <c r="DA39" i="34"/>
  <c r="DB39" i="34"/>
  <c r="CQ40" i="34"/>
  <c r="CR40" i="34"/>
  <c r="CT40" i="34"/>
  <c r="CU40" i="34"/>
  <c r="CV40" i="34"/>
  <c r="CW40" i="34"/>
  <c r="CY40" i="34"/>
  <c r="CZ40" i="34"/>
  <c r="DA40" i="34"/>
  <c r="DB40" i="34"/>
  <c r="CQ41" i="34"/>
  <c r="CR41" i="34"/>
  <c r="CT41" i="34"/>
  <c r="CU41" i="34"/>
  <c r="CV41" i="34"/>
  <c r="CW41" i="34"/>
  <c r="CY41" i="34"/>
  <c r="CZ41" i="34"/>
  <c r="DA41" i="34"/>
  <c r="DB41" i="34"/>
  <c r="C42" i="34"/>
  <c r="D42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S42" i="34"/>
  <c r="T42" i="34"/>
  <c r="U42" i="34"/>
  <c r="V42" i="34"/>
  <c r="W42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AL42" i="34"/>
  <c r="AM42" i="34"/>
  <c r="AN42" i="34"/>
  <c r="AO42" i="34"/>
  <c r="AP42" i="34"/>
  <c r="AQ42" i="34"/>
  <c r="AR42" i="34"/>
  <c r="AS42" i="34"/>
  <c r="AT42" i="34"/>
  <c r="AU42" i="34"/>
  <c r="AW42" i="34"/>
  <c r="AX42" i="34"/>
  <c r="AY42" i="34"/>
  <c r="D54" i="34" s="1"/>
  <c r="AZ42" i="34"/>
  <c r="BA42" i="34"/>
  <c r="BB42" i="34"/>
  <c r="BC42" i="34"/>
  <c r="BD42" i="34"/>
  <c r="BE42" i="34"/>
  <c r="BF42" i="34"/>
  <c r="BG42" i="34"/>
  <c r="BH42" i="34"/>
  <c r="BI42" i="34"/>
  <c r="BJ42" i="34"/>
  <c r="BK42" i="34"/>
  <c r="BL42" i="34"/>
  <c r="BM42" i="34"/>
  <c r="BN42" i="34"/>
  <c r="BO42" i="34"/>
  <c r="BP42" i="34"/>
  <c r="BQ42" i="34"/>
  <c r="BR42" i="34"/>
  <c r="BS42" i="34"/>
  <c r="BT42" i="34"/>
  <c r="BU42" i="34"/>
  <c r="BV42" i="34"/>
  <c r="BW42" i="34"/>
  <c r="BX42" i="34"/>
  <c r="BY42" i="34"/>
  <c r="BZ42" i="34"/>
  <c r="CA42" i="34"/>
  <c r="CB42" i="34"/>
  <c r="CC42" i="34"/>
  <c r="CD42" i="34"/>
  <c r="CE42" i="34"/>
  <c r="CF42" i="34"/>
  <c r="CG42" i="34"/>
  <c r="CH42" i="34"/>
  <c r="CI42" i="34"/>
  <c r="CJ42" i="34"/>
  <c r="CK42" i="34"/>
  <c r="CL42" i="34"/>
  <c r="CM42" i="34"/>
  <c r="CN42" i="34"/>
  <c r="CO42" i="34"/>
  <c r="CP42" i="34"/>
  <c r="D46" i="34"/>
  <c r="C53" i="34"/>
  <c r="D53" i="34"/>
  <c r="H37" i="50" l="1"/>
  <c r="H42" i="50"/>
  <c r="J37" i="50"/>
  <c r="H72" i="50"/>
  <c r="L12" i="50" a="1"/>
  <c r="I12" i="50" a="1"/>
  <c r="L11" i="50" a="1"/>
  <c r="I11" i="50" a="1"/>
  <c r="L10" i="50" a="1"/>
  <c r="I10" i="50" a="1"/>
  <c r="L9" i="50" a="1"/>
  <c r="I9" i="50" a="1"/>
  <c r="L8" i="50" a="1"/>
  <c r="I8" i="50" a="1"/>
  <c r="L7" i="50" a="1"/>
  <c r="I7" i="50" a="1"/>
  <c r="L6" i="50" a="1"/>
  <c r="I6" i="50" a="1"/>
  <c r="L5" i="50" a="1"/>
  <c r="I5" i="50" a="1"/>
  <c r="I22" i="50" a="1"/>
  <c r="I13" i="50" a="1"/>
  <c r="I29" i="50" a="1"/>
  <c r="I25" i="50" a="1"/>
  <c r="I14" i="50" a="1"/>
  <c r="I19" i="50" a="1"/>
  <c r="I15" i="50" a="1"/>
  <c r="I28" i="50" a="1"/>
  <c r="I17" i="50" a="1"/>
  <c r="I27" i="50" a="1"/>
  <c r="I23" i="50" a="1"/>
  <c r="I21" i="50" a="1"/>
  <c r="I26" i="50" a="1"/>
  <c r="I16" i="50" a="1"/>
  <c r="I24" i="50" a="1"/>
  <c r="I18" i="50" a="1"/>
  <c r="I20" i="50" a="1"/>
  <c r="J18" i="50"/>
  <c r="AG24" i="30"/>
  <c r="AD103" i="30"/>
  <c r="AD114" i="30"/>
  <c r="AD104" i="30" s="1"/>
  <c r="B32" i="47"/>
  <c r="B74" i="47"/>
  <c r="Q24" i="30"/>
  <c r="B75" i="47"/>
  <c r="Q14" i="30"/>
  <c r="Q79" i="30"/>
  <c r="N114" i="30"/>
  <c r="N79" i="30"/>
  <c r="N103" i="30"/>
  <c r="H98" i="50" s="1"/>
  <c r="N10" i="30"/>
  <c r="AD14" i="30"/>
  <c r="AD10" i="30" s="1"/>
  <c r="AD93" i="30"/>
  <c r="X16" i="30"/>
  <c r="AD24" i="30"/>
  <c r="X69" i="30"/>
  <c r="AD79" i="30"/>
  <c r="Q114" i="30"/>
  <c r="Q103" i="30"/>
  <c r="I98" i="50" s="1"/>
  <c r="K24" i="50" s="1"/>
  <c r="AO14" i="30"/>
  <c r="X104" i="30"/>
  <c r="AO114" i="30"/>
  <c r="AO104" i="30" s="1"/>
  <c r="AB14" i="30"/>
  <c r="AB60" i="30"/>
  <c r="AB79" i="30"/>
  <c r="AB24" i="30"/>
  <c r="AN26" i="30"/>
  <c r="AN119" i="30"/>
  <c r="AK26" i="30"/>
  <c r="AH119" i="30"/>
  <c r="AJ119" i="30"/>
  <c r="AJ151" i="30" s="1"/>
  <c r="E5" i="44" s="1"/>
  <c r="F5" i="44" s="1"/>
  <c r="AK119" i="30"/>
  <c r="AO16" i="30"/>
  <c r="BG24" i="30"/>
  <c r="BG16" i="30" s="1"/>
  <c r="X10" i="30"/>
  <c r="AI151" i="30"/>
  <c r="AG151" i="30"/>
  <c r="N69" i="30"/>
  <c r="AG79" i="30"/>
  <c r="N16" i="30"/>
  <c r="AG16" i="30"/>
  <c r="N104" i="30"/>
  <c r="AG114" i="30"/>
  <c r="AC114" i="30"/>
  <c r="AC104" i="30" s="1"/>
  <c r="AG14" i="30"/>
  <c r="N50" i="30"/>
  <c r="AG60" i="30"/>
  <c r="Q60" i="30"/>
  <c r="Q50" i="30"/>
  <c r="AI60" i="30"/>
  <c r="I58" i="44"/>
  <c r="J58" i="44" s="1"/>
  <c r="G5" i="44"/>
  <c r="AH150" i="30"/>
  <c r="C4" i="44" s="1"/>
  <c r="D4" i="44"/>
  <c r="AG150" i="30"/>
  <c r="C46" i="34"/>
  <c r="D55" i="34"/>
  <c r="D47" i="34"/>
  <c r="D56" i="34"/>
  <c r="D46" i="35"/>
  <c r="D52" i="34"/>
  <c r="D51" i="34"/>
  <c r="CQ42" i="34"/>
  <c r="C52" i="35"/>
  <c r="C50" i="34"/>
  <c r="C51" i="35"/>
  <c r="D51" i="35"/>
  <c r="C55" i="35"/>
  <c r="D47" i="35"/>
  <c r="CW42" i="34"/>
  <c r="D55" i="35"/>
  <c r="CW42" i="35"/>
  <c r="D48" i="34"/>
  <c r="DA42" i="34"/>
  <c r="D57" i="34"/>
  <c r="DB42" i="34"/>
  <c r="CZ42" i="34"/>
  <c r="CY42" i="34"/>
  <c r="C57" i="34"/>
  <c r="C56" i="34"/>
  <c r="C49" i="34"/>
  <c r="C55" i="34"/>
  <c r="C48" i="34"/>
  <c r="C47" i="34"/>
  <c r="C51" i="34"/>
  <c r="C52" i="34"/>
  <c r="CT42" i="34"/>
  <c r="CU42" i="34"/>
  <c r="CR42" i="34"/>
  <c r="D57" i="35"/>
  <c r="DA42" i="35"/>
  <c r="D56" i="35"/>
  <c r="DB42" i="35"/>
  <c r="D48" i="35"/>
  <c r="CY42" i="35"/>
  <c r="CZ42" i="35"/>
  <c r="CV42" i="35"/>
  <c r="C57" i="35"/>
  <c r="C56" i="35"/>
  <c r="C49" i="35"/>
  <c r="C48" i="35"/>
  <c r="C46" i="35"/>
  <c r="CT42" i="35"/>
  <c r="C54" i="35"/>
  <c r="CR42" i="35"/>
  <c r="CQ42" i="35"/>
  <c r="D50" i="35"/>
  <c r="CU42" i="35"/>
  <c r="C50" i="35"/>
  <c r="D49" i="35"/>
  <c r="N186" i="30"/>
  <c r="CV42" i="34"/>
  <c r="C54" i="34"/>
  <c r="D50" i="34"/>
  <c r="D49" i="34"/>
  <c r="D58" i="34" s="1"/>
  <c r="I42" i="50" l="1"/>
  <c r="K42" i="50" s="1"/>
  <c r="I37" i="50"/>
  <c r="I87" i="50"/>
  <c r="K22" i="50" s="1"/>
  <c r="H108" i="50"/>
  <c r="H87" i="50"/>
  <c r="I108" i="50"/>
  <c r="K25" i="50" s="1"/>
  <c r="I72" i="50"/>
  <c r="L42" i="50"/>
  <c r="L41" i="50"/>
  <c r="L40" i="50"/>
  <c r="L39" i="50"/>
  <c r="L43" i="50"/>
  <c r="K37" i="50"/>
  <c r="J25" i="50"/>
  <c r="K108" i="50"/>
  <c r="F25" i="50" a="1"/>
  <c r="F26" i="50" a="1"/>
  <c r="F13" i="50" a="1"/>
  <c r="F15" i="50" a="1"/>
  <c r="F27" i="50" a="1"/>
  <c r="F14" i="50" a="1"/>
  <c r="F28" i="50" a="1"/>
  <c r="F19" i="50" a="1"/>
  <c r="F23" i="50" a="1"/>
  <c r="F20" i="50" a="1"/>
  <c r="F29" i="50" a="1"/>
  <c r="F18" i="50" a="1"/>
  <c r="F22" i="50" a="1"/>
  <c r="F17" i="50" a="1"/>
  <c r="F24" i="50" a="1"/>
  <c r="F21" i="50" a="1"/>
  <c r="F16" i="50" a="1"/>
  <c r="F5" i="50" a="1"/>
  <c r="J5" i="50" a="1"/>
  <c r="F6" i="50" a="1"/>
  <c r="J6" i="50" a="1"/>
  <c r="F7" i="50" a="1"/>
  <c r="J7" i="50" a="1"/>
  <c r="F8" i="50" a="1"/>
  <c r="J8" i="50" a="1"/>
  <c r="F9" i="50" a="1"/>
  <c r="J9" i="50" a="1"/>
  <c r="F10" i="50" a="1"/>
  <c r="J10" i="50" a="1"/>
  <c r="F11" i="50" a="1"/>
  <c r="J11" i="50" a="1"/>
  <c r="F12" i="50" a="1"/>
  <c r="J12" i="50" a="1"/>
  <c r="J22" i="50"/>
  <c r="K87" i="50"/>
  <c r="J24" i="50"/>
  <c r="K98" i="50"/>
  <c r="K72" i="50"/>
  <c r="K18" i="50"/>
  <c r="B49" i="47"/>
  <c r="B33" i="47"/>
  <c r="B97" i="47"/>
  <c r="B78" i="47"/>
  <c r="B76" i="47"/>
  <c r="B98" i="47"/>
  <c r="B77" i="47"/>
  <c r="B21" i="47"/>
  <c r="AB114" i="30"/>
  <c r="AB104" i="30" s="1"/>
  <c r="B22" i="47"/>
  <c r="B23" i="47" s="1"/>
  <c r="B24" i="47" s="1"/>
  <c r="B36" i="47"/>
  <c r="B40" i="47"/>
  <c r="AM14" i="30"/>
  <c r="AM10" i="30" s="1"/>
  <c r="AG10" i="30"/>
  <c r="AB10" i="30"/>
  <c r="AB50" i="30"/>
  <c r="AB16" i="30"/>
  <c r="AC79" i="30"/>
  <c r="AC14" i="30"/>
  <c r="AC60" i="30"/>
  <c r="AB69" i="30"/>
  <c r="AD16" i="30"/>
  <c r="AD69" i="30"/>
  <c r="AC69" i="30"/>
  <c r="AC50" i="30"/>
  <c r="AH151" i="30"/>
  <c r="C5" i="44" s="1"/>
  <c r="D5" i="44" s="1"/>
  <c r="Q16" i="30"/>
  <c r="AC24" i="30"/>
  <c r="AK79" i="30"/>
  <c r="AK69" i="30" s="1"/>
  <c r="AM79" i="30"/>
  <c r="AM69" i="30" s="1"/>
  <c r="AM24" i="30"/>
  <c r="AM16" i="30" s="1"/>
  <c r="AK114" i="30"/>
  <c r="AK104" i="30" s="1"/>
  <c r="AM114" i="30"/>
  <c r="AM104" i="30" s="1"/>
  <c r="AK60" i="30"/>
  <c r="AK50" i="30" s="1"/>
  <c r="AM60" i="30"/>
  <c r="AM50" i="30" s="1"/>
  <c r="AL60" i="30"/>
  <c r="AL50" i="30" s="1"/>
  <c r="AN60" i="30"/>
  <c r="AN50" i="30" s="1"/>
  <c r="AO10" i="30"/>
  <c r="BG14" i="30"/>
  <c r="BG10" i="30" s="1"/>
  <c r="AK24" i="30"/>
  <c r="AK16" i="30" s="1"/>
  <c r="AK14" i="30"/>
  <c r="AK10" i="30" s="1"/>
  <c r="AG69" i="30"/>
  <c r="AH79" i="30"/>
  <c r="AH69" i="30" s="1"/>
  <c r="AG153" i="30"/>
  <c r="AH24" i="30"/>
  <c r="AH16" i="30" s="1"/>
  <c r="AG104" i="30"/>
  <c r="N93" i="30" s="1"/>
  <c r="AH114" i="30"/>
  <c r="AH104" i="30" s="1"/>
  <c r="Q104" i="30"/>
  <c r="AI114" i="30"/>
  <c r="AI104" i="30" s="1"/>
  <c r="AI24" i="30"/>
  <c r="AN24" i="30" s="1"/>
  <c r="AN16" i="30" s="1"/>
  <c r="Q69" i="30"/>
  <c r="AI79" i="30"/>
  <c r="Q10" i="30"/>
  <c r="AH14" i="30"/>
  <c r="AH10" i="30" s="1"/>
  <c r="AI14" i="30"/>
  <c r="AI10" i="30" s="1"/>
  <c r="AG50" i="30"/>
  <c r="AH60" i="30"/>
  <c r="AH50" i="30" s="1"/>
  <c r="AI50" i="30"/>
  <c r="AJ60" i="30"/>
  <c r="AJ50" i="30" s="1"/>
  <c r="AJ154" i="30" s="1"/>
  <c r="E8" i="44" s="1"/>
  <c r="F8" i="44" s="1"/>
  <c r="D58" i="35"/>
  <c r="C58" i="34"/>
  <c r="C58" i="35"/>
  <c r="AE258" i="30"/>
  <c r="AE257" i="30"/>
  <c r="AE256" i="30"/>
  <c r="AE245" i="30"/>
  <c r="W40" i="30"/>
  <c r="W36" i="30"/>
  <c r="W31" i="30"/>
  <c r="W11" i="30"/>
  <c r="R40" i="30"/>
  <c r="R36" i="30"/>
  <c r="R31" i="30"/>
  <c r="R11" i="30"/>
  <c r="L37" i="50" l="1"/>
  <c r="L36" i="50"/>
  <c r="L35" i="50"/>
  <c r="L38" i="50"/>
  <c r="L108" i="50"/>
  <c r="M25" i="50"/>
  <c r="L99" i="50"/>
  <c r="L100" i="50"/>
  <c r="L101" i="50"/>
  <c r="L102" i="50"/>
  <c r="L103" i="50"/>
  <c r="L104" i="50"/>
  <c r="L105" i="50"/>
  <c r="L106" i="50"/>
  <c r="L107" i="50"/>
  <c r="L87" i="50"/>
  <c r="M22" i="50"/>
  <c r="L78" i="50"/>
  <c r="L79" i="50"/>
  <c r="L80" i="50"/>
  <c r="L81" i="50"/>
  <c r="L82" i="50"/>
  <c r="L83" i="50"/>
  <c r="L84" i="50"/>
  <c r="L85" i="50"/>
  <c r="L86" i="50"/>
  <c r="L98" i="50"/>
  <c r="M24" i="50"/>
  <c r="L89" i="50"/>
  <c r="L90" i="50"/>
  <c r="L91" i="50"/>
  <c r="L92" i="50"/>
  <c r="L93" i="50"/>
  <c r="L94" i="50"/>
  <c r="L95" i="50"/>
  <c r="L96" i="50"/>
  <c r="L97" i="50"/>
  <c r="L71" i="50"/>
  <c r="L70" i="50"/>
  <c r="L69" i="50"/>
  <c r="L68" i="50"/>
  <c r="L67" i="50"/>
  <c r="L66" i="50"/>
  <c r="L65" i="50"/>
  <c r="L64" i="50"/>
  <c r="L63" i="50"/>
  <c r="M18" i="50"/>
  <c r="L72" i="50"/>
  <c r="B34" i="47"/>
  <c r="B35" i="47"/>
  <c r="B42" i="47"/>
  <c r="B43" i="47"/>
  <c r="E42" i="47"/>
  <c r="AC10" i="30"/>
  <c r="AC16" i="30"/>
  <c r="AH153" i="30"/>
  <c r="C7" i="44" s="1"/>
  <c r="D7" i="44" s="1"/>
  <c r="AH154" i="30"/>
  <c r="AN14" i="30"/>
  <c r="AN10" i="30" s="1"/>
  <c r="AG154" i="30"/>
  <c r="AL114" i="30"/>
  <c r="AL104" i="30" s="1"/>
  <c r="AN114" i="30"/>
  <c r="AN104" i="30" s="1"/>
  <c r="AL79" i="30"/>
  <c r="AL69" i="30" s="1"/>
  <c r="AN79" i="30"/>
  <c r="AN69" i="30" s="1"/>
  <c r="AI154" i="30"/>
  <c r="AI16" i="30"/>
  <c r="AL24" i="30"/>
  <c r="AL16" i="30" s="1"/>
  <c r="AL14" i="30"/>
  <c r="AL10" i="30" s="1"/>
  <c r="AS104" i="30"/>
  <c r="AB103" i="30"/>
  <c r="AJ114" i="30"/>
  <c r="AJ104" i="30" s="1"/>
  <c r="AI153" i="30"/>
  <c r="AJ24" i="30"/>
  <c r="AJ16" i="30" s="1"/>
  <c r="AJ153" i="30" s="1"/>
  <c r="E7" i="44" s="1"/>
  <c r="F7" i="44" s="1"/>
  <c r="AI69" i="30"/>
  <c r="AJ79" i="30"/>
  <c r="AJ69" i="30" s="1"/>
  <c r="AJ14" i="30"/>
  <c r="AJ10" i="30" s="1"/>
  <c r="AJ150" i="30" s="1"/>
  <c r="E4" i="44" s="1"/>
  <c r="F4" i="44" s="1"/>
  <c r="I63" i="44"/>
  <c r="J63" i="44" s="1"/>
  <c r="G8" i="44"/>
  <c r="W149" i="30"/>
  <c r="R149" i="30"/>
  <c r="B360" i="30"/>
  <c r="B351" i="30"/>
  <c r="B342" i="30"/>
  <c r="B340" i="30"/>
  <c r="B338" i="30"/>
  <c r="AE20" i="30"/>
  <c r="AC20" i="30" s="1"/>
  <c r="AO19" i="30"/>
  <c r="AT19" i="30"/>
  <c r="AE18" i="30"/>
  <c r="AO17" i="30"/>
  <c r="AT17" i="30"/>
  <c r="AG17" i="30"/>
  <c r="AU11" i="30"/>
  <c r="AU10" i="30" s="1"/>
  <c r="AT11" i="30"/>
  <c r="AT10" i="30" s="1"/>
  <c r="AS11" i="30"/>
  <c r="AS10" i="30" s="1"/>
  <c r="AC18" i="30" l="1"/>
  <c r="F42" i="47"/>
  <c r="AB93" i="30"/>
  <c r="AG20" i="30"/>
  <c r="AB20" i="30"/>
  <c r="AG18" i="30"/>
  <c r="AB18" i="30"/>
  <c r="AK20" i="30"/>
  <c r="AM20" i="30"/>
  <c r="AN19" i="30"/>
  <c r="AM19" i="30"/>
  <c r="AK18" i="30"/>
  <c r="AM18" i="30"/>
  <c r="AK17" i="30"/>
  <c r="AM17" i="30"/>
  <c r="AL17" i="30"/>
  <c r="AN17" i="30"/>
  <c r="AL19" i="30"/>
  <c r="AK19" i="30"/>
  <c r="AG103" i="30"/>
  <c r="AI103" i="30"/>
  <c r="AI93" i="30" s="1"/>
  <c r="G7" i="44"/>
  <c r="I62" i="44"/>
  <c r="J62" i="44" s="1"/>
  <c r="AI150" i="30"/>
  <c r="AS17" i="30"/>
  <c r="AU17" i="30"/>
  <c r="AS18" i="30"/>
  <c r="AU19" i="30"/>
  <c r="AS20" i="30"/>
  <c r="Q118" i="30" l="1"/>
  <c r="I111" i="50" s="1"/>
  <c r="Q93" i="30"/>
  <c r="AC103" i="30"/>
  <c r="AK103" i="30"/>
  <c r="AK93" i="30" s="1"/>
  <c r="AM103" i="30"/>
  <c r="AM93" i="30" s="1"/>
  <c r="AL103" i="30"/>
  <c r="AL93" i="30" s="1"/>
  <c r="AN103" i="30"/>
  <c r="AN93" i="30" s="1"/>
  <c r="AH103" i="30"/>
  <c r="AH93" i="30" s="1"/>
  <c r="AG93" i="30"/>
  <c r="AJ103" i="30"/>
  <c r="AJ93" i="30" s="1"/>
  <c r="G4" i="44"/>
  <c r="I57" i="44"/>
  <c r="M27" i="16"/>
  <c r="M28" i="16" s="1"/>
  <c r="F34" i="22"/>
  <c r="E34" i="22"/>
  <c r="K26" i="50" l="1"/>
  <c r="K111" i="50"/>
  <c r="AC118" i="30"/>
  <c r="AC93" i="30"/>
  <c r="AS93" i="30"/>
  <c r="J57" i="44"/>
  <c r="K57" i="44"/>
  <c r="A6" i="26"/>
  <c r="B6" i="26"/>
  <c r="A9" i="26"/>
  <c r="B9" i="26"/>
  <c r="A10" i="26"/>
  <c r="A13" i="26"/>
  <c r="B13" i="26"/>
  <c r="B14" i="26"/>
  <c r="B16" i="26"/>
  <c r="A17" i="26"/>
  <c r="B17" i="26"/>
  <c r="B21" i="26"/>
  <c r="A22" i="26"/>
  <c r="B22" i="26"/>
  <c r="A25" i="26"/>
  <c r="B25" i="26"/>
  <c r="B27" i="26"/>
  <c r="B28" i="26"/>
  <c r="A29" i="26"/>
  <c r="B29" i="26"/>
  <c r="A30" i="26"/>
  <c r="B30" i="26"/>
  <c r="B33" i="26"/>
  <c r="A34" i="26"/>
  <c r="A37" i="26"/>
  <c r="B37" i="26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E2" i="26"/>
  <c r="F3" i="26"/>
  <c r="G3" i="26"/>
  <c r="A7" i="26"/>
  <c r="B7" i="26"/>
  <c r="A8" i="26"/>
  <c r="B8" i="26"/>
  <c r="B10" i="26"/>
  <c r="A11" i="26"/>
  <c r="B11" i="26"/>
  <c r="A12" i="26"/>
  <c r="B12" i="26"/>
  <c r="A14" i="26"/>
  <c r="A15" i="26"/>
  <c r="B15" i="26"/>
  <c r="A16" i="26"/>
  <c r="A18" i="26"/>
  <c r="B18" i="26"/>
  <c r="A19" i="26"/>
  <c r="B19" i="26"/>
  <c r="A20" i="26"/>
  <c r="B20" i="26"/>
  <c r="A21" i="26"/>
  <c r="A23" i="26"/>
  <c r="B23" i="26"/>
  <c r="A24" i="26"/>
  <c r="B24" i="26"/>
  <c r="A26" i="26"/>
  <c r="B26" i="26"/>
  <c r="A27" i="26"/>
  <c r="A28" i="26"/>
  <c r="A31" i="26"/>
  <c r="B31" i="26"/>
  <c r="A32" i="26"/>
  <c r="B32" i="26"/>
  <c r="A33" i="26"/>
  <c r="B34" i="26"/>
  <c r="A35" i="26"/>
  <c r="B35" i="26"/>
  <c r="A36" i="26"/>
  <c r="B36" i="26"/>
  <c r="O70" i="4"/>
  <c r="O71" i="4"/>
  <c r="N71" i="4"/>
  <c r="N70" i="4"/>
  <c r="O68" i="4"/>
  <c r="N68" i="4"/>
  <c r="O66" i="4"/>
  <c r="N66" i="4"/>
  <c r="O64" i="4"/>
  <c r="N64" i="4"/>
  <c r="O62" i="4"/>
  <c r="N62" i="4"/>
  <c r="O60" i="4"/>
  <c r="N60" i="4"/>
  <c r="O58" i="4"/>
  <c r="N58" i="4"/>
  <c r="O57" i="4"/>
  <c r="N57" i="4"/>
  <c r="O55" i="4"/>
  <c r="N55" i="4"/>
  <c r="O49" i="4"/>
  <c r="N49" i="4"/>
  <c r="O46" i="4"/>
  <c r="N46" i="4"/>
  <c r="O44" i="4"/>
  <c r="N44" i="4"/>
  <c r="N39" i="4"/>
  <c r="O39" i="4"/>
  <c r="N40" i="4"/>
  <c r="O40" i="4"/>
  <c r="N41" i="4"/>
  <c r="O41" i="4"/>
  <c r="N42" i="4"/>
  <c r="O42" i="4"/>
  <c r="N47" i="4"/>
  <c r="O47" i="4"/>
  <c r="N50" i="4"/>
  <c r="O50" i="4"/>
  <c r="N51" i="4"/>
  <c r="O51" i="4"/>
  <c r="N52" i="4"/>
  <c r="O52" i="4"/>
  <c r="N53" i="4"/>
  <c r="O53" i="4"/>
  <c r="M69" i="4"/>
  <c r="M67" i="4"/>
  <c r="M65" i="4"/>
  <c r="M63" i="4"/>
  <c r="M61" i="4"/>
  <c r="M59" i="4"/>
  <c r="M56" i="4"/>
  <c r="M54" i="4"/>
  <c r="M53" i="4"/>
  <c r="M52" i="4"/>
  <c r="M51" i="4"/>
  <c r="M50" i="4"/>
  <c r="M48" i="4"/>
  <c r="M47" i="4"/>
  <c r="M45" i="4"/>
  <c r="M43" i="4"/>
  <c r="M42" i="4"/>
  <c r="M41" i="4"/>
  <c r="M40" i="4"/>
  <c r="M39" i="4"/>
  <c r="L111" i="50" l="1"/>
  <c r="M26" i="50"/>
  <c r="L109" i="50"/>
  <c r="L110" i="50"/>
  <c r="H27" i="7"/>
  <c r="H28" i="7"/>
  <c r="C55" i="15" l="1"/>
  <c r="C54" i="15"/>
  <c r="C42" i="15"/>
  <c r="C39" i="15"/>
  <c r="C38" i="15"/>
  <c r="C28" i="15"/>
  <c r="C26" i="15"/>
  <c r="C25" i="15"/>
  <c r="C19" i="15"/>
  <c r="C31" i="15" s="1"/>
  <c r="C33" i="15" s="1"/>
  <c r="T6" i="1" l="1"/>
  <c r="Z6" i="1" s="1"/>
  <c r="T7" i="1"/>
  <c r="Z7" i="1" s="1"/>
  <c r="T8" i="1"/>
  <c r="Z8" i="1" s="1"/>
  <c r="T10" i="1"/>
  <c r="Z10" i="1" s="1"/>
  <c r="T13" i="1"/>
  <c r="Z13" i="1" s="1"/>
  <c r="T17" i="1"/>
  <c r="Z17" i="1" s="1"/>
  <c r="T19" i="1"/>
  <c r="Z19" i="1" s="1"/>
  <c r="S10" i="1"/>
  <c r="Y10" i="1" s="1"/>
  <c r="S13" i="1"/>
  <c r="Y13" i="1" s="1"/>
  <c r="S17" i="1"/>
  <c r="Y17" i="1" s="1"/>
  <c r="S19" i="1"/>
  <c r="Y19" i="1" s="1"/>
  <c r="T5" i="1"/>
  <c r="Z5" i="1" s="1"/>
  <c r="S5" i="1"/>
  <c r="Y5" i="1" s="1"/>
  <c r="R6" i="1"/>
  <c r="R7" i="1"/>
  <c r="R8" i="1"/>
  <c r="R13" i="1"/>
  <c r="R17" i="1"/>
  <c r="X17" i="1" s="1"/>
  <c r="R19" i="1"/>
  <c r="X19" i="1" s="1"/>
  <c r="R5" i="1"/>
  <c r="Q28" i="1"/>
  <c r="Q26" i="1"/>
  <c r="S7" i="1"/>
  <c r="Y7" i="1" s="1"/>
  <c r="S6" i="1"/>
  <c r="Y6" i="1" s="1"/>
  <c r="Q37" i="1"/>
  <c r="S37" i="1" s="1"/>
  <c r="Y37" i="1" s="1"/>
  <c r="Q36" i="1"/>
  <c r="S36" i="1" s="1"/>
  <c r="Y36" i="1" s="1"/>
  <c r="D35" i="14"/>
  <c r="D34" i="14"/>
  <c r="D5" i="14"/>
  <c r="D4" i="14"/>
  <c r="Q30" i="1"/>
  <c r="Q29" i="1"/>
  <c r="Q27" i="1"/>
  <c r="Q23" i="1"/>
  <c r="Q22" i="1"/>
  <c r="Q21" i="1"/>
  <c r="S21" i="1" s="1"/>
  <c r="Y21" i="1" s="1"/>
  <c r="Q18" i="1"/>
  <c r="Q25" i="1"/>
  <c r="R25" i="1" s="1"/>
  <c r="Q24" i="1"/>
  <c r="T24" i="1" s="1"/>
  <c r="Z24" i="1" s="1"/>
  <c r="Q20" i="1"/>
  <c r="R20" i="1" s="1"/>
  <c r="Q16" i="1"/>
  <c r="T16" i="1" s="1"/>
  <c r="Z16" i="1" s="1"/>
  <c r="Q35" i="1"/>
  <c r="R35" i="1" s="1"/>
  <c r="Q15" i="1"/>
  <c r="Q14" i="1"/>
  <c r="R14" i="1" s="1"/>
  <c r="Q34" i="1"/>
  <c r="S34" i="1" s="1"/>
  <c r="Y34" i="1" s="1"/>
  <c r="Q32" i="1"/>
  <c r="Q12" i="1"/>
  <c r="T12" i="1" s="1"/>
  <c r="Z12" i="1" s="1"/>
  <c r="Q33" i="1"/>
  <c r="R33" i="1" s="1"/>
  <c r="Q31" i="1"/>
  <c r="R31" i="1" s="1"/>
  <c r="Q11" i="1"/>
  <c r="R11" i="1" s="1"/>
  <c r="Q9" i="1"/>
  <c r="R9" i="1" s="1"/>
  <c r="B156" i="1"/>
  <c r="B147" i="1"/>
  <c r="B138" i="1"/>
  <c r="B136" i="1"/>
  <c r="B134" i="1"/>
  <c r="B122" i="1"/>
  <c r="B111" i="1"/>
  <c r="B109" i="1"/>
  <c r="D59" i="47" l="1"/>
  <c r="S32" i="1"/>
  <c r="Y32" i="1" s="1"/>
  <c r="T32" i="1"/>
  <c r="Z32" i="1" s="1"/>
  <c r="T26" i="1"/>
  <c r="Z26" i="1" s="1"/>
  <c r="S26" i="1"/>
  <c r="Y26" i="1" s="1"/>
  <c r="S12" i="1"/>
  <c r="Y12" i="1" s="1"/>
  <c r="S24" i="1"/>
  <c r="Y24" i="1" s="1"/>
  <c r="S15" i="1"/>
  <c r="Y15" i="1" s="1"/>
  <c r="X15" i="1"/>
  <c r="T34" i="1"/>
  <c r="Z34" i="1" s="1"/>
  <c r="X7" i="1"/>
  <c r="X6" i="1"/>
  <c r="X11" i="1"/>
  <c r="X13" i="1"/>
  <c r="X25" i="1"/>
  <c r="X20" i="1"/>
  <c r="X9" i="1"/>
  <c r="X35" i="1"/>
  <c r="X5" i="1"/>
  <c r="X31" i="1"/>
  <c r="X14" i="1"/>
  <c r="X8" i="1"/>
  <c r="X33" i="1"/>
  <c r="S16" i="1"/>
  <c r="Y16" i="1" s="1"/>
  <c r="T37" i="1"/>
  <c r="Z37" i="1" s="1"/>
  <c r="T21" i="1"/>
  <c r="Z21" i="1" s="1"/>
  <c r="R16" i="1"/>
  <c r="X16" i="1" s="1"/>
  <c r="T36" i="1"/>
  <c r="Z36" i="1" s="1"/>
  <c r="T15" i="1"/>
  <c r="Z15" i="1" s="1"/>
  <c r="C35" i="22" l="1"/>
  <c r="D35" i="22" s="1"/>
  <c r="G35" i="22" s="1"/>
  <c r="C33" i="22"/>
  <c r="D33" i="22" s="1"/>
  <c r="C27" i="22"/>
  <c r="E27" i="22" s="1"/>
  <c r="C26" i="22"/>
  <c r="E26" i="22" s="1"/>
  <c r="C25" i="22"/>
  <c r="E25" i="22" s="1"/>
  <c r="J12" i="22"/>
  <c r="I12" i="22" s="1"/>
  <c r="H12" i="22" s="1"/>
  <c r="I11" i="22"/>
  <c r="J11" i="22" s="1"/>
  <c r="K11" i="22" s="1"/>
  <c r="I10" i="22"/>
  <c r="J10" i="22" s="1"/>
  <c r="K10" i="22" s="1"/>
  <c r="I9" i="22"/>
  <c r="J9" i="22" s="1"/>
  <c r="K9" i="22" s="1"/>
  <c r="I8" i="22"/>
  <c r="J8" i="22" s="1"/>
  <c r="K8" i="22" s="1"/>
  <c r="I7" i="22"/>
  <c r="J7" i="22" s="1"/>
  <c r="K7" i="22" s="1"/>
  <c r="I4" i="22"/>
  <c r="L13" i="22" s="1"/>
  <c r="M13" i="22" s="1"/>
  <c r="C42" i="21"/>
  <c r="C39" i="21"/>
  <c r="E39" i="21" s="1"/>
  <c r="E40" i="21" s="1"/>
  <c r="D7" i="21"/>
  <c r="D10" i="21" s="1"/>
  <c r="A7" i="21"/>
  <c r="A8" i="21" s="1"/>
  <c r="A10" i="21" s="1"/>
  <c r="A19" i="20"/>
  <c r="C16" i="20"/>
  <c r="D11" i="20"/>
  <c r="D7" i="20"/>
  <c r="A7" i="20"/>
  <c r="D3" i="20"/>
  <c r="A3" i="20"/>
  <c r="O11" i="19"/>
  <c r="O9" i="19"/>
  <c r="O8" i="19"/>
  <c r="M10" i="18"/>
  <c r="B37" i="17"/>
  <c r="B34" i="17"/>
  <c r="A29" i="17"/>
  <c r="B20" i="17"/>
  <c r="B22" i="17" s="1"/>
  <c r="A7" i="17"/>
  <c r="J35" i="16"/>
  <c r="B10" i="16"/>
  <c r="B12" i="16" s="1"/>
  <c r="S52" i="14"/>
  <c r="S49" i="14"/>
  <c r="S45" i="14"/>
  <c r="S41" i="14"/>
  <c r="N38" i="14"/>
  <c r="S37" i="14"/>
  <c r="F35" i="14"/>
  <c r="F34" i="14"/>
  <c r="S33" i="14"/>
  <c r="J33" i="14"/>
  <c r="F33" i="14"/>
  <c r="F32" i="14"/>
  <c r="F31" i="14"/>
  <c r="L116" i="42" s="1"/>
  <c r="AA129" i="30" s="1"/>
  <c r="S30" i="14"/>
  <c r="J29" i="14"/>
  <c r="F29" i="14"/>
  <c r="D27" i="14"/>
  <c r="G86" i="42" s="1"/>
  <c r="S26" i="14"/>
  <c r="D26" i="14"/>
  <c r="F26" i="14" s="1"/>
  <c r="F25" i="14"/>
  <c r="S24" i="14"/>
  <c r="N24" i="14"/>
  <c r="D24" i="14"/>
  <c r="F24" i="14" s="1"/>
  <c r="J23" i="14"/>
  <c r="F23" i="14"/>
  <c r="F22" i="14"/>
  <c r="F21" i="14"/>
  <c r="S20" i="14"/>
  <c r="F20" i="14"/>
  <c r="F19" i="14"/>
  <c r="J18" i="14"/>
  <c r="F18" i="14"/>
  <c r="F17" i="14"/>
  <c r="F16" i="14"/>
  <c r="S15" i="14"/>
  <c r="F15" i="14"/>
  <c r="J14" i="14"/>
  <c r="F14" i="14"/>
  <c r="D13" i="14"/>
  <c r="F13" i="14" s="1"/>
  <c r="S12" i="14"/>
  <c r="J12" i="14"/>
  <c r="F12" i="14"/>
  <c r="J11" i="14"/>
  <c r="I10" i="14"/>
  <c r="F10" i="14"/>
  <c r="S9" i="14"/>
  <c r="J9" i="14"/>
  <c r="F9" i="14"/>
  <c r="S7" i="14"/>
  <c r="D7" i="14"/>
  <c r="F6" i="14"/>
  <c r="F5" i="14"/>
  <c r="J4" i="14"/>
  <c r="F4" i="14"/>
  <c r="J3" i="14"/>
  <c r="F3" i="14"/>
  <c r="L86" i="42" l="1"/>
  <c r="AA116" i="30"/>
  <c r="AM116" i="30" s="1"/>
  <c r="AA117" i="30"/>
  <c r="AI117" i="30" s="1"/>
  <c r="AA118" i="30"/>
  <c r="AI118" i="30" s="1"/>
  <c r="AG129" i="30"/>
  <c r="AI129" i="30"/>
  <c r="AO129" i="30"/>
  <c r="BG129" i="30" s="1"/>
  <c r="O13" i="19"/>
  <c r="S16" i="14"/>
  <c r="F27" i="14"/>
  <c r="D28" i="14"/>
  <c r="F7" i="14"/>
  <c r="D8" i="14"/>
  <c r="F8" i="14" s="1"/>
  <c r="L12" i="22"/>
  <c r="M12" i="22" s="1"/>
  <c r="L15" i="22"/>
  <c r="M15" i="22" s="1"/>
  <c r="L7" i="22"/>
  <c r="M7" i="22" s="1"/>
  <c r="L14" i="22"/>
  <c r="M14" i="22" s="1"/>
  <c r="L8" i="22"/>
  <c r="M8" i="22" s="1"/>
  <c r="L10" i="22"/>
  <c r="M10" i="22" s="1"/>
  <c r="L9" i="22"/>
  <c r="M9" i="22" s="1"/>
  <c r="L11" i="22"/>
  <c r="M11" i="22" s="1"/>
  <c r="D34" i="22"/>
  <c r="G34" i="22" s="1"/>
  <c r="G33" i="22"/>
  <c r="H3" i="12"/>
  <c r="H3" i="11"/>
  <c r="AO115" i="30" l="1"/>
  <c r="AU115" i="30" s="1"/>
  <c r="AI116" i="30"/>
  <c r="AO116" i="30"/>
  <c r="AG116" i="30"/>
  <c r="AG117" i="30"/>
  <c r="AL118" i="30"/>
  <c r="AN118" i="30"/>
  <c r="AM129" i="30"/>
  <c r="AM128" i="30" s="1"/>
  <c r="AH129" i="30"/>
  <c r="AH128" i="30" s="1"/>
  <c r="AG128" i="30"/>
  <c r="AK129" i="30"/>
  <c r="AK128" i="30" s="1"/>
  <c r="AN129" i="30"/>
  <c r="AN128" i="30" s="1"/>
  <c r="AJ129" i="30"/>
  <c r="AJ128" i="30" s="1"/>
  <c r="AI128" i="30"/>
  <c r="AL129" i="30"/>
  <c r="AL128" i="30" s="1"/>
  <c r="F28" i="14"/>
  <c r="G87" i="42"/>
  <c r="E2" i="12"/>
  <c r="F2" i="12"/>
  <c r="G3" i="12"/>
  <c r="I3" i="12"/>
  <c r="J3" i="12"/>
  <c r="K3" i="12"/>
  <c r="L3" i="12"/>
  <c r="F1" i="12"/>
  <c r="E2" i="11"/>
  <c r="F2" i="11"/>
  <c r="G3" i="11"/>
  <c r="I3" i="11"/>
  <c r="J3" i="11"/>
  <c r="K3" i="11"/>
  <c r="L3" i="11"/>
  <c r="F1" i="11"/>
  <c r="E2" i="10"/>
  <c r="F2" i="10"/>
  <c r="F1" i="10"/>
  <c r="K37" i="11"/>
  <c r="J37" i="11"/>
  <c r="G37" i="11"/>
  <c r="F37" i="11"/>
  <c r="K36" i="11"/>
  <c r="J36" i="11"/>
  <c r="G36" i="11"/>
  <c r="F36" i="11"/>
  <c r="K35" i="11"/>
  <c r="J35" i="11"/>
  <c r="G35" i="11"/>
  <c r="F35" i="11"/>
  <c r="B35" i="11"/>
  <c r="A35" i="11"/>
  <c r="K34" i="11"/>
  <c r="J34" i="11"/>
  <c r="G34" i="11"/>
  <c r="F34" i="11"/>
  <c r="K33" i="11"/>
  <c r="J33" i="11"/>
  <c r="G33" i="11"/>
  <c r="F33" i="11"/>
  <c r="B33" i="11"/>
  <c r="A33" i="11"/>
  <c r="K32" i="11"/>
  <c r="J32" i="11"/>
  <c r="G32" i="11"/>
  <c r="F32" i="11"/>
  <c r="K31" i="11"/>
  <c r="J31" i="11"/>
  <c r="G31" i="11"/>
  <c r="F31" i="11"/>
  <c r="B31" i="11"/>
  <c r="A31" i="11"/>
  <c r="K30" i="11"/>
  <c r="J30" i="11"/>
  <c r="F30" i="11"/>
  <c r="K29" i="11"/>
  <c r="F29" i="11"/>
  <c r="B29" i="11"/>
  <c r="A29" i="11"/>
  <c r="K28" i="11"/>
  <c r="J28" i="11"/>
  <c r="F28" i="11"/>
  <c r="K27" i="11"/>
  <c r="J27" i="11"/>
  <c r="F27" i="11"/>
  <c r="B27" i="11"/>
  <c r="A27" i="11"/>
  <c r="K26" i="11"/>
  <c r="J26" i="11"/>
  <c r="G26" i="11"/>
  <c r="F26" i="11"/>
  <c r="K25" i="11"/>
  <c r="J25" i="11"/>
  <c r="G25" i="11"/>
  <c r="F25" i="11"/>
  <c r="B25" i="11"/>
  <c r="A25" i="11"/>
  <c r="K24" i="11"/>
  <c r="J24" i="11"/>
  <c r="G24" i="11"/>
  <c r="F24" i="11"/>
  <c r="B24" i="11"/>
  <c r="A24" i="11"/>
  <c r="K23" i="11"/>
  <c r="J23" i="11"/>
  <c r="F23" i="11"/>
  <c r="K22" i="11"/>
  <c r="J22" i="11"/>
  <c r="F22" i="11"/>
  <c r="B22" i="11"/>
  <c r="A22" i="11"/>
  <c r="K21" i="11"/>
  <c r="J21" i="11"/>
  <c r="G21" i="11"/>
  <c r="F21" i="11"/>
  <c r="K20" i="11"/>
  <c r="J20" i="11"/>
  <c r="G20" i="11"/>
  <c r="F20" i="11"/>
  <c r="B20" i="11"/>
  <c r="A20" i="11"/>
  <c r="K19" i="11"/>
  <c r="J19" i="11"/>
  <c r="G19" i="11"/>
  <c r="F19" i="11"/>
  <c r="B19" i="11"/>
  <c r="A19" i="11"/>
  <c r="K18" i="11"/>
  <c r="J18" i="11"/>
  <c r="F18" i="11"/>
  <c r="B18" i="11"/>
  <c r="A18" i="11"/>
  <c r="K17" i="11"/>
  <c r="J17" i="11"/>
  <c r="G17" i="11"/>
  <c r="F17" i="11"/>
  <c r="B17" i="11"/>
  <c r="A17" i="11"/>
  <c r="K16" i="11"/>
  <c r="J16" i="11"/>
  <c r="G16" i="11"/>
  <c r="F16" i="11"/>
  <c r="B16" i="11"/>
  <c r="A16" i="11"/>
  <c r="K15" i="11"/>
  <c r="J15" i="11"/>
  <c r="G15" i="11"/>
  <c r="F15" i="11"/>
  <c r="K14" i="11"/>
  <c r="J14" i="11"/>
  <c r="G14" i="11"/>
  <c r="F14" i="11"/>
  <c r="B14" i="11"/>
  <c r="A14" i="11"/>
  <c r="K13" i="11"/>
  <c r="J13" i="11"/>
  <c r="G13" i="11"/>
  <c r="F13" i="11"/>
  <c r="B13" i="11"/>
  <c r="A13" i="11"/>
  <c r="K12" i="11"/>
  <c r="J12" i="11"/>
  <c r="G12" i="11"/>
  <c r="F12" i="11"/>
  <c r="K11" i="11"/>
  <c r="J11" i="11"/>
  <c r="G11" i="11"/>
  <c r="F11" i="11"/>
  <c r="B11" i="11"/>
  <c r="A11" i="11"/>
  <c r="K10" i="11"/>
  <c r="J10" i="11"/>
  <c r="G10" i="11"/>
  <c r="F10" i="11"/>
  <c r="K9" i="11"/>
  <c r="J9" i="11"/>
  <c r="G9" i="11"/>
  <c r="F9" i="11"/>
  <c r="B9" i="11"/>
  <c r="A9" i="11"/>
  <c r="K8" i="11"/>
  <c r="J8" i="11"/>
  <c r="F8" i="11"/>
  <c r="B8" i="11"/>
  <c r="A8" i="11"/>
  <c r="K7" i="11"/>
  <c r="J7" i="11"/>
  <c r="G7" i="11"/>
  <c r="F7" i="11"/>
  <c r="K6" i="11"/>
  <c r="J6" i="11"/>
  <c r="G6" i="11"/>
  <c r="F6" i="11"/>
  <c r="B6" i="11"/>
  <c r="A6" i="11"/>
  <c r="K5" i="11"/>
  <c r="J5" i="11"/>
  <c r="G5" i="11"/>
  <c r="F5" i="11"/>
  <c r="K4" i="11"/>
  <c r="J4" i="11"/>
  <c r="H4" i="11"/>
  <c r="G4" i="11"/>
  <c r="F4" i="11"/>
  <c r="F3" i="11"/>
  <c r="E3" i="11"/>
  <c r="K2" i="11"/>
  <c r="J2" i="11"/>
  <c r="H2" i="11"/>
  <c r="G2" i="11"/>
  <c r="K1" i="11"/>
  <c r="J1" i="11"/>
  <c r="H1" i="11"/>
  <c r="G1" i="11"/>
  <c r="AR116" i="30" l="1"/>
  <c r="AJ116" i="30"/>
  <c r="AN116" i="30"/>
  <c r="AN115" i="30" s="1"/>
  <c r="AL116" i="30"/>
  <c r="AM115" i="30"/>
  <c r="AU116" i="30"/>
  <c r="AH116" i="30"/>
  <c r="AP116" i="30"/>
  <c r="AK116" i="30"/>
  <c r="AT116" i="30" s="1"/>
  <c r="AM117" i="30"/>
  <c r="AK117" i="30"/>
  <c r="AJ117" i="30"/>
  <c r="AN117" i="30"/>
  <c r="AL117" i="30"/>
  <c r="L87" i="42"/>
  <c r="D8" i="11"/>
  <c r="D8" i="26"/>
  <c r="E13" i="11"/>
  <c r="E13" i="26"/>
  <c r="C16" i="11"/>
  <c r="C16" i="26"/>
  <c r="G1" i="12"/>
  <c r="E3" i="12"/>
  <c r="C5" i="12"/>
  <c r="E6" i="12"/>
  <c r="H7" i="12"/>
  <c r="E9" i="12"/>
  <c r="J11" i="12"/>
  <c r="A13" i="12"/>
  <c r="C14" i="12"/>
  <c r="A16" i="12"/>
  <c r="H16" i="12"/>
  <c r="C17" i="12"/>
  <c r="J17" i="12"/>
  <c r="E18" i="12"/>
  <c r="F21" i="12"/>
  <c r="F26" i="12"/>
  <c r="F28" i="12"/>
  <c r="D11" i="11"/>
  <c r="D11" i="26"/>
  <c r="D16" i="11"/>
  <c r="D16" i="26"/>
  <c r="D22" i="11"/>
  <c r="D22" i="26"/>
  <c r="C27" i="11"/>
  <c r="C27" i="26"/>
  <c r="E30" i="11"/>
  <c r="E30" i="26"/>
  <c r="C35" i="11"/>
  <c r="C35" i="26"/>
  <c r="L1" i="12"/>
  <c r="K2" i="12"/>
  <c r="F3" i="12"/>
  <c r="D5" i="12"/>
  <c r="K5" i="12"/>
  <c r="F6" i="12"/>
  <c r="L6" i="12"/>
  <c r="D8" i="12"/>
  <c r="K8" i="12"/>
  <c r="F9" i="12"/>
  <c r="D11" i="12"/>
  <c r="K11" i="12"/>
  <c r="B13" i="12"/>
  <c r="D14" i="12"/>
  <c r="K14" i="12"/>
  <c r="D17" i="12"/>
  <c r="K17" i="12"/>
  <c r="F18" i="12"/>
  <c r="A19" i="12"/>
  <c r="H19" i="12"/>
  <c r="C20" i="12"/>
  <c r="J20" i="12"/>
  <c r="A22" i="12"/>
  <c r="F23" i="12"/>
  <c r="A24" i="12"/>
  <c r="H24" i="12"/>
  <c r="C25" i="12"/>
  <c r="J25" i="12"/>
  <c r="A27" i="12"/>
  <c r="J27" i="12"/>
  <c r="H28" i="12"/>
  <c r="C29" i="12"/>
  <c r="K29" i="12"/>
  <c r="H30" i="12"/>
  <c r="C31" i="12"/>
  <c r="J31" i="12"/>
  <c r="G32" i="12"/>
  <c r="A33" i="12"/>
  <c r="H33" i="12"/>
  <c r="E34" i="12"/>
  <c r="G35" i="12"/>
  <c r="C36" i="12"/>
  <c r="J36" i="12"/>
  <c r="G37" i="12"/>
  <c r="L2" i="11"/>
  <c r="G2" i="26"/>
  <c r="L4" i="11"/>
  <c r="G4" i="26"/>
  <c r="D6" i="11"/>
  <c r="D6" i="26"/>
  <c r="C9" i="11"/>
  <c r="C9" i="26"/>
  <c r="E11" i="11"/>
  <c r="E11" i="26"/>
  <c r="C12" i="11"/>
  <c r="C12" i="26"/>
  <c r="C14" i="11"/>
  <c r="C14" i="26"/>
  <c r="E16" i="11"/>
  <c r="E16" i="26"/>
  <c r="D18" i="11"/>
  <c r="D18" i="26"/>
  <c r="C20" i="11"/>
  <c r="C20" i="26"/>
  <c r="E22" i="11"/>
  <c r="E22" i="26"/>
  <c r="C23" i="11"/>
  <c r="C23" i="26"/>
  <c r="D27" i="11"/>
  <c r="D27" i="26"/>
  <c r="C28" i="11"/>
  <c r="C28" i="26"/>
  <c r="C33" i="11"/>
  <c r="C33" i="26"/>
  <c r="D35" i="11"/>
  <c r="D35" i="26"/>
  <c r="G2" i="12"/>
  <c r="E4" i="12"/>
  <c r="J4" i="12"/>
  <c r="E5" i="12"/>
  <c r="C7" i="12"/>
  <c r="J7" i="12"/>
  <c r="E8" i="12"/>
  <c r="G9" i="12"/>
  <c r="C10" i="12"/>
  <c r="J10" i="12"/>
  <c r="E11" i="12"/>
  <c r="H12" i="12"/>
  <c r="C13" i="12"/>
  <c r="J13" i="12"/>
  <c r="E14" i="12"/>
  <c r="H15" i="12"/>
  <c r="C16" i="12"/>
  <c r="J16" i="12"/>
  <c r="E17" i="12"/>
  <c r="B19" i="12"/>
  <c r="D20" i="12"/>
  <c r="K20" i="12"/>
  <c r="J22" i="12"/>
  <c r="B24" i="12"/>
  <c r="D25" i="12"/>
  <c r="K25" i="12"/>
  <c r="K27" i="12"/>
  <c r="D29" i="12"/>
  <c r="D31" i="12"/>
  <c r="K31" i="12"/>
  <c r="B33" i="12"/>
  <c r="F34" i="12"/>
  <c r="D36" i="12"/>
  <c r="K36" i="12"/>
  <c r="J2" i="12"/>
  <c r="J5" i="12"/>
  <c r="J8" i="12"/>
  <c r="H10" i="12"/>
  <c r="G12" i="12"/>
  <c r="H13" i="12"/>
  <c r="B29" i="12"/>
  <c r="D34" i="12"/>
  <c r="K34" i="12"/>
  <c r="F35" i="12"/>
  <c r="L35" i="12"/>
  <c r="L1" i="11"/>
  <c r="G1" i="26"/>
  <c r="E4" i="11"/>
  <c r="E4" i="26"/>
  <c r="A5" i="11"/>
  <c r="A5" i="26"/>
  <c r="E6" i="11"/>
  <c r="E6" i="26"/>
  <c r="D9" i="11"/>
  <c r="D9" i="26"/>
  <c r="D12" i="11"/>
  <c r="D12" i="26"/>
  <c r="D20" i="11"/>
  <c r="D20" i="26"/>
  <c r="C25" i="11"/>
  <c r="C25" i="26"/>
  <c r="H21" i="12"/>
  <c r="C22" i="12"/>
  <c r="C24" i="12"/>
  <c r="J24" i="12"/>
  <c r="E25" i="12"/>
  <c r="H26" i="12"/>
  <c r="J30" i="12"/>
  <c r="E9" i="11"/>
  <c r="E9" i="26"/>
  <c r="C21" i="11"/>
  <c r="C21" i="26"/>
  <c r="D25" i="11"/>
  <c r="D25" i="26"/>
  <c r="E28" i="11"/>
  <c r="E28" i="26"/>
  <c r="D31" i="11"/>
  <c r="D31" i="26"/>
  <c r="E33" i="11"/>
  <c r="E33" i="26"/>
  <c r="C34" i="11"/>
  <c r="C34" i="26"/>
  <c r="D36" i="11"/>
  <c r="D36" i="26"/>
  <c r="I1" i="12"/>
  <c r="A3" i="12"/>
  <c r="G4" i="12"/>
  <c r="G5" i="12"/>
  <c r="A6" i="12"/>
  <c r="H6" i="12"/>
  <c r="E7" i="12"/>
  <c r="A9" i="12"/>
  <c r="H9" i="12"/>
  <c r="E10" i="12"/>
  <c r="G11" i="12"/>
  <c r="C12" i="12"/>
  <c r="J12" i="12"/>
  <c r="E13" i="12"/>
  <c r="C15" i="12"/>
  <c r="J15" i="12"/>
  <c r="E16" i="12"/>
  <c r="A18" i="12"/>
  <c r="D19" i="12"/>
  <c r="K19" i="12"/>
  <c r="F20" i="12"/>
  <c r="L20" i="12"/>
  <c r="D22" i="12"/>
  <c r="D24" i="12"/>
  <c r="K24" i="12"/>
  <c r="F25" i="12"/>
  <c r="L25" i="12"/>
  <c r="D27" i="12"/>
  <c r="K28" i="12"/>
  <c r="F29" i="12"/>
  <c r="C30" i="12"/>
  <c r="K30" i="12"/>
  <c r="F31" i="12"/>
  <c r="L31" i="12"/>
  <c r="D33" i="12"/>
  <c r="K33" i="12"/>
  <c r="B35" i="12"/>
  <c r="F36" i="12"/>
  <c r="C22" i="11"/>
  <c r="C22" i="26"/>
  <c r="E24" i="11"/>
  <c r="E24" i="26"/>
  <c r="I4" i="12"/>
  <c r="C8" i="12"/>
  <c r="J14" i="12"/>
  <c r="F37" i="12"/>
  <c r="E18" i="11"/>
  <c r="E18" i="26"/>
  <c r="D23" i="11"/>
  <c r="D23" i="26"/>
  <c r="E27" i="11"/>
  <c r="E27" i="26"/>
  <c r="E35" i="11"/>
  <c r="E35" i="26"/>
  <c r="C36" i="11"/>
  <c r="C36" i="26"/>
  <c r="F4" i="12"/>
  <c r="D7" i="12"/>
  <c r="K7" i="12"/>
  <c r="F8" i="12"/>
  <c r="D10" i="12"/>
  <c r="K10" i="12"/>
  <c r="F11" i="12"/>
  <c r="L11" i="12"/>
  <c r="D13" i="12"/>
  <c r="F14" i="12"/>
  <c r="D16" i="12"/>
  <c r="F17" i="12"/>
  <c r="H18" i="12"/>
  <c r="J19" i="12"/>
  <c r="K22" i="12"/>
  <c r="C27" i="12"/>
  <c r="J28" i="12"/>
  <c r="H32" i="12"/>
  <c r="C33" i="12"/>
  <c r="J33" i="12"/>
  <c r="G34" i="12"/>
  <c r="A35" i="12"/>
  <c r="H35" i="12"/>
  <c r="E36" i="12"/>
  <c r="H37" i="12"/>
  <c r="I1" i="11"/>
  <c r="F1" i="26"/>
  <c r="B5" i="11"/>
  <c r="B5" i="26"/>
  <c r="C15" i="11"/>
  <c r="C15" i="26"/>
  <c r="C17" i="11"/>
  <c r="C17" i="26"/>
  <c r="E20" i="11"/>
  <c r="E20" i="26"/>
  <c r="E23" i="11"/>
  <c r="E23" i="26"/>
  <c r="I2" i="11"/>
  <c r="F2" i="26"/>
  <c r="C3" i="11"/>
  <c r="C3" i="26"/>
  <c r="C5" i="11"/>
  <c r="C5" i="26"/>
  <c r="E7" i="11"/>
  <c r="E7" i="26"/>
  <c r="D10" i="11"/>
  <c r="D10" i="26"/>
  <c r="D17" i="11"/>
  <c r="D17" i="26"/>
  <c r="C19" i="11"/>
  <c r="C19" i="26"/>
  <c r="D21" i="11"/>
  <c r="D21" i="26"/>
  <c r="E25" i="11"/>
  <c r="E25" i="26"/>
  <c r="C26" i="11"/>
  <c r="C26" i="26"/>
  <c r="C29" i="11"/>
  <c r="C29" i="26"/>
  <c r="E31" i="11"/>
  <c r="E31" i="26"/>
  <c r="C32" i="11"/>
  <c r="C32" i="26"/>
  <c r="D34" i="11"/>
  <c r="D34" i="26"/>
  <c r="E36" i="11"/>
  <c r="E36" i="26"/>
  <c r="C37" i="11"/>
  <c r="C37" i="26"/>
  <c r="H2" i="12"/>
  <c r="B3" i="12"/>
  <c r="L4" i="12"/>
  <c r="B6" i="12"/>
  <c r="F7" i="12"/>
  <c r="B9" i="12"/>
  <c r="F10" i="12"/>
  <c r="D12" i="12"/>
  <c r="K12" i="12"/>
  <c r="F13" i="12"/>
  <c r="L13" i="12"/>
  <c r="K15" i="12"/>
  <c r="F16" i="12"/>
  <c r="L16" i="12"/>
  <c r="J18" i="12"/>
  <c r="E19" i="12"/>
  <c r="C21" i="12"/>
  <c r="J21" i="12"/>
  <c r="E22" i="12"/>
  <c r="J23" i="12"/>
  <c r="E24" i="12"/>
  <c r="C26" i="12"/>
  <c r="J26" i="12"/>
  <c r="E27" i="12"/>
  <c r="C28" i="12"/>
  <c r="D30" i="12"/>
  <c r="G31" i="12"/>
  <c r="C32" i="12"/>
  <c r="J32" i="12"/>
  <c r="E33" i="12"/>
  <c r="H34" i="12"/>
  <c r="C35" i="12"/>
  <c r="J35" i="12"/>
  <c r="G36" i="12"/>
  <c r="C37" i="12"/>
  <c r="J37" i="12"/>
  <c r="E1" i="11"/>
  <c r="E1" i="26"/>
  <c r="C11" i="11"/>
  <c r="C11" i="26"/>
  <c r="D30" i="11"/>
  <c r="D30" i="26"/>
  <c r="C11" i="12"/>
  <c r="H22" i="12"/>
  <c r="E23" i="12"/>
  <c r="B25" i="12"/>
  <c r="B31" i="12"/>
  <c r="D14" i="11"/>
  <c r="D14" i="26"/>
  <c r="D28" i="11"/>
  <c r="D28" i="26"/>
  <c r="C31" i="11"/>
  <c r="C31" i="26"/>
  <c r="H1" i="12"/>
  <c r="L2" i="12"/>
  <c r="K4" i="12"/>
  <c r="F5" i="12"/>
  <c r="L5" i="12"/>
  <c r="L8" i="12"/>
  <c r="K13" i="12"/>
  <c r="L14" i="12"/>
  <c r="K16" i="12"/>
  <c r="C19" i="12"/>
  <c r="E20" i="12"/>
  <c r="H23" i="12"/>
  <c r="E29" i="12"/>
  <c r="E31" i="12"/>
  <c r="B3" i="11"/>
  <c r="B3" i="26"/>
  <c r="D7" i="11"/>
  <c r="D7" i="26"/>
  <c r="C10" i="11"/>
  <c r="C10" i="26"/>
  <c r="E12" i="11"/>
  <c r="E12" i="26"/>
  <c r="E14" i="11"/>
  <c r="E14" i="26"/>
  <c r="D3" i="11"/>
  <c r="D3" i="26"/>
  <c r="I4" i="11"/>
  <c r="F4" i="26"/>
  <c r="D5" i="11"/>
  <c r="D5" i="26"/>
  <c r="E10" i="11"/>
  <c r="E10" i="26"/>
  <c r="C13" i="11"/>
  <c r="C13" i="26"/>
  <c r="E15" i="11"/>
  <c r="E15" i="26"/>
  <c r="E17" i="11"/>
  <c r="E17" i="26"/>
  <c r="D19" i="11"/>
  <c r="D19" i="26"/>
  <c r="E21" i="11"/>
  <c r="E21" i="26"/>
  <c r="C24" i="11"/>
  <c r="C24" i="26"/>
  <c r="D26" i="11"/>
  <c r="D26" i="26"/>
  <c r="D29" i="11"/>
  <c r="D29" i="26"/>
  <c r="D32" i="11"/>
  <c r="D32" i="26"/>
  <c r="E34" i="11"/>
  <c r="E34" i="26"/>
  <c r="D37" i="11"/>
  <c r="D37" i="26"/>
  <c r="J1" i="12"/>
  <c r="I2" i="12"/>
  <c r="C3" i="12"/>
  <c r="A5" i="12"/>
  <c r="H5" i="12"/>
  <c r="C6" i="12"/>
  <c r="J6" i="12"/>
  <c r="A8" i="12"/>
  <c r="H8" i="12"/>
  <c r="C9" i="12"/>
  <c r="J9" i="12"/>
  <c r="G10" i="12"/>
  <c r="A11" i="12"/>
  <c r="H11" i="12"/>
  <c r="E12" i="12"/>
  <c r="A14" i="12"/>
  <c r="H14" i="12"/>
  <c r="E15" i="12"/>
  <c r="A17" i="12"/>
  <c r="H17" i="12"/>
  <c r="C18" i="12"/>
  <c r="K18" i="12"/>
  <c r="F19" i="12"/>
  <c r="D21" i="12"/>
  <c r="K21" i="12"/>
  <c r="F22" i="12"/>
  <c r="C23" i="12"/>
  <c r="K23" i="12"/>
  <c r="F24" i="12"/>
  <c r="D26" i="12"/>
  <c r="K26" i="12"/>
  <c r="F27" i="12"/>
  <c r="D28" i="12"/>
  <c r="H29" i="12"/>
  <c r="E30" i="12"/>
  <c r="D32" i="12"/>
  <c r="K32" i="12"/>
  <c r="F33" i="12"/>
  <c r="D35" i="12"/>
  <c r="K35" i="12"/>
  <c r="D37" i="12"/>
  <c r="K37" i="12"/>
  <c r="B20" i="12"/>
  <c r="F32" i="12"/>
  <c r="C6" i="11"/>
  <c r="C6" i="26"/>
  <c r="E8" i="11"/>
  <c r="E8" i="26"/>
  <c r="C18" i="11"/>
  <c r="C18" i="26"/>
  <c r="A3" i="11"/>
  <c r="A3" i="26"/>
  <c r="C7" i="11"/>
  <c r="C7" i="26"/>
  <c r="D33" i="11"/>
  <c r="D33" i="26"/>
  <c r="E5" i="11"/>
  <c r="E5" i="26"/>
  <c r="C8" i="11"/>
  <c r="C8" i="26"/>
  <c r="D13" i="11"/>
  <c r="D13" i="26"/>
  <c r="E19" i="11"/>
  <c r="E19" i="26"/>
  <c r="D24" i="11"/>
  <c r="D24" i="26"/>
  <c r="E26" i="11"/>
  <c r="E26" i="26"/>
  <c r="E29" i="11"/>
  <c r="E29" i="26"/>
  <c r="C30" i="11"/>
  <c r="C30" i="26"/>
  <c r="E32" i="11"/>
  <c r="E32" i="26"/>
  <c r="E37" i="11"/>
  <c r="E37" i="26"/>
  <c r="E1" i="12"/>
  <c r="K1" i="12"/>
  <c r="D3" i="12"/>
  <c r="H4" i="12"/>
  <c r="B5" i="12"/>
  <c r="D6" i="12"/>
  <c r="K6" i="12"/>
  <c r="B8" i="12"/>
  <c r="D9" i="12"/>
  <c r="K9" i="12"/>
  <c r="B11" i="12"/>
  <c r="F12" i="12"/>
  <c r="B14" i="12"/>
  <c r="F15" i="12"/>
  <c r="D18" i="12"/>
  <c r="A20" i="12"/>
  <c r="H20" i="12"/>
  <c r="E21" i="12"/>
  <c r="D23" i="12"/>
  <c r="A25" i="12"/>
  <c r="H25" i="12"/>
  <c r="E26" i="12"/>
  <c r="H27" i="12"/>
  <c r="E28" i="12"/>
  <c r="A29" i="12"/>
  <c r="F30" i="12"/>
  <c r="A31" i="12"/>
  <c r="H31" i="12"/>
  <c r="E32" i="12"/>
  <c r="G33" i="12"/>
  <c r="C34" i="12"/>
  <c r="J34" i="12"/>
  <c r="E35" i="12"/>
  <c r="H36" i="12"/>
  <c r="E37" i="12"/>
  <c r="B27" i="12"/>
  <c r="B22" i="12"/>
  <c r="B18" i="12"/>
  <c r="B17" i="12"/>
  <c r="B16" i="12"/>
  <c r="G8" i="12"/>
  <c r="G26" i="12"/>
  <c r="G25" i="12"/>
  <c r="G24" i="12"/>
  <c r="G21" i="12"/>
  <c r="G20" i="12"/>
  <c r="G17" i="12"/>
  <c r="G16" i="12"/>
  <c r="G15" i="12"/>
  <c r="G14" i="12"/>
  <c r="G13" i="12"/>
  <c r="G7" i="12"/>
  <c r="G6" i="12"/>
  <c r="D15" i="12"/>
  <c r="D15" i="11"/>
  <c r="D15" i="26"/>
  <c r="G19" i="12"/>
  <c r="L37" i="12"/>
  <c r="L36" i="12"/>
  <c r="L32" i="12"/>
  <c r="L34" i="12"/>
  <c r="L33" i="12"/>
  <c r="L26" i="12"/>
  <c r="L27" i="12"/>
  <c r="L28" i="12"/>
  <c r="L29" i="12"/>
  <c r="L30" i="12"/>
  <c r="L24" i="12"/>
  <c r="L23" i="12"/>
  <c r="L22" i="12"/>
  <c r="L21" i="12"/>
  <c r="L17" i="12"/>
  <c r="L18" i="12"/>
  <c r="L19" i="12"/>
  <c r="L15" i="12"/>
  <c r="L12" i="12"/>
  <c r="L10" i="12"/>
  <c r="L9" i="12"/>
  <c r="L7" i="12"/>
  <c r="L27" i="11"/>
  <c r="L18" i="11"/>
  <c r="G18" i="26"/>
  <c r="L28" i="11"/>
  <c r="G28" i="26"/>
  <c r="L23" i="11"/>
  <c r="G23" i="26"/>
  <c r="L30" i="11"/>
  <c r="G30" i="26"/>
  <c r="L22" i="11"/>
  <c r="L24" i="11"/>
  <c r="G24" i="26"/>
  <c r="L17" i="11"/>
  <c r="G17" i="26"/>
  <c r="L29" i="11"/>
  <c r="L34" i="11"/>
  <c r="G34" i="26"/>
  <c r="L19" i="11"/>
  <c r="G19" i="26"/>
  <c r="L32" i="11"/>
  <c r="G32" i="26"/>
  <c r="G2" i="7"/>
  <c r="G2" i="10" s="1"/>
  <c r="H2" i="7"/>
  <c r="I2" i="7"/>
  <c r="H2" i="10" s="1"/>
  <c r="J2" i="7"/>
  <c r="K2" i="7"/>
  <c r="L2" i="7"/>
  <c r="M2" i="7"/>
  <c r="J2" i="10" s="1"/>
  <c r="N2" i="7"/>
  <c r="K2" i="10" s="1"/>
  <c r="O2" i="7"/>
  <c r="P2" i="7"/>
  <c r="A3" i="7"/>
  <c r="B3" i="7"/>
  <c r="C3" i="7"/>
  <c r="D3" i="7"/>
  <c r="E3" i="7"/>
  <c r="E3" i="10" s="1"/>
  <c r="F3" i="7"/>
  <c r="F3" i="10" s="1"/>
  <c r="G3" i="7"/>
  <c r="G3" i="10" s="1"/>
  <c r="H3" i="7"/>
  <c r="I3" i="7"/>
  <c r="H3" i="10" s="1"/>
  <c r="J3" i="7"/>
  <c r="K3" i="7"/>
  <c r="L3" i="7"/>
  <c r="M3" i="7"/>
  <c r="J3" i="10" s="1"/>
  <c r="N3" i="7"/>
  <c r="K3" i="10" s="1"/>
  <c r="O3" i="7"/>
  <c r="P3" i="7"/>
  <c r="E4" i="7"/>
  <c r="F4" i="7"/>
  <c r="F4" i="10" s="1"/>
  <c r="G4" i="7"/>
  <c r="G4" i="10" s="1"/>
  <c r="H4" i="7"/>
  <c r="I4" i="7"/>
  <c r="H4" i="10" s="1"/>
  <c r="J4" i="7"/>
  <c r="K4" i="7"/>
  <c r="L4" i="7"/>
  <c r="M4" i="7"/>
  <c r="J4" i="10" s="1"/>
  <c r="N4" i="7"/>
  <c r="K4" i="10" s="1"/>
  <c r="P4" i="7"/>
  <c r="A5" i="7"/>
  <c r="B5" i="7"/>
  <c r="C5" i="7"/>
  <c r="D5" i="7"/>
  <c r="E5" i="7"/>
  <c r="F5" i="7"/>
  <c r="F5" i="10" s="1"/>
  <c r="G5" i="7"/>
  <c r="G5" i="10" s="1"/>
  <c r="H5" i="7"/>
  <c r="J5" i="7"/>
  <c r="L5" i="7"/>
  <c r="M5" i="7"/>
  <c r="J5" i="10" s="1"/>
  <c r="N5" i="7"/>
  <c r="K5" i="10" s="1"/>
  <c r="O5" i="7"/>
  <c r="P5" i="7"/>
  <c r="A6" i="7"/>
  <c r="B6" i="7"/>
  <c r="C6" i="7"/>
  <c r="D6" i="7"/>
  <c r="E6" i="7"/>
  <c r="F6" i="7"/>
  <c r="F6" i="10" s="1"/>
  <c r="G6" i="7"/>
  <c r="G6" i="10" s="1"/>
  <c r="H6" i="7"/>
  <c r="J6" i="7"/>
  <c r="L6" i="7"/>
  <c r="M6" i="7"/>
  <c r="J6" i="10" s="1"/>
  <c r="N6" i="7"/>
  <c r="K6" i="10" s="1"/>
  <c r="O6" i="7"/>
  <c r="P6" i="7"/>
  <c r="C7" i="7"/>
  <c r="D7" i="7"/>
  <c r="E7" i="7"/>
  <c r="F7" i="7"/>
  <c r="F7" i="10" s="1"/>
  <c r="G7" i="7"/>
  <c r="G7" i="10" s="1"/>
  <c r="H7" i="7"/>
  <c r="J7" i="7"/>
  <c r="L7" i="7"/>
  <c r="M7" i="7"/>
  <c r="J7" i="10" s="1"/>
  <c r="N7" i="7"/>
  <c r="K7" i="10" s="1"/>
  <c r="O7" i="7"/>
  <c r="P7" i="7"/>
  <c r="A8" i="10"/>
  <c r="B8" i="10"/>
  <c r="C8" i="7"/>
  <c r="D8" i="7"/>
  <c r="E8" i="7"/>
  <c r="F8" i="7"/>
  <c r="F8" i="10" s="1"/>
  <c r="G8" i="7"/>
  <c r="G8" i="10" s="1"/>
  <c r="H8" i="7"/>
  <c r="J8" i="7"/>
  <c r="L8" i="7"/>
  <c r="M8" i="7"/>
  <c r="J8" i="10" s="1"/>
  <c r="N8" i="7"/>
  <c r="K8" i="10" s="1"/>
  <c r="O8" i="7"/>
  <c r="P8" i="7"/>
  <c r="A9" i="10"/>
  <c r="B9" i="10"/>
  <c r="C9" i="7"/>
  <c r="D9" i="7"/>
  <c r="E9" i="7"/>
  <c r="F9" i="7"/>
  <c r="F9" i="10" s="1"/>
  <c r="G9" i="7"/>
  <c r="G9" i="10" s="1"/>
  <c r="H9" i="7"/>
  <c r="J9" i="7"/>
  <c r="L9" i="7"/>
  <c r="M9" i="7"/>
  <c r="J9" i="10" s="1"/>
  <c r="N9" i="7"/>
  <c r="K9" i="10" s="1"/>
  <c r="O9" i="7"/>
  <c r="P9" i="7"/>
  <c r="C10" i="7"/>
  <c r="D10" i="7"/>
  <c r="E10" i="7"/>
  <c r="F10" i="7"/>
  <c r="F10" i="10" s="1"/>
  <c r="G10" i="7"/>
  <c r="G10" i="10" s="1"/>
  <c r="H10" i="7"/>
  <c r="J10" i="7"/>
  <c r="L10" i="7"/>
  <c r="M10" i="7"/>
  <c r="J10" i="10" s="1"/>
  <c r="N10" i="7"/>
  <c r="O10" i="7"/>
  <c r="P10" i="7"/>
  <c r="A11" i="10"/>
  <c r="B11" i="10"/>
  <c r="C11" i="7"/>
  <c r="D11" i="7"/>
  <c r="E11" i="7"/>
  <c r="F11" i="7"/>
  <c r="F11" i="10" s="1"/>
  <c r="G11" i="7"/>
  <c r="G11" i="10" s="1"/>
  <c r="H11" i="7"/>
  <c r="J11" i="7"/>
  <c r="L11" i="7"/>
  <c r="M11" i="7"/>
  <c r="J11" i="10" s="1"/>
  <c r="N11" i="7"/>
  <c r="K11" i="10" s="1"/>
  <c r="O11" i="7"/>
  <c r="P11" i="7"/>
  <c r="C12" i="7"/>
  <c r="D12" i="7"/>
  <c r="E12" i="7"/>
  <c r="F12" i="7"/>
  <c r="F12" i="10" s="1"/>
  <c r="G12" i="7"/>
  <c r="G12" i="10" s="1"/>
  <c r="H12" i="7"/>
  <c r="J12" i="7"/>
  <c r="L12" i="7"/>
  <c r="M12" i="7"/>
  <c r="J12" i="10" s="1"/>
  <c r="N12" i="7"/>
  <c r="O12" i="7"/>
  <c r="P12" i="7"/>
  <c r="A13" i="10"/>
  <c r="B13" i="10"/>
  <c r="C13" i="7"/>
  <c r="D13" i="7"/>
  <c r="E13" i="7"/>
  <c r="F13" i="7"/>
  <c r="F13" i="10" s="1"/>
  <c r="G13" i="7"/>
  <c r="G13" i="10" s="1"/>
  <c r="H13" i="7"/>
  <c r="J13" i="7"/>
  <c r="L13" i="7"/>
  <c r="M13" i="7"/>
  <c r="J13" i="10" s="1"/>
  <c r="N13" i="7"/>
  <c r="K13" i="10" s="1"/>
  <c r="O13" i="7"/>
  <c r="P13" i="7"/>
  <c r="A14" i="10"/>
  <c r="B14" i="10"/>
  <c r="C14" i="7"/>
  <c r="D14" i="7"/>
  <c r="E14" i="7"/>
  <c r="F14" i="7"/>
  <c r="F14" i="10" s="1"/>
  <c r="G14" i="7"/>
  <c r="G14" i="10" s="1"/>
  <c r="H14" i="7"/>
  <c r="J14" i="7"/>
  <c r="L14" i="7"/>
  <c r="M14" i="7"/>
  <c r="J14" i="10" s="1"/>
  <c r="N14" i="7"/>
  <c r="K14" i="10" s="1"/>
  <c r="O14" i="7"/>
  <c r="P14" i="7"/>
  <c r="C15" i="7"/>
  <c r="D15" i="7"/>
  <c r="E15" i="7"/>
  <c r="F15" i="7"/>
  <c r="F15" i="10" s="1"/>
  <c r="G15" i="7"/>
  <c r="G15" i="10" s="1"/>
  <c r="H15" i="7"/>
  <c r="J15" i="7"/>
  <c r="L15" i="7"/>
  <c r="M15" i="7"/>
  <c r="J15" i="10" s="1"/>
  <c r="N15" i="7"/>
  <c r="K15" i="10" s="1"/>
  <c r="O15" i="7"/>
  <c r="P15" i="7"/>
  <c r="A16" i="10"/>
  <c r="B16" i="10"/>
  <c r="C16" i="7"/>
  <c r="D16" i="7"/>
  <c r="E16" i="7"/>
  <c r="F16" i="7"/>
  <c r="F16" i="10" s="1"/>
  <c r="G16" i="7"/>
  <c r="G16" i="10" s="1"/>
  <c r="H16" i="7"/>
  <c r="J16" i="7"/>
  <c r="L16" i="7"/>
  <c r="M16" i="7"/>
  <c r="J16" i="10" s="1"/>
  <c r="N16" i="7"/>
  <c r="K16" i="10" s="1"/>
  <c r="O16" i="7"/>
  <c r="P16" i="7"/>
  <c r="A17" i="10"/>
  <c r="B17" i="10"/>
  <c r="C17" i="7"/>
  <c r="D17" i="7"/>
  <c r="E17" i="7"/>
  <c r="F17" i="7"/>
  <c r="F17" i="10" s="1"/>
  <c r="G17" i="7"/>
  <c r="G17" i="10" s="1"/>
  <c r="H17" i="7"/>
  <c r="J17" i="7"/>
  <c r="L17" i="7"/>
  <c r="M17" i="7"/>
  <c r="J17" i="10" s="1"/>
  <c r="N17" i="7"/>
  <c r="K17" i="10" s="1"/>
  <c r="O17" i="7"/>
  <c r="P17" i="7"/>
  <c r="A18" i="10"/>
  <c r="B18" i="10"/>
  <c r="C18" i="7"/>
  <c r="D18" i="7"/>
  <c r="E18" i="7"/>
  <c r="F18" i="7"/>
  <c r="F18" i="10" s="1"/>
  <c r="H18" i="7"/>
  <c r="J18" i="7"/>
  <c r="L18" i="7"/>
  <c r="M18" i="7"/>
  <c r="J18" i="10" s="1"/>
  <c r="N18" i="7"/>
  <c r="K18" i="10" s="1"/>
  <c r="O18" i="7"/>
  <c r="P18" i="7"/>
  <c r="A19" i="10"/>
  <c r="B19" i="10"/>
  <c r="C19" i="7"/>
  <c r="D19" i="7"/>
  <c r="E19" i="7"/>
  <c r="F19" i="7"/>
  <c r="F19" i="10" s="1"/>
  <c r="G19" i="7"/>
  <c r="G19" i="10" s="1"/>
  <c r="H19" i="7"/>
  <c r="J19" i="7"/>
  <c r="L19" i="7"/>
  <c r="M19" i="7"/>
  <c r="J19" i="10" s="1"/>
  <c r="N19" i="7"/>
  <c r="K19" i="10" s="1"/>
  <c r="O19" i="7"/>
  <c r="P19" i="7"/>
  <c r="A20" i="10"/>
  <c r="B20" i="10"/>
  <c r="C20" i="7"/>
  <c r="D20" i="7"/>
  <c r="E20" i="7"/>
  <c r="F20" i="7"/>
  <c r="F20" i="10" s="1"/>
  <c r="G20" i="7"/>
  <c r="G20" i="10" s="1"/>
  <c r="H20" i="7"/>
  <c r="J20" i="7"/>
  <c r="L20" i="7"/>
  <c r="M20" i="7"/>
  <c r="J20" i="10" s="1"/>
  <c r="N20" i="7"/>
  <c r="K20" i="10" s="1"/>
  <c r="O20" i="7"/>
  <c r="P20" i="7"/>
  <c r="C21" i="7"/>
  <c r="D21" i="7"/>
  <c r="E21" i="7"/>
  <c r="F21" i="7"/>
  <c r="F21" i="10" s="1"/>
  <c r="G21" i="7"/>
  <c r="G21" i="10" s="1"/>
  <c r="H21" i="7"/>
  <c r="J21" i="7"/>
  <c r="L21" i="7"/>
  <c r="M21" i="7"/>
  <c r="J21" i="10" s="1"/>
  <c r="N21" i="7"/>
  <c r="K21" i="10" s="1"/>
  <c r="O21" i="7"/>
  <c r="P21" i="7"/>
  <c r="A22" i="10"/>
  <c r="B22" i="10"/>
  <c r="C22" i="7"/>
  <c r="D22" i="7"/>
  <c r="E22" i="7"/>
  <c r="F22" i="7"/>
  <c r="F22" i="10" s="1"/>
  <c r="H22" i="7"/>
  <c r="J22" i="7"/>
  <c r="L22" i="7"/>
  <c r="M22" i="7"/>
  <c r="J22" i="10" s="1"/>
  <c r="N22" i="7"/>
  <c r="K22" i="10" s="1"/>
  <c r="O22" i="7"/>
  <c r="P22" i="7"/>
  <c r="C23" i="7"/>
  <c r="D23" i="7"/>
  <c r="E23" i="7"/>
  <c r="F23" i="7"/>
  <c r="F23" i="10" s="1"/>
  <c r="H23" i="7"/>
  <c r="J23" i="7"/>
  <c r="L23" i="7"/>
  <c r="M23" i="7"/>
  <c r="J23" i="10" s="1"/>
  <c r="N23" i="7"/>
  <c r="K23" i="10" s="1"/>
  <c r="O23" i="7"/>
  <c r="P23" i="7"/>
  <c r="A24" i="10"/>
  <c r="B24" i="10"/>
  <c r="C24" i="7"/>
  <c r="D24" i="7"/>
  <c r="E24" i="7"/>
  <c r="F24" i="7"/>
  <c r="F24" i="10" s="1"/>
  <c r="G24" i="7"/>
  <c r="G24" i="10" s="1"/>
  <c r="H24" i="7"/>
  <c r="J24" i="7"/>
  <c r="L24" i="7"/>
  <c r="M24" i="7"/>
  <c r="J24" i="10" s="1"/>
  <c r="N24" i="7"/>
  <c r="K24" i="10" s="1"/>
  <c r="O24" i="7"/>
  <c r="P24" i="7"/>
  <c r="A25" i="10"/>
  <c r="B25" i="10"/>
  <c r="C25" i="7"/>
  <c r="D25" i="7"/>
  <c r="E25" i="7"/>
  <c r="F25" i="7"/>
  <c r="F25" i="10" s="1"/>
  <c r="G25" i="7"/>
  <c r="G25" i="10" s="1"/>
  <c r="H25" i="7"/>
  <c r="J25" i="7"/>
  <c r="L25" i="7"/>
  <c r="M25" i="7"/>
  <c r="J25" i="10" s="1"/>
  <c r="N25" i="7"/>
  <c r="K25" i="10" s="1"/>
  <c r="O25" i="7"/>
  <c r="P25" i="7"/>
  <c r="C26" i="7"/>
  <c r="D26" i="7"/>
  <c r="E26" i="7"/>
  <c r="F26" i="7"/>
  <c r="F26" i="10" s="1"/>
  <c r="G26" i="7"/>
  <c r="G26" i="10" s="1"/>
  <c r="H26" i="7"/>
  <c r="J26" i="7"/>
  <c r="L26" i="7"/>
  <c r="M26" i="7"/>
  <c r="J26" i="10" s="1"/>
  <c r="N26" i="7"/>
  <c r="K26" i="10" s="1"/>
  <c r="O26" i="7"/>
  <c r="P26" i="7"/>
  <c r="A27" i="10"/>
  <c r="B27" i="10"/>
  <c r="C27" i="7"/>
  <c r="D27" i="7"/>
  <c r="E27" i="7"/>
  <c r="F27" i="7"/>
  <c r="F27" i="10" s="1"/>
  <c r="J27" i="7"/>
  <c r="L27" i="7"/>
  <c r="M27" i="7"/>
  <c r="J27" i="10" s="1"/>
  <c r="N27" i="7"/>
  <c r="K27" i="10" s="1"/>
  <c r="O27" i="7"/>
  <c r="P27" i="7"/>
  <c r="C28" i="7"/>
  <c r="D28" i="7"/>
  <c r="E28" i="7"/>
  <c r="F28" i="7"/>
  <c r="F28" i="10" s="1"/>
  <c r="J28" i="7"/>
  <c r="L28" i="7"/>
  <c r="M28" i="7"/>
  <c r="J28" i="10" s="1"/>
  <c r="N28" i="7"/>
  <c r="K28" i="10" s="1"/>
  <c r="O28" i="7"/>
  <c r="P28" i="7"/>
  <c r="A29" i="10"/>
  <c r="B29" i="10"/>
  <c r="C29" i="7"/>
  <c r="D29" i="7"/>
  <c r="E29" i="7"/>
  <c r="F29" i="7"/>
  <c r="F29" i="10" s="1"/>
  <c r="H29" i="7"/>
  <c r="J29" i="7"/>
  <c r="L29" i="7"/>
  <c r="M29" i="7"/>
  <c r="J29" i="10" s="1"/>
  <c r="N29" i="7"/>
  <c r="K29" i="10" s="1"/>
  <c r="O29" i="7"/>
  <c r="P29" i="7"/>
  <c r="C30" i="7"/>
  <c r="D30" i="7"/>
  <c r="E30" i="7"/>
  <c r="F30" i="7"/>
  <c r="F30" i="10" s="1"/>
  <c r="H30" i="7"/>
  <c r="J30" i="7"/>
  <c r="L30" i="7"/>
  <c r="M30" i="7"/>
  <c r="J30" i="10" s="1"/>
  <c r="N30" i="7"/>
  <c r="K30" i="10" s="1"/>
  <c r="O30" i="7"/>
  <c r="P30" i="7"/>
  <c r="A31" i="10"/>
  <c r="B31" i="10"/>
  <c r="C31" i="7"/>
  <c r="D31" i="7"/>
  <c r="E31" i="7"/>
  <c r="F31" i="7"/>
  <c r="F31" i="10" s="1"/>
  <c r="G31" i="7"/>
  <c r="G31" i="10" s="1"/>
  <c r="H31" i="7"/>
  <c r="J31" i="7"/>
  <c r="L31" i="7"/>
  <c r="M31" i="7"/>
  <c r="J31" i="10" s="1"/>
  <c r="N31" i="7"/>
  <c r="K31" i="10" s="1"/>
  <c r="O31" i="7"/>
  <c r="P31" i="7"/>
  <c r="C32" i="7"/>
  <c r="D32" i="7"/>
  <c r="E32" i="7"/>
  <c r="F32" i="7"/>
  <c r="F32" i="10" s="1"/>
  <c r="G32" i="7"/>
  <c r="G32" i="10" s="1"/>
  <c r="H32" i="7"/>
  <c r="J32" i="7"/>
  <c r="L32" i="7"/>
  <c r="M32" i="7"/>
  <c r="J32" i="10" s="1"/>
  <c r="N32" i="7"/>
  <c r="K32" i="10" s="1"/>
  <c r="O32" i="7"/>
  <c r="P32" i="7"/>
  <c r="A33" i="10"/>
  <c r="B33" i="10"/>
  <c r="C33" i="7"/>
  <c r="D33" i="7"/>
  <c r="E33" i="7"/>
  <c r="F33" i="7"/>
  <c r="F33" i="10" s="1"/>
  <c r="G33" i="7"/>
  <c r="G33" i="10" s="1"/>
  <c r="H33" i="7"/>
  <c r="J33" i="7"/>
  <c r="L33" i="7"/>
  <c r="M33" i="7"/>
  <c r="J33" i="10" s="1"/>
  <c r="N33" i="7"/>
  <c r="K33" i="10" s="1"/>
  <c r="O33" i="7"/>
  <c r="P33" i="7"/>
  <c r="C34" i="7"/>
  <c r="D34" i="7"/>
  <c r="E34" i="7"/>
  <c r="F34" i="7"/>
  <c r="F34" i="10" s="1"/>
  <c r="G34" i="7"/>
  <c r="G34" i="10" s="1"/>
  <c r="H34" i="7"/>
  <c r="J34" i="7"/>
  <c r="L34" i="7"/>
  <c r="M34" i="7"/>
  <c r="J34" i="10" s="1"/>
  <c r="N34" i="7"/>
  <c r="K34" i="10" s="1"/>
  <c r="O34" i="7"/>
  <c r="P34" i="7"/>
  <c r="A35" i="10"/>
  <c r="B35" i="10"/>
  <c r="C35" i="7"/>
  <c r="D35" i="7"/>
  <c r="E35" i="7"/>
  <c r="F35" i="7"/>
  <c r="F35" i="10" s="1"/>
  <c r="G35" i="7"/>
  <c r="G35" i="10" s="1"/>
  <c r="H35" i="7"/>
  <c r="J35" i="7"/>
  <c r="L35" i="7"/>
  <c r="M35" i="7"/>
  <c r="J35" i="10" s="1"/>
  <c r="N35" i="7"/>
  <c r="K35" i="10" s="1"/>
  <c r="O35" i="7"/>
  <c r="P35" i="7"/>
  <c r="C36" i="7"/>
  <c r="D36" i="7"/>
  <c r="E36" i="7"/>
  <c r="F36" i="7"/>
  <c r="F36" i="10" s="1"/>
  <c r="G36" i="7"/>
  <c r="G36" i="10" s="1"/>
  <c r="H36" i="7"/>
  <c r="J36" i="7"/>
  <c r="L36" i="7"/>
  <c r="M36" i="7"/>
  <c r="J36" i="10" s="1"/>
  <c r="N36" i="7"/>
  <c r="K36" i="10" s="1"/>
  <c r="O36" i="7"/>
  <c r="P36" i="7"/>
  <c r="C37" i="7"/>
  <c r="D37" i="7"/>
  <c r="E37" i="7"/>
  <c r="F37" i="7"/>
  <c r="F37" i="10" s="1"/>
  <c r="G37" i="7"/>
  <c r="G37" i="10" s="1"/>
  <c r="H37" i="7"/>
  <c r="J37" i="7"/>
  <c r="L37" i="7"/>
  <c r="M37" i="7"/>
  <c r="J37" i="10" s="1"/>
  <c r="N37" i="7"/>
  <c r="K37" i="10" s="1"/>
  <c r="O37" i="7"/>
  <c r="P37" i="7"/>
  <c r="E1" i="7"/>
  <c r="G1" i="7"/>
  <c r="G1" i="10" s="1"/>
  <c r="H1" i="7"/>
  <c r="I1" i="7"/>
  <c r="H1" i="10" s="1"/>
  <c r="J1" i="7"/>
  <c r="K1" i="7"/>
  <c r="L1" i="7"/>
  <c r="M1" i="7"/>
  <c r="J1" i="10" s="1"/>
  <c r="N1" i="7"/>
  <c r="K1" i="10" s="1"/>
  <c r="O1" i="7"/>
  <c r="P1" i="7"/>
  <c r="BA116" i="30" l="1"/>
  <c r="AS116" i="30"/>
  <c r="AQ116" i="30"/>
  <c r="AV116" i="30"/>
  <c r="AY116" i="30"/>
  <c r="AK115" i="30"/>
  <c r="AL115" i="30"/>
  <c r="AW116" i="30"/>
  <c r="C29" i="10"/>
  <c r="D17" i="10"/>
  <c r="D5" i="10"/>
  <c r="E23" i="10"/>
  <c r="C17" i="10"/>
  <c r="E9" i="10"/>
  <c r="C8" i="10"/>
  <c r="E6" i="10"/>
  <c r="C5" i="10"/>
  <c r="E37" i="10"/>
  <c r="E35" i="10"/>
  <c r="C34" i="10"/>
  <c r="E32" i="10"/>
  <c r="E28" i="10"/>
  <c r="E26" i="10"/>
  <c r="D23" i="10"/>
  <c r="E21" i="10"/>
  <c r="D18" i="10"/>
  <c r="D9" i="10"/>
  <c r="D6" i="10"/>
  <c r="B5" i="10"/>
  <c r="E1" i="10"/>
  <c r="E34" i="10"/>
  <c r="C25" i="10"/>
  <c r="L35" i="10"/>
  <c r="D34" i="10"/>
  <c r="C11" i="10"/>
  <c r="D32" i="10"/>
  <c r="E30" i="10"/>
  <c r="D28" i="10"/>
  <c r="D26" i="10"/>
  <c r="C23" i="10"/>
  <c r="C18" i="10"/>
  <c r="E15" i="10"/>
  <c r="C9" i="10"/>
  <c r="C6" i="10"/>
  <c r="D3" i="10"/>
  <c r="D30" i="10"/>
  <c r="C28" i="10"/>
  <c r="E27" i="10"/>
  <c r="C26" i="10"/>
  <c r="E24" i="10"/>
  <c r="E22" i="10"/>
  <c r="C21" i="10"/>
  <c r="E19" i="10"/>
  <c r="L16" i="10"/>
  <c r="L13" i="10"/>
  <c r="D12" i="10"/>
  <c r="B6" i="10"/>
  <c r="L4" i="10"/>
  <c r="I3" i="10"/>
  <c r="C3" i="10"/>
  <c r="I2" i="10"/>
  <c r="C31" i="10"/>
  <c r="C20" i="10"/>
  <c r="D14" i="10"/>
  <c r="D11" i="10"/>
  <c r="D8" i="10"/>
  <c r="L6" i="10"/>
  <c r="I4" i="10"/>
  <c r="E18" i="10"/>
  <c r="C14" i="10"/>
  <c r="I1" i="10"/>
  <c r="D37" i="10"/>
  <c r="D35" i="10"/>
  <c r="D21" i="10"/>
  <c r="E12" i="10"/>
  <c r="A5" i="10"/>
  <c r="C37" i="10"/>
  <c r="C35" i="10"/>
  <c r="E33" i="10"/>
  <c r="C32" i="10"/>
  <c r="D33" i="10"/>
  <c r="L31" i="10"/>
  <c r="C30" i="10"/>
  <c r="D27" i="10"/>
  <c r="L25" i="10"/>
  <c r="D24" i="10"/>
  <c r="D22" i="10"/>
  <c r="L20" i="10"/>
  <c r="D19" i="10"/>
  <c r="E16" i="10"/>
  <c r="C15" i="10"/>
  <c r="E13" i="10"/>
  <c r="C12" i="10"/>
  <c r="E10" i="10"/>
  <c r="E7" i="10"/>
  <c r="A6" i="10"/>
  <c r="B3" i="10"/>
  <c r="C36" i="10"/>
  <c r="L1" i="10"/>
  <c r="E36" i="10"/>
  <c r="C33" i="10"/>
  <c r="E31" i="10"/>
  <c r="E29" i="10"/>
  <c r="C27" i="10"/>
  <c r="E25" i="10"/>
  <c r="C24" i="10"/>
  <c r="C22" i="10"/>
  <c r="E20" i="10"/>
  <c r="C19" i="10"/>
  <c r="D16" i="10"/>
  <c r="L14" i="10"/>
  <c r="D13" i="10"/>
  <c r="L11" i="10"/>
  <c r="D10" i="10"/>
  <c r="L8" i="10"/>
  <c r="D7" i="10"/>
  <c r="L5" i="10"/>
  <c r="E4" i="10"/>
  <c r="A3" i="10"/>
  <c r="D36" i="10"/>
  <c r="D31" i="10"/>
  <c r="D29" i="10"/>
  <c r="D25" i="10"/>
  <c r="D20" i="10"/>
  <c r="E17" i="10"/>
  <c r="C16" i="10"/>
  <c r="E14" i="10"/>
  <c r="C13" i="10"/>
  <c r="E11" i="10"/>
  <c r="C10" i="10"/>
  <c r="E8" i="10"/>
  <c r="C7" i="10"/>
  <c r="E5" i="10"/>
  <c r="L3" i="10"/>
  <c r="L2" i="10"/>
  <c r="D15" i="10"/>
  <c r="L36" i="10"/>
  <c r="L37" i="10"/>
  <c r="L32" i="10"/>
  <c r="L33" i="10"/>
  <c r="L34" i="10"/>
  <c r="L28" i="10"/>
  <c r="L27" i="10"/>
  <c r="L26" i="10"/>
  <c r="L29" i="10"/>
  <c r="L30" i="10"/>
  <c r="L24" i="10"/>
  <c r="L23" i="10"/>
  <c r="L22" i="10"/>
  <c r="L21" i="10"/>
  <c r="L18" i="10"/>
  <c r="L19" i="10"/>
  <c r="L17" i="10"/>
  <c r="L15" i="10"/>
  <c r="L12" i="10"/>
  <c r="L10" i="10"/>
  <c r="L9" i="10"/>
  <c r="L7" i="10"/>
  <c r="G30" i="7"/>
  <c r="G30" i="10" s="1"/>
  <c r="G29" i="11"/>
  <c r="G28" i="7"/>
  <c r="G28" i="10" s="1"/>
  <c r="G27" i="11"/>
  <c r="G23" i="7"/>
  <c r="G23" i="10" s="1"/>
  <c r="G22" i="11"/>
  <c r="BB116" i="30" l="1"/>
  <c r="AZ116" i="30"/>
  <c r="AX116" i="30"/>
  <c r="BE116" i="30" s="1"/>
  <c r="BC116" i="30"/>
  <c r="BD116" i="30"/>
  <c r="BF116" i="30"/>
  <c r="G29" i="12"/>
  <c r="G27" i="12"/>
  <c r="G22" i="12"/>
  <c r="T28" i="1"/>
  <c r="Z28" i="1" s="1"/>
  <c r="S28" i="1"/>
  <c r="Y28" i="1" s="1"/>
  <c r="G28" i="11"/>
  <c r="S23" i="1"/>
  <c r="Y23" i="1" s="1"/>
  <c r="G23" i="11"/>
  <c r="R29" i="1"/>
  <c r="X29" i="1" s="1"/>
  <c r="G29" i="7"/>
  <c r="G29" i="10" s="1"/>
  <c r="T30" i="1"/>
  <c r="Z30" i="1" s="1"/>
  <c r="R18" i="1"/>
  <c r="G18" i="7"/>
  <c r="G18" i="10" s="1"/>
  <c r="S18" i="1"/>
  <c r="Y18" i="1" s="1"/>
  <c r="G18" i="11"/>
  <c r="T23" i="1"/>
  <c r="Z23" i="1" s="1"/>
  <c r="R27" i="1"/>
  <c r="X27" i="1" s="1"/>
  <c r="G27" i="7"/>
  <c r="G27" i="10" s="1"/>
  <c r="T18" i="1"/>
  <c r="R22" i="1"/>
  <c r="X22" i="1" s="1"/>
  <c r="G22" i="7"/>
  <c r="G22" i="10" s="1"/>
  <c r="S30" i="1"/>
  <c r="Y30" i="1" s="1"/>
  <c r="G30" i="11"/>
  <c r="G30" i="12" l="1"/>
  <c r="G28" i="12"/>
  <c r="G23" i="12"/>
  <c r="G18" i="12"/>
  <c r="Z18" i="1"/>
  <c r="T38" i="1"/>
  <c r="X18" i="1"/>
  <c r="R38" i="1"/>
  <c r="S8" i="1"/>
  <c r="G8" i="11"/>
  <c r="D89" i="2"/>
  <c r="D87" i="2"/>
  <c r="D90" i="2" s="1"/>
  <c r="D91" i="2" s="1"/>
  <c r="D83" i="2"/>
  <c r="D77" i="2"/>
  <c r="D79" i="2" s="1"/>
  <c r="Y8" i="1" l="1"/>
  <c r="S38" i="1"/>
  <c r="Q20" i="4"/>
  <c r="L20" i="11" l="1"/>
  <c r="L10" i="11"/>
  <c r="G10" i="26"/>
  <c r="L15" i="11"/>
  <c r="G15" i="26"/>
  <c r="L11" i="11"/>
  <c r="L9" i="11"/>
  <c r="L8" i="11"/>
  <c r="G8" i="26"/>
  <c r="L6" i="11"/>
  <c r="G6" i="26"/>
  <c r="L25" i="11"/>
  <c r="L21" i="11"/>
  <c r="G21" i="26"/>
  <c r="L36" i="11"/>
  <c r="G36" i="26"/>
  <c r="L35" i="11"/>
  <c r="L7" i="11"/>
  <c r="G7" i="26"/>
  <c r="L13" i="11"/>
  <c r="G13" i="26"/>
  <c r="L5" i="11"/>
  <c r="G5" i="26"/>
  <c r="L37" i="11"/>
  <c r="G37" i="26"/>
  <c r="L16" i="11"/>
  <c r="G16" i="26"/>
  <c r="L33" i="11"/>
  <c r="L14" i="11"/>
  <c r="L31" i="11"/>
  <c r="L26" i="11"/>
  <c r="G26" i="26"/>
  <c r="L12" i="11"/>
  <c r="G12" i="26"/>
  <c r="G58" i="4" l="1"/>
  <c r="F58" i="4"/>
  <c r="E58" i="4"/>
  <c r="J28" i="4"/>
  <c r="I28" i="4"/>
  <c r="H28" i="4"/>
  <c r="J27" i="4"/>
  <c r="I27" i="4"/>
  <c r="H27" i="4"/>
  <c r="O26" i="4"/>
  <c r="N26" i="4"/>
  <c r="M26" i="4"/>
  <c r="J26" i="4"/>
  <c r="I26" i="4"/>
  <c r="H26" i="4"/>
  <c r="J24" i="4"/>
  <c r="I24" i="4"/>
  <c r="H24" i="4"/>
  <c r="O23" i="4"/>
  <c r="N23" i="4"/>
  <c r="M23" i="4"/>
  <c r="J23" i="4"/>
  <c r="I23" i="4"/>
  <c r="H23" i="4"/>
  <c r="O22" i="4"/>
  <c r="N22" i="4"/>
  <c r="M22" i="4"/>
  <c r="M7" i="4" s="1"/>
  <c r="J22" i="4"/>
  <c r="I22" i="4"/>
  <c r="H22" i="4"/>
  <c r="O21" i="4"/>
  <c r="G37" i="4" s="1"/>
  <c r="N21" i="4"/>
  <c r="F37" i="4" s="1"/>
  <c r="M21" i="4"/>
  <c r="E37" i="4" s="1"/>
  <c r="O20" i="4"/>
  <c r="N20" i="4"/>
  <c r="M20" i="4"/>
  <c r="O19" i="4"/>
  <c r="O30" i="4" s="1"/>
  <c r="G39" i="4" s="1"/>
  <c r="N19" i="4"/>
  <c r="N30" i="4" s="1"/>
  <c r="F39" i="4" s="1"/>
  <c r="M19" i="4"/>
  <c r="O18" i="4"/>
  <c r="N18" i="4"/>
  <c r="M18" i="4"/>
  <c r="M29" i="4" s="1"/>
  <c r="O17" i="4"/>
  <c r="N17" i="4"/>
  <c r="N28" i="4" s="1"/>
  <c r="M17" i="4"/>
  <c r="D17" i="4"/>
  <c r="D16" i="4"/>
  <c r="D12" i="4"/>
  <c r="D11" i="4"/>
  <c r="D10" i="4"/>
  <c r="D9" i="4"/>
  <c r="D8" i="4"/>
  <c r="Y7" i="4"/>
  <c r="X7" i="4"/>
  <c r="W7" i="4"/>
  <c r="D7" i="4"/>
  <c r="N6" i="4"/>
  <c r="D6" i="4"/>
  <c r="D5" i="4"/>
  <c r="H17" i="2"/>
  <c r="H12" i="2"/>
  <c r="M6" i="4" l="1"/>
  <c r="M30" i="4"/>
  <c r="E39" i="4" s="1"/>
  <c r="M5" i="4"/>
  <c r="M25" i="4"/>
  <c r="O6" i="4"/>
  <c r="N7" i="4"/>
  <c r="N29" i="4"/>
  <c r="N5" i="4"/>
  <c r="O7" i="4"/>
  <c r="O25" i="4"/>
  <c r="O29" i="4"/>
  <c r="G38" i="4" s="1"/>
  <c r="O5" i="4"/>
  <c r="E36" i="4"/>
  <c r="E38" i="4"/>
  <c r="F36" i="4"/>
  <c r="F38" i="4"/>
  <c r="F35" i="4"/>
  <c r="N25" i="4"/>
  <c r="O28" i="4"/>
  <c r="M28" i="4"/>
  <c r="G36" i="4" l="1"/>
  <c r="E35" i="4"/>
  <c r="G35" i="4"/>
  <c r="H28" i="11" l="1"/>
  <c r="K18" i="7"/>
  <c r="I18" i="7"/>
  <c r="H18" i="10" s="1"/>
  <c r="H27" i="11"/>
  <c r="I27" i="11"/>
  <c r="H19" i="11"/>
  <c r="H11" i="11"/>
  <c r="I11" i="11"/>
  <c r="K25" i="7"/>
  <c r="I25" i="7"/>
  <c r="H25" i="10" s="1"/>
  <c r="K17" i="7"/>
  <c r="I17" i="7"/>
  <c r="H17" i="10" s="1"/>
  <c r="K9" i="7"/>
  <c r="I9" i="7"/>
  <c r="H9" i="10" s="1"/>
  <c r="H34" i="11"/>
  <c r="H26" i="11"/>
  <c r="H18" i="11"/>
  <c r="H10" i="11"/>
  <c r="K27" i="7"/>
  <c r="I27" i="7"/>
  <c r="H27" i="10" s="1"/>
  <c r="I33" i="11"/>
  <c r="H33" i="11"/>
  <c r="H17" i="11"/>
  <c r="I9" i="11"/>
  <c r="H9" i="11"/>
  <c r="K11" i="7"/>
  <c r="I11" i="7"/>
  <c r="H11" i="10" s="1"/>
  <c r="K34" i="7"/>
  <c r="I34" i="10" s="1"/>
  <c r="I34" i="7"/>
  <c r="H34" i="10" s="1"/>
  <c r="K33" i="7"/>
  <c r="I33" i="7"/>
  <c r="H33" i="10" s="1"/>
  <c r="K24" i="7"/>
  <c r="I24" i="10" s="1"/>
  <c r="I24" i="7"/>
  <c r="H24" i="10" s="1"/>
  <c r="K7" i="7"/>
  <c r="I7" i="7"/>
  <c r="H7" i="10" s="1"/>
  <c r="H24" i="11"/>
  <c r="H8" i="11"/>
  <c r="K19" i="7"/>
  <c r="I19" i="7"/>
  <c r="H19" i="10" s="1"/>
  <c r="H35" i="11"/>
  <c r="I35" i="11"/>
  <c r="I25" i="11"/>
  <c r="H25" i="11"/>
  <c r="K31" i="7"/>
  <c r="I31" i="7"/>
  <c r="H31" i="10" s="1"/>
  <c r="K15" i="7"/>
  <c r="I15" i="7"/>
  <c r="H15" i="10" s="1"/>
  <c r="H32" i="11"/>
  <c r="H16" i="11"/>
  <c r="K5" i="7"/>
  <c r="I5" i="7"/>
  <c r="H5" i="10" s="1"/>
  <c r="K30" i="7"/>
  <c r="I30" i="10" s="1"/>
  <c r="I30" i="7"/>
  <c r="H30" i="10" s="1"/>
  <c r="K22" i="7"/>
  <c r="I22" i="7"/>
  <c r="H22" i="10" s="1"/>
  <c r="K14" i="7"/>
  <c r="I14" i="7"/>
  <c r="H14" i="10" s="1"/>
  <c r="K6" i="7"/>
  <c r="I6" i="7"/>
  <c r="H6" i="10" s="1"/>
  <c r="I31" i="11"/>
  <c r="H31" i="11"/>
  <c r="H23" i="11"/>
  <c r="H15" i="11"/>
  <c r="H7" i="11"/>
  <c r="K35" i="7"/>
  <c r="I35" i="7"/>
  <c r="H35" i="10" s="1"/>
  <c r="I20" i="11"/>
  <c r="H20" i="11"/>
  <c r="K26" i="7"/>
  <c r="I26" i="10" s="1"/>
  <c r="I26" i="7"/>
  <c r="H26" i="10" s="1"/>
  <c r="K8" i="7"/>
  <c r="I8" i="7"/>
  <c r="H8" i="10" s="1"/>
  <c r="K29" i="7"/>
  <c r="I29" i="7"/>
  <c r="H29" i="10" s="1"/>
  <c r="H5" i="11"/>
  <c r="I22" i="11"/>
  <c r="H22" i="11"/>
  <c r="I14" i="11"/>
  <c r="H14" i="11"/>
  <c r="H6" i="11"/>
  <c r="H36" i="11"/>
  <c r="H12" i="11"/>
  <c r="K10" i="7"/>
  <c r="I10" i="10" s="1"/>
  <c r="I10" i="7"/>
  <c r="H10" i="10" s="1"/>
  <c r="K32" i="7"/>
  <c r="I32" i="10" s="1"/>
  <c r="I32" i="7"/>
  <c r="H32" i="10" s="1"/>
  <c r="K16" i="7"/>
  <c r="I16" i="7"/>
  <c r="H16" i="10" s="1"/>
  <c r="K23" i="7"/>
  <c r="I23" i="10" s="1"/>
  <c r="I23" i="7"/>
  <c r="H23" i="10" s="1"/>
  <c r="K37" i="7"/>
  <c r="I37" i="10" s="1"/>
  <c r="I37" i="7"/>
  <c r="H37" i="10" s="1"/>
  <c r="K21" i="7"/>
  <c r="I21" i="10" s="1"/>
  <c r="I21" i="7"/>
  <c r="H21" i="10" s="1"/>
  <c r="K13" i="7"/>
  <c r="I13" i="7"/>
  <c r="H13" i="10" s="1"/>
  <c r="H30" i="11"/>
  <c r="K36" i="7"/>
  <c r="I36" i="10" s="1"/>
  <c r="I36" i="7"/>
  <c r="H36" i="10" s="1"/>
  <c r="K28" i="7"/>
  <c r="I28" i="10" s="1"/>
  <c r="I28" i="7"/>
  <c r="H28" i="10" s="1"/>
  <c r="K20" i="7"/>
  <c r="I20" i="7"/>
  <c r="H20" i="10" s="1"/>
  <c r="K12" i="7"/>
  <c r="I12" i="10" s="1"/>
  <c r="I12" i="7"/>
  <c r="H12" i="10" s="1"/>
  <c r="H37" i="11"/>
  <c r="H29" i="11"/>
  <c r="I29" i="11"/>
  <c r="H21" i="11"/>
  <c r="H13" i="11"/>
  <c r="I37" i="12" l="1"/>
  <c r="I37" i="11"/>
  <c r="F37" i="26"/>
  <c r="I33" i="12"/>
  <c r="I34" i="12"/>
  <c r="I32" i="12"/>
  <c r="I35" i="10"/>
  <c r="I31" i="10"/>
  <c r="I11" i="10"/>
  <c r="I27" i="12"/>
  <c r="I10" i="12"/>
  <c r="I9" i="12"/>
  <c r="I33" i="10"/>
  <c r="I35" i="12"/>
  <c r="I36" i="12"/>
  <c r="I20" i="12"/>
  <c r="I25" i="12"/>
  <c r="I32" i="11"/>
  <c r="F32" i="26"/>
  <c r="I29" i="12"/>
  <c r="I12" i="11"/>
  <c r="F12" i="26"/>
  <c r="I34" i="11"/>
  <c r="F34" i="26"/>
  <c r="I14" i="12"/>
  <c r="I22" i="12"/>
  <c r="I36" i="11"/>
  <c r="F36" i="26"/>
  <c r="I31" i="12"/>
  <c r="I11" i="12"/>
  <c r="I10" i="11"/>
  <c r="F10" i="26"/>
  <c r="I9" i="10"/>
  <c r="I12" i="12"/>
  <c r="I8" i="10"/>
  <c r="I5" i="10"/>
  <c r="I5" i="12"/>
  <c r="I5" i="11"/>
  <c r="F5" i="26"/>
  <c r="I8" i="12"/>
  <c r="I8" i="11"/>
  <c r="F8" i="26"/>
  <c r="I26" i="12"/>
  <c r="I26" i="11"/>
  <c r="F26" i="26"/>
  <c r="I25" i="10"/>
  <c r="I24" i="12"/>
  <c r="I24" i="11"/>
  <c r="F24" i="26"/>
  <c r="I30" i="12"/>
  <c r="I30" i="11"/>
  <c r="F30" i="26"/>
  <c r="I29" i="10"/>
  <c r="I28" i="12"/>
  <c r="I28" i="11"/>
  <c r="F28" i="26"/>
  <c r="I27" i="10"/>
  <c r="I23" i="12"/>
  <c r="I23" i="11"/>
  <c r="F23" i="26"/>
  <c r="I22" i="10"/>
  <c r="I21" i="12"/>
  <c r="I21" i="11"/>
  <c r="F21" i="26"/>
  <c r="I20" i="10"/>
  <c r="I18" i="11"/>
  <c r="F18" i="26"/>
  <c r="I18" i="10"/>
  <c r="I18" i="12"/>
  <c r="I17" i="10"/>
  <c r="I17" i="12"/>
  <c r="I16" i="11"/>
  <c r="F16" i="26"/>
  <c r="I16" i="12"/>
  <c r="I16" i="10"/>
  <c r="I15" i="10"/>
  <c r="I15" i="12"/>
  <c r="I15" i="11"/>
  <c r="F15" i="26"/>
  <c r="I14" i="10"/>
  <c r="I13" i="12"/>
  <c r="I13" i="10"/>
  <c r="I7" i="11"/>
  <c r="F7" i="26"/>
  <c r="I7" i="10"/>
  <c r="I7" i="12"/>
  <c r="I6" i="10"/>
  <c r="I6" i="11"/>
  <c r="F6" i="26"/>
  <c r="I6" i="12"/>
  <c r="I17" i="11"/>
  <c r="F17" i="26"/>
  <c r="I13" i="11"/>
  <c r="F13" i="26"/>
  <c r="I19" i="12"/>
  <c r="I19" i="11"/>
  <c r="F19" i="26"/>
  <c r="I19" i="10"/>
  <c r="H35" i="42" l="1"/>
  <c r="G35" i="42" s="1"/>
  <c r="H36" i="42"/>
  <c r="G36" i="42" s="1"/>
  <c r="L35" i="42" l="1"/>
  <c r="L36" i="42"/>
  <c r="AA214" i="30"/>
  <c r="AO214" i="30" s="1"/>
  <c r="BG214" i="30" s="1"/>
  <c r="AA202" i="30"/>
  <c r="AA48" i="30"/>
  <c r="AA213" i="30"/>
  <c r="AO213" i="30" s="1"/>
  <c r="AA201" i="30"/>
  <c r="AA47" i="30"/>
  <c r="H29" i="42"/>
  <c r="G29" i="42" s="1"/>
  <c r="H32" i="42"/>
  <c r="G32" i="42" s="1"/>
  <c r="H33" i="42"/>
  <c r="G33" i="42" s="1"/>
  <c r="H31" i="42"/>
  <c r="G31" i="42" s="1"/>
  <c r="H30" i="42"/>
  <c r="G30" i="42" s="1"/>
  <c r="H34" i="42"/>
  <c r="G34" i="42" s="1"/>
  <c r="AO48" i="30" l="1"/>
  <c r="BG48" i="30" s="1"/>
  <c r="AO47" i="30"/>
  <c r="BG47" i="30" s="1"/>
  <c r="L30" i="42"/>
  <c r="L29" i="42"/>
  <c r="L32" i="42"/>
  <c r="L33" i="42"/>
  <c r="L31" i="42"/>
  <c r="L34" i="42"/>
  <c r="AG202" i="30"/>
  <c r="AI202" i="30"/>
  <c r="AG201" i="30"/>
  <c r="AI201" i="30"/>
  <c r="AJ201" i="30" s="1"/>
  <c r="AI48" i="30"/>
  <c r="AG48" i="30"/>
  <c r="AM48" i="30" s="1"/>
  <c r="AA197" i="30"/>
  <c r="AA209" i="30"/>
  <c r="AO209" i="30" s="1"/>
  <c r="BG209" i="30" s="1"/>
  <c r="AA198" i="30"/>
  <c r="AA210" i="30"/>
  <c r="AO210" i="30" s="1"/>
  <c r="BG210" i="30" s="1"/>
  <c r="AA200" i="30"/>
  <c r="AA212" i="30"/>
  <c r="AO212" i="30" s="1"/>
  <c r="BG212" i="30" s="1"/>
  <c r="AA196" i="30"/>
  <c r="AI196" i="30" s="1"/>
  <c r="AJ196" i="30" s="1"/>
  <c r="AA208" i="30"/>
  <c r="AO208" i="30" s="1"/>
  <c r="BG208" i="30" s="1"/>
  <c r="AA199" i="30"/>
  <c r="AA211" i="30"/>
  <c r="AO211" i="30" s="1"/>
  <c r="BG211" i="30" s="1"/>
  <c r="AA195" i="30"/>
  <c r="AA207" i="30"/>
  <c r="AO207" i="30" s="1"/>
  <c r="BG207" i="30" s="1"/>
  <c r="BG213" i="30"/>
  <c r="AA46" i="30"/>
  <c r="AA42" i="30"/>
  <c r="AA43" i="30"/>
  <c r="AA45" i="30"/>
  <c r="AA44" i="30"/>
  <c r="AA41" i="30"/>
  <c r="AG47" i="30"/>
  <c r="AM47" i="30" s="1"/>
  <c r="AI47" i="30"/>
  <c r="AO46" i="30" l="1"/>
  <c r="BG46" i="30" s="1"/>
  <c r="AO42" i="30"/>
  <c r="BG42" i="30" s="1"/>
  <c r="AO44" i="30"/>
  <c r="BG44" i="30" s="1"/>
  <c r="AL48" i="30"/>
  <c r="AN48" i="30"/>
  <c r="AL47" i="30"/>
  <c r="AN47" i="30"/>
  <c r="AJ48" i="30"/>
  <c r="AJ47" i="30"/>
  <c r="AG43" i="30"/>
  <c r="AO43" i="30"/>
  <c r="AG45" i="30"/>
  <c r="AO45" i="30"/>
  <c r="AG41" i="30"/>
  <c r="AO41" i="30"/>
  <c r="AH48" i="30"/>
  <c r="AK48" i="30"/>
  <c r="AH47" i="30"/>
  <c r="AK47" i="30"/>
  <c r="AH202" i="30"/>
  <c r="AJ202" i="30"/>
  <c r="AH201" i="30"/>
  <c r="AG197" i="30"/>
  <c r="AH197" i="30" s="1"/>
  <c r="AI197" i="30"/>
  <c r="AJ197" i="30" s="1"/>
  <c r="AG198" i="30"/>
  <c r="AH198" i="30" s="1"/>
  <c r="AI198" i="30"/>
  <c r="AJ198" i="30" s="1"/>
  <c r="AG200" i="30"/>
  <c r="AH200" i="30" s="1"/>
  <c r="AI200" i="30"/>
  <c r="AJ200" i="30" s="1"/>
  <c r="AG199" i="30"/>
  <c r="AH199" i="30" s="1"/>
  <c r="AI199" i="30"/>
  <c r="AJ199" i="30" s="1"/>
  <c r="AG195" i="30"/>
  <c r="AH195" i="30" s="1"/>
  <c r="AI195" i="30"/>
  <c r="AG196" i="30"/>
  <c r="AH196" i="30" s="1"/>
  <c r="BG206" i="30"/>
  <c r="AO206" i="30"/>
  <c r="AI41" i="30"/>
  <c r="BG158" i="30"/>
  <c r="AG44" i="30"/>
  <c r="AM44" i="30" s="1"/>
  <c r="AI44" i="30"/>
  <c r="AH45" i="30"/>
  <c r="AI45" i="30"/>
  <c r="AH43" i="30"/>
  <c r="AI43" i="30"/>
  <c r="AG42" i="30"/>
  <c r="AI42" i="30"/>
  <c r="AI46" i="30"/>
  <c r="AG46" i="30"/>
  <c r="AM46" i="30" s="1"/>
  <c r="AM43" i="30" l="1"/>
  <c r="AM45" i="30"/>
  <c r="AM41" i="30"/>
  <c r="AK42" i="30"/>
  <c r="AM42" i="30"/>
  <c r="AM40" i="30" s="1"/>
  <c r="AL41" i="30"/>
  <c r="AN41" i="30"/>
  <c r="AL44" i="30"/>
  <c r="AN44" i="30"/>
  <c r="AL45" i="30"/>
  <c r="AN45" i="30"/>
  <c r="AL43" i="30"/>
  <c r="AN43" i="30"/>
  <c r="AL42" i="30"/>
  <c r="AN42" i="30"/>
  <c r="AL46" i="30"/>
  <c r="AN46" i="30"/>
  <c r="AL40" i="30"/>
  <c r="AK43" i="30"/>
  <c r="BG43" i="30"/>
  <c r="AK45" i="30"/>
  <c r="BG45" i="30"/>
  <c r="AK41" i="30"/>
  <c r="BG41" i="30"/>
  <c r="BG40" i="30" s="1"/>
  <c r="AO40" i="30"/>
  <c r="AJ45" i="30"/>
  <c r="AJ46" i="30"/>
  <c r="AH44" i="30"/>
  <c r="AK44" i="30"/>
  <c r="AJ44" i="30"/>
  <c r="AJ43" i="30"/>
  <c r="AJ42" i="30"/>
  <c r="AH46" i="30"/>
  <c r="AK46" i="30"/>
  <c r="AO158" i="30"/>
  <c r="AG40" i="30"/>
  <c r="AH42" i="30"/>
  <c r="AG194" i="30"/>
  <c r="AG314" i="30" s="1"/>
  <c r="B5" i="46" s="1"/>
  <c r="B8" i="46" s="1"/>
  <c r="AH194" i="30"/>
  <c r="AH314" i="30" s="1"/>
  <c r="C5" i="46" s="1"/>
  <c r="AI194" i="30"/>
  <c r="AI314" i="30" s="1"/>
  <c r="G5" i="46" s="1"/>
  <c r="G8" i="46" s="1"/>
  <c r="G9" i="46" s="1"/>
  <c r="AJ195" i="30"/>
  <c r="AJ194" i="30" s="1"/>
  <c r="AJ314" i="30" s="1"/>
  <c r="E5" i="46" s="1"/>
  <c r="AI40" i="30"/>
  <c r="AH41" i="30"/>
  <c r="AH40" i="30" s="1"/>
  <c r="AG152" i="30"/>
  <c r="AJ41" i="30"/>
  <c r="AJ40" i="30" s="1"/>
  <c r="AJ152" i="30" s="1"/>
  <c r="AH152" i="30" l="1"/>
  <c r="C6" i="44" s="1"/>
  <c r="AN40" i="30"/>
  <c r="AK40" i="30"/>
  <c r="AI152" i="30"/>
  <c r="C8" i="46"/>
  <c r="C9" i="46" s="1"/>
  <c r="D5" i="46"/>
  <c r="D8" i="46" s="1"/>
  <c r="D9" i="46" s="1"/>
  <c r="E8" i="46"/>
  <c r="E9" i="46" s="1"/>
  <c r="F5" i="46"/>
  <c r="F8" i="46" s="1"/>
  <c r="F9" i="46" s="1"/>
  <c r="J61" i="44"/>
  <c r="J56" i="44" s="1"/>
  <c r="AI317" i="30"/>
  <c r="E6" i="44"/>
  <c r="D6" i="44"/>
  <c r="D9" i="44" s="1"/>
  <c r="C9" i="44"/>
  <c r="E9" i="44"/>
  <c r="F6" i="44"/>
  <c r="F9" i="44" s="1"/>
  <c r="I61" i="44" l="1"/>
  <c r="I56" i="44" s="1"/>
  <c r="G6" i="44"/>
  <c r="G9" i="44" s="1"/>
  <c r="AJ317" i="30"/>
  <c r="Q64" i="30" l="1"/>
  <c r="I75" i="50" s="1"/>
  <c r="G15" i="50" l="1" a="1"/>
  <c r="G26" i="50" a="1"/>
  <c r="G29" i="50" a="1"/>
  <c r="G18" i="50" a="1"/>
  <c r="G21" i="50" a="1"/>
  <c r="G20" i="50" a="1"/>
  <c r="G23" i="50" a="1"/>
  <c r="G19" i="50" a="1"/>
  <c r="G13" i="50" a="1"/>
  <c r="G28" i="50" a="1"/>
  <c r="G27" i="50" a="1"/>
  <c r="G17" i="50" a="1"/>
  <c r="G24" i="50" a="1"/>
  <c r="G22" i="50" a="1"/>
  <c r="G16" i="50" a="1"/>
  <c r="G25" i="50" a="1"/>
  <c r="G14" i="50" a="1"/>
  <c r="G5" i="50" a="1"/>
  <c r="K5" i="50" a="1"/>
  <c r="G6" i="50" a="1"/>
  <c r="K6" i="50" a="1"/>
  <c r="G7" i="50" a="1"/>
  <c r="K7" i="50" a="1"/>
  <c r="G8" i="50" a="1"/>
  <c r="K8" i="50" a="1"/>
  <c r="G9" i="50" a="1"/>
  <c r="K9" i="50" a="1"/>
  <c r="G10" i="50" a="1"/>
  <c r="K10" i="50" a="1"/>
  <c r="G11" i="50" a="1"/>
  <c r="K11" i="50" a="1"/>
  <c r="G12" i="50" a="1"/>
  <c r="K12" i="50" a="1"/>
  <c r="K19" i="50"/>
  <c r="K75" i="50"/>
  <c r="AC64" i="30"/>
  <c r="AC61" i="30" s="1"/>
  <c r="AI64" i="30"/>
  <c r="H17" i="50" l="1" a="1"/>
  <c r="H7" i="50" a="1"/>
  <c r="M12" i="50" a="1"/>
  <c r="H12" i="50" a="1"/>
  <c r="M11" i="50" a="1"/>
  <c r="H11" i="50" a="1"/>
  <c r="M10" i="50" a="1"/>
  <c r="H10" i="50" a="1"/>
  <c r="M9" i="50" a="1"/>
  <c r="H9" i="50" a="1"/>
  <c r="M8" i="50" a="1"/>
  <c r="H8" i="50" a="1"/>
  <c r="M7" i="50" a="1"/>
  <c r="M6" i="50" a="1"/>
  <c r="H6" i="50" a="1"/>
  <c r="M5" i="50" a="1"/>
  <c r="H5" i="50" a="1"/>
  <c r="H13" i="50" a="1"/>
  <c r="H14" i="50" a="1"/>
  <c r="H15" i="50" a="1"/>
  <c r="H16" i="50" a="1"/>
  <c r="H18" i="50" a="1"/>
  <c r="H19" i="50" a="1"/>
  <c r="H20" i="50" a="1"/>
  <c r="H21" i="50" a="1"/>
  <c r="H22" i="50" a="1"/>
  <c r="H23" i="50" a="1"/>
  <c r="H24" i="50" a="1"/>
  <c r="H25" i="50" a="1"/>
  <c r="H26" i="50" a="1"/>
  <c r="H27" i="50" a="1"/>
  <c r="H28" i="50" a="1"/>
  <c r="H29" i="50" a="1"/>
  <c r="L75" i="50"/>
  <c r="M19" i="50"/>
  <c r="L73" i="50"/>
  <c r="L74" i="50"/>
  <c r="AL64" i="30"/>
  <c r="AN6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tc={88F6927E-3828-4B67-B577-BD4065FDBA85}</author>
    <author>tc={D85D1152-C0C5-40B2-8516-E780D3266040}</author>
    <author>tc={A994C225-52CA-4EEA-B900-FAF2B8CA6919}</author>
    <author>tc={5A30166F-AB4C-4BE8-8395-D1BF37501BF1}</author>
    <author>Lucie Catalina Cherpin</author>
    <author>tc={CF748F16-0139-4DAA-887F-4C8F49002A2D}</author>
    <author>tc={A84D589A-8D0A-4600-B1B1-15A10B2F7405}</author>
    <author>tc={75229F7E-1489-4D5B-82F6-36F0C34A32C6}</author>
    <author>tc={C92C6ED4-B7A1-4C70-82B3-E254EBB7C23E}</author>
    <author>tc={B640B7E4-5DC1-4BEE-A89B-395D4A9E12F0}</author>
    <author>tc={7C44D311-A999-488E-B278-8657F4C4F9A5}</author>
    <author>tc={957D2B9A-AD1C-4BD4-8ABA-79C9B52A1220}</author>
    <author>tc={3A96A6CA-FCEA-432B-B5DD-CF552460B133}</author>
  </authors>
  <commentList>
    <comment ref="H10" authorId="0" shapeId="0" xr:uid="{88F6927E-3828-4B67-B577-BD4065FDBA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10" authorId="1" shapeId="0" xr:uid="{D85D1152-C0C5-40B2-8516-E780D32660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H15" authorId="2" shapeId="0" xr:uid="{A994C225-52CA-4EEA-B900-FAF2B8CA691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15" authorId="3" shapeId="0" xr:uid="{5A30166F-AB4C-4BE8-8395-D1BF37501BF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H30" authorId="4" shapeId="0" xr:uid="{6F9FC851-CE91-4DA7-842F-37F888A6916F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MJ/MJ(crops)*MJ/MJ(raw gas)</t>
        </r>
      </text>
    </comment>
    <comment ref="H48" authorId="5" shapeId="0" xr:uid="{CF748F16-0139-4DAA-887F-4C8F49002A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48" authorId="6" shapeId="0" xr:uid="{A84D589A-8D0A-4600-B1B1-15A10B2F74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H61" authorId="7" shapeId="0" xr:uid="{75229F7E-1489-4D5B-82F6-36F0C34A32C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61" authorId="8" shapeId="0" xr:uid="{C92C6ED4-B7A1-4C70-82B3-E254EBB7C2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H73" authorId="9" shapeId="0" xr:uid="{B640B7E4-5DC1-4BEE-A89B-395D4A9E12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73" authorId="10" shapeId="0" xr:uid="{7C44D311-A999-488E-B278-8657F4C4F9A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H84" authorId="11" shapeId="0" xr:uid="{957D2B9A-AD1C-4BD4-8ABA-79C9B52A122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Source. Mail von Bert van de Beld, look up on „Projektwebseite von Fit4Micro“!</t>
      </text>
    </comment>
    <comment ref="I84" authorId="12" shapeId="0" xr:uid="{3A96A6CA-FCEA-432B-B5DD-CF552460B13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https://doi.org/10.1016/j.fuel.2026.138622 
(Email Doris 11.06.)</t>
      </text>
    </comment>
    <comment ref="J125" authorId="4" shapeId="0" xr:uid="{B168C281-24CE-42CF-8E19-CB930DDCBCC5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laut Quelle: 10.1016/j.applthermaleng.2026.131016</t>
        </r>
      </text>
    </comment>
    <comment ref="J134" authorId="4" shapeId="0" xr:uid="{82C6C3BF-489F-40EC-8552-77A67B7414AF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laut Quelle: 10.1016/j.applthermaleng.2026.131016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 Matschegg</author>
    <author>tc={FD6607B3-0B99-4E17-8D13-B4BD342C583F}</author>
    <author>tc={DA9DA71E-F6CE-4C48-992B-7FA70C2A8F34}</author>
    <author>tc={18D4729B-72E7-47B0-96D1-61EDD03C5FB0}</author>
    <author>tc={FD846F97-36E4-4654-A401-33A34B2DFB40}</author>
    <author>Lucie Catalina Cherpin</author>
    <author>Dina Bacovsky</author>
    <author>tc={8A55E81F-C6D0-44F9-B06C-0585A1DCADBE}</author>
    <author>tc={1C9A133F-06BF-4BB3-8840-1885010B6DC7}</author>
    <author>tc={F09434A1-079F-45D1-B89E-E2B906F0FBBD}</author>
    <author>tc={7E4C8435-732D-4650-881B-FD93848702E5}</author>
    <author>tc={3AED4D3F-208E-4004-A915-F5419DC56295}</author>
    <author>tc={876C7F08-4DCC-4999-9B30-AF7B2196AECE}</author>
  </authors>
  <commentList>
    <comment ref="BB7" authorId="0" shapeId="0" xr:uid="{AFF1B4CF-8F22-4FC2-AC3B-B7BEE27DACB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K8" authorId="1" shapeId="0" xr:uid="{FD6607B3-0B99-4E17-8D13-B4BD342C583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 not include!</t>
      </text>
    </comment>
    <comment ref="K9" authorId="2" shapeId="0" xr:uid="{DA9DA71E-F6CE-4C48-992B-7FA70C2A8F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 not include!</t>
      </text>
    </comment>
    <comment ref="AE10" authorId="3" shapeId="0" xr:uid="{18D4729B-72E7-47B0-96D1-61EDD03C5F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Since I am also dividing by 2 in the conversion factor (see other sheet)</t>
      </text>
    </comment>
    <comment ref="K11" authorId="4" shapeId="0" xr:uid="{FD846F97-36E4-4654-A401-33A34B2DFB4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Do NOT include</t>
      </text>
    </comment>
    <comment ref="AE11" authorId="5" shapeId="0" xr:uid="{2018E40A-25EB-448C-B306-D9EFA6082719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erste Aufteilung für 2030 zwischen HVO und HEFA: je 50/50 der avilabailbilities für VC 2</t>
        </r>
      </text>
    </comment>
    <comment ref="BB11" authorId="0" shapeId="0" xr:uid="{F556DD4E-9FA0-4562-BDC1-15BDF9EEF397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BB16" authorId="0" shapeId="0" xr:uid="{65E32AEA-4107-4D08-B857-ED5CEC5B020D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T17" authorId="6" shapeId="0" xr:uid="{4471F23B-205F-4558-ACBA-0EE574255046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limited by Kraft pulp availability</t>
        </r>
      </text>
    </comment>
    <comment ref="BC19" authorId="0" shapeId="0" xr:uid="{71AC557B-E834-44C1-957B-2C9FF7C19FDF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Not applicable since ethanol cannot be used in aviation directly</t>
        </r>
      </text>
    </comment>
    <comment ref="AE21" authorId="7" shapeId="0" xr:uid="{8A55E81F-C6D0-44F9-B06C-0585A1DCAD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Not shared with FAME anymore --&gt; change in essential value chains sheet</t>
      </text>
    </comment>
    <comment ref="BC31" authorId="0" shapeId="0" xr:uid="{184C47B5-10E6-4F78-901A-8459F4CEAEF9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Not applicable since ethanol cannot be used in aviation directly</t>
        </r>
      </text>
    </comment>
    <comment ref="N36" authorId="6" shapeId="0" xr:uid="{72DA63C7-D132-4162-AF71-EA1347614B3A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advanced ethanol and methanol production as calculated in tender 1 task 3</t>
        </r>
      </text>
    </comment>
    <comment ref="BB40" authorId="0" shapeId="0" xr:uid="{341EEFD6-B5BF-4FE0-9E8A-958E7E895E3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Credits for avoided emissions from manure</t>
        </r>
      </text>
    </comment>
    <comment ref="K49" authorId="8" shapeId="0" xr:uid="{1C9A133F-06BF-4BB3-8840-1885010B6DC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Nebenprodukt von FAME</t>
      </text>
    </comment>
    <comment ref="AA50" authorId="5" shapeId="0" xr:uid="{01096B23-41A2-446B-8E68-AB936284D0B1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not sure (there is another very similar one) </t>
        </r>
      </text>
    </comment>
    <comment ref="L52" authorId="5" shapeId="0" xr:uid="{01849F09-67DD-4B1F-9113-E60BFC87CCF8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was ist mit 4205 hier? Sonst nirgendwo zu finden</t>
        </r>
      </text>
    </comment>
    <comment ref="C80" authorId="9" shapeId="0" xr:uid="{F09434A1-079F-45D1-B89E-E2B906F0FBB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Produkt wie 9a., aber elektrisch produziert</t>
      </text>
    </comment>
    <comment ref="AA81" authorId="10" shapeId="0" xr:uid="{7E4C8435-732D-4650-881B-FD93848702E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Taken from „Dataset Task 1 Final revision“, sheet „product yields“</t>
      </text>
    </comment>
    <comment ref="N116" authorId="11" shapeId="0" xr:uid="{3AED4D3F-208E-4004-A915-F5419DC562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 150000 coresponds to 0,15 Mtoe surplus of biomethane from IVC 9a in Scenario 1  // the 3,333 is the twisted conversion factor from biomethane to syngas (0,3 toe biomethane/ t syngas)</t>
      </text>
    </comment>
    <comment ref="BC119" authorId="0" shapeId="0" xr:uid="{93AEBB27-8914-4A2A-9508-3D8A004C00BF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Average value from gasoline and diesel</t>
        </r>
      </text>
    </comment>
    <comment ref="BC140" authorId="0" shapeId="0" xr:uid="{DE27463B-DD06-4D6E-AD58-B8932365DE0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Also in maritime the fuel would replace diesel</t>
        </r>
      </text>
    </comment>
    <comment ref="AE169" authorId="5" shapeId="0" xr:uid="{A22D3E1A-1630-44CD-ADE1-405504E6E41A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erste Aufteilung für 2030 zwischen HVO und HEFA: je 50/50 der avilabailbilities für VC 2</t>
        </r>
      </text>
    </comment>
    <comment ref="N192" authorId="6" shapeId="0" xr:uid="{81F547A7-61A9-4289-98B0-9694251EFD36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advanced ethanol and methanol production as calculated in tender 1 task 3</t>
        </r>
      </text>
    </comment>
    <comment ref="F269" authorId="5" shapeId="0" xr:uid="{4A43A3A8-BD12-4580-B989-92650D3DFB7F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two different target sectors, check which one (or both?)</t>
        </r>
      </text>
    </comment>
    <comment ref="AA270" authorId="12" shapeId="0" xr:uid="{876C7F08-4DCC-4999-9B30-AF7B2196AEC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Taken from „Dataset Task 1 Final revision“, sheet „product yields“</t>
      </text>
    </comment>
    <comment ref="AA283" authorId="5" shapeId="0" xr:uid="{43E0BA07-453E-4D45-9F8F-B72BD690A64A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taken from Excel: "Data Set task 1 Final revision" Shheet: "product yields"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tc={E2DACA82-539A-4FBB-9B98-A94E3A1BC8D6}</author>
    <author>tc={3B0D5F1A-2205-4FF6-BE5F-E68C8AA7F28E}</author>
    <author>tc={E6BD1566-63DB-4105-B0FA-89B9F036A44F}</author>
    <author>tc={D1C64E84-91BB-420F-B641-E79B95788A1A}</author>
    <author>tc={0A712C46-4D2B-49CD-BCC2-B9DD1428E373}</author>
    <author>tc={4A1952E0-EC8A-435B-AEBA-0E5A55C1B5A3}</author>
    <author>tc={A8AB1B6C-9F27-4CEF-B667-630C16446628}</author>
    <author>tc={94393203-55B8-4CEF-9DD8-B7A5510F7C43}</author>
    <author>tc={42AAFB8D-9E4B-421C-BD81-13B8CFC418A1}</author>
    <author>tc={697B8F49-5DFB-47A2-BF5B-643E3CA493DD}</author>
    <author>tc={2D5F5AF0-51FE-455D-8386-B0FAC8CEF42B}</author>
  </authors>
  <commentList>
    <comment ref="H9" authorId="0" shapeId="0" xr:uid="{E2DACA82-539A-4FBB-9B98-A94E3A1BC8D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Aus Annex 1 Study 1, p. 37 </t>
      </text>
    </comment>
    <comment ref="A12" authorId="1" shapeId="0" xr:uid="{3B0D5F1A-2205-4FF6-BE5F-E68C8AA7F28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Study 2</t>
      </text>
    </comment>
    <comment ref="B22" authorId="2" shapeId="0" xr:uid="{E6BD1566-63DB-4105-B0FA-89B9F036A44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What kind, Annex 9 Part A or B ? </t>
      </text>
    </comment>
    <comment ref="A27" authorId="3" shapeId="0" xr:uid="{D1C64E84-91BB-420F-B641-E79B95788A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 Annex 5 Study 1 - p. 59</t>
      </text>
    </comment>
    <comment ref="B32" authorId="4" shapeId="0" xr:uid="{0A712C46-4D2B-49CD-BCC2-B9DD1428E37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Annex 5 Study 1, p. 31</t>
      </text>
    </comment>
    <comment ref="B40" authorId="5" shapeId="0" xr:uid="{4A1952E0-EC8A-435B-AEBA-0E5A55C1B5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Annex 5 Study 1, p. 31</t>
      </text>
    </comment>
    <comment ref="B45" authorId="6" shapeId="0" xr:uid="{A8AB1B6C-9F27-4CEF-B667-630C164466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Annex 5 Study 1, p. 31</t>
      </text>
    </comment>
    <comment ref="B46" authorId="7" shapeId="0" xr:uid="{94393203-55B8-4CEF-9DD8-B7A5510F7C4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Annex 5 Study 1, p. 31</t>
      </text>
    </comment>
    <comment ref="B55" authorId="8" shapeId="0" xr:uid="{42AAFB8D-9E4B-421C-BD81-13B8CFC418A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Spplit by 2 because shared with gasoline</t>
      </text>
    </comment>
    <comment ref="J61" authorId="9" shapeId="0" xr:uid="{697B8F49-5DFB-47A2-BF5B-643E3CA493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Study 1, Annex 3, p. 33</t>
      </text>
    </comment>
    <comment ref="A76" authorId="10" shapeId="0" xr:uid="{2D5F5AF0-51FE-455D-8386-B0FAC8CEF42B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Decision making matrix excel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Catalina Cherpin</author>
  </authors>
  <commentList>
    <comment ref="A21" authorId="0" shapeId="0" xr:uid="{1467609C-4CBE-4F0B-BE77-75A66561EA61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inklsuive Biomethan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tc={A7D5C30F-7B3E-4341-A512-90FBAB53E65A}</author>
    <author>tc={A09A4750-36A7-4AC5-BA10-F0D006B585EC}</author>
    <author>tc={048B37D3-C932-48C1-8B4F-F67901B339F7}</author>
    <author>tc={53875A4C-B42A-473F-86E0-683A425DB238}</author>
  </authors>
  <commentList>
    <comment ref="A15" authorId="0" shapeId="0" xr:uid="{A7D5C30F-7B3E-4341-A512-90FBAB53E6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EEA Bericht Mail Doris</t>
      </text>
    </comment>
    <comment ref="A30" authorId="1" shapeId="0" xr:uid="{A09A4750-36A7-4AC5-BA10-F0D006B585E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Quelle: Annex 1 Study 1, page 37
</t>
      </text>
    </comment>
    <comment ref="I42" authorId="2" shapeId="0" xr:uid="{048B37D3-C932-48C1-8B4F-F67901B339F7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Von Annex 1, Studie 1, p. 37
</t>
      </text>
    </comment>
    <comment ref="L54" authorId="3" shapeId="0" xr:uid="{53875A4C-B42A-473F-86E0-683A425DB23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Source: EU Reference Scenario  p. 79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Catalina Cherpin</author>
  </authors>
  <commentList>
    <comment ref="A32" authorId="0" shapeId="0" xr:uid="{707D779E-9C8C-4B6D-8B63-C8076C6078D2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bisher nur 26 Länder!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Lucie Catalina Cherpin</author>
  </authors>
  <commentList>
    <comment ref="A43" authorId="0" shapeId="0" xr:uid="{0FC400EC-395E-498C-8403-12ACB0AA556B}">
      <text>
        <r>
          <rPr>
            <b/>
            <sz val="9"/>
            <color indexed="81"/>
            <rFont val="Segoe UI"/>
            <family val="2"/>
          </rPr>
          <t>Lucie Catalina Cherpin:</t>
        </r>
        <r>
          <rPr>
            <sz val="9"/>
            <color indexed="81"/>
            <rFont val="Segoe UI"/>
            <family val="2"/>
          </rPr>
          <t xml:space="preserve">
bisher nur 26 Länder!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 Matschegg</author>
    <author>Dina Bacovsky</author>
  </authors>
  <commentList>
    <comment ref="AG5" authorId="0" shapeId="0" xr:uid="{2CC3DE96-0603-4E0E-8461-34B35C6F8FF5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AG6" authorId="0" shapeId="0" xr:uid="{091CBEFB-C273-40AD-9E92-1137052A8CD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AG7" authorId="0" shapeId="0" xr:uid="{85004AC9-7991-455D-B6C9-5DC41DA45159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UCO</t>
        </r>
      </text>
    </comment>
    <comment ref="L8" authorId="1" shapeId="0" xr:uid="{897F698C-3FC4-48AD-A239-DFD0D8CB1CB4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limited by Kraft pulp availability</t>
        </r>
      </text>
    </comment>
    <comment ref="AH10" authorId="0" shapeId="0" xr:uid="{1593F039-1B59-4FEA-8784-1376FB954E84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Not applicable since ethanol cannot be used in aviation directly</t>
        </r>
      </text>
    </comment>
    <comment ref="AH12" authorId="0" shapeId="0" xr:uid="{E360BBE3-B0BA-4829-92FC-97BEBBF71A34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Not applicable since ethanol cannot be used in aviation directly</t>
        </r>
      </text>
    </comment>
    <comment ref="H13" authorId="1" shapeId="0" xr:uid="{6492F92F-E0A1-418B-86E8-B53A6D395D57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advanced ethanol and methanol production as calculated in tender 1 task 3</t>
        </r>
      </text>
    </comment>
    <comment ref="AG14" authorId="0" shapeId="0" xr:uid="{CE57F5E9-AE72-4936-ACED-588BC9A63683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Credits for avoided emissions from manure</t>
        </r>
      </text>
    </comment>
    <comment ref="AG15" authorId="0" shapeId="0" xr:uid="{FCD0AD48-21CF-4225-8817-5230BDE6FFC9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Credits for avoided emissions from manure</t>
        </r>
      </text>
    </comment>
    <comment ref="H17" authorId="1" shapeId="0" xr:uid="{FDFE0403-BE00-461A-839C-A4CC4348412F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biomethane production as calculated in tender 1 task 3</t>
        </r>
      </text>
    </comment>
    <comment ref="AG17" authorId="0" shapeId="0" xr:uid="{0F72D1E9-821F-4C2F-9BB9-CA64E8E870D4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Using biomethane from manure, methanolysis (from NG) - JEC WTT report</t>
        </r>
      </text>
    </comment>
    <comment ref="H18" authorId="1" shapeId="0" xr:uid="{72B4B727-A5F3-4727-88CA-162F2B309A89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19" authorId="0" shapeId="0" xr:uid="{2C01BB62-543C-4160-91D3-008E35414EFF}">
      <text>
        <r>
          <rPr>
            <b/>
            <sz val="9"/>
            <color indexed="81"/>
            <rFont val="Segoe UI"/>
            <family val="2"/>
          </rPr>
          <t>Dina:</t>
        </r>
        <r>
          <rPr>
            <sz val="9"/>
            <color indexed="81"/>
            <rFont val="Segoe UI"/>
            <family val="2"/>
          </rPr>
          <t xml:space="preserve">
Pulp production 2023 
https://www.cepi.org/wp-content/uploads/2024/09/Key-Statistics-2023-FINAL-2.pdf </t>
        </r>
      </text>
    </comment>
    <comment ref="L19" authorId="0" shapeId="0" xr:uid="{A523D320-6F29-47E6-9854-AEB968DF56B6}">
      <text>
        <r>
          <rPr>
            <b/>
            <sz val="9"/>
            <color indexed="81"/>
            <rFont val="Segoe UI"/>
            <family val="2"/>
          </rPr>
          <t>Dina:</t>
        </r>
        <r>
          <rPr>
            <sz val="9"/>
            <color indexed="81"/>
            <rFont val="Segoe UI"/>
            <family val="2"/>
          </rPr>
          <t xml:space="preserve">
Pulp production 2023 
https://www.cepi.org/wp-content/uploads/2024/09/Key-Statistics-2023-FINAL-2.pdf </t>
        </r>
      </text>
    </comment>
    <comment ref="O19" authorId="0" shapeId="0" xr:uid="{DF5BDEEC-37C8-42AC-9B0E-52F45B2B84EB}">
      <text>
        <r>
          <rPr>
            <b/>
            <sz val="9"/>
            <color indexed="81"/>
            <rFont val="Segoe UI"/>
            <family val="2"/>
          </rPr>
          <t>Dina:</t>
        </r>
        <r>
          <rPr>
            <sz val="9"/>
            <color indexed="81"/>
            <rFont val="Segoe UI"/>
            <family val="2"/>
          </rPr>
          <t xml:space="preserve">
Pulp production 2023 
https://www.cepi.org/wp-content/uploads/2024/09/Key-Statistics-2023-FINAL-2.pdf </t>
        </r>
      </text>
    </comment>
    <comment ref="AG19" authorId="0" shapeId="0" xr:uid="{F6E3BBCB-0F0B-4DB0-827C-093D3AED19C9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https://www.sodra.com/en/global/Bioproducts/biomethanol/</t>
        </r>
      </text>
    </comment>
    <comment ref="H22" authorId="1" shapeId="0" xr:uid="{255B3B08-73C5-47CC-80BD-2033A30A05B7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23" authorId="1" shapeId="0" xr:uid="{11DFBC4D-AD12-4351-A1E0-BC3B0AD92669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27" authorId="1" shapeId="0" xr:uid="{D3D20C90-89C0-4F1D-BFB0-0BF9B532E376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28" authorId="1" shapeId="0" xr:uid="{5D1C1E36-32AA-4850-A0A4-E66A50A7C996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29" authorId="1" shapeId="0" xr:uid="{318A0337-790D-4D9D-AF81-2DFE3045A150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H30" authorId="1" shapeId="0" xr:uid="{F1884FEA-299C-4271-B449-42529244092E}">
      <text>
        <r>
          <rPr>
            <b/>
            <sz val="9"/>
            <color indexed="81"/>
            <rFont val="Segoe UI"/>
            <family val="2"/>
          </rPr>
          <t>Dina Bacovsky:</t>
        </r>
        <r>
          <rPr>
            <sz val="9"/>
            <color indexed="81"/>
            <rFont val="Segoe UI"/>
            <family val="2"/>
          </rPr>
          <t xml:space="preserve">
this is CO2 available from biomethane production + from total ethanol production</t>
        </r>
      </text>
    </comment>
    <comment ref="AH31" authorId="0" shapeId="0" xr:uid="{15798CCC-A149-4828-AEA2-DAFCEE338F3E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Average value from gasoline and diesel</t>
        </r>
      </text>
    </comment>
    <comment ref="AH33" authorId="0" shapeId="0" xr:uid="{48059D3C-FD53-4824-B89D-A640114E00D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Average value from gasoline and diesel</t>
        </r>
      </text>
    </comment>
    <comment ref="AH37" authorId="0" shapeId="0" xr:uid="{5EEDFF87-0C1B-40CC-936D-D2903E57E55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Also in maritime the fuel would replace diesel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 Matschegg</author>
  </authors>
  <commentList>
    <comment ref="C5" authorId="0" shapeId="0" xr:uid="{3E64A5B9-E08A-42C7-A635-AE9F27273EA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From pulp to fuel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Monika Enigl</author>
  </authors>
  <commentList>
    <comment ref="E6" authorId="0" shapeId="0" xr:uid="{6D873647-0EA3-45C5-88DF-837E592F8D40}">
      <text>
        <r>
          <rPr>
            <b/>
            <sz val="9"/>
            <color indexed="81"/>
            <rFont val="Segoe UI"/>
            <family val="2"/>
          </rPr>
          <t>Monika Enigl:</t>
        </r>
        <r>
          <rPr>
            <sz val="9"/>
            <color indexed="81"/>
            <rFont val="Segoe UI"/>
            <family val="2"/>
          </rPr>
          <t xml:space="preserve">
# found in text</t>
        </r>
      </text>
    </comment>
    <comment ref="E7" authorId="0" shapeId="0" xr:uid="{6D480ADB-F373-46F4-84AC-8AC19D839927}">
      <text>
        <r>
          <rPr>
            <b/>
            <sz val="9"/>
            <color indexed="81"/>
            <rFont val="Segoe UI"/>
            <family val="2"/>
          </rPr>
          <t>Monika Enigl:</t>
        </r>
        <r>
          <rPr>
            <sz val="9"/>
            <color indexed="81"/>
            <rFont val="Segoe UI"/>
            <family val="2"/>
          </rPr>
          <t xml:space="preserve">
# found in text</t>
        </r>
      </text>
    </comment>
    <comment ref="C16" authorId="0" shapeId="0" xr:uid="{52ECED7D-FB0E-4929-8C39-D153153692FF}">
      <text>
        <r>
          <rPr>
            <b/>
            <sz val="9"/>
            <color indexed="81"/>
            <rFont val="Segoe UI"/>
            <family val="2"/>
          </rPr>
          <t>Monika Enigl:</t>
        </r>
        <r>
          <rPr>
            <sz val="9"/>
            <color indexed="81"/>
            <rFont val="Segoe UI"/>
            <family val="2"/>
          </rPr>
          <t xml:space="preserve">
# found in text</t>
        </r>
      </text>
    </comment>
    <comment ref="E16" authorId="0" shapeId="0" xr:uid="{2D8F2674-5FBD-4039-BD63-E2066DF0A404}">
      <text>
        <r>
          <rPr>
            <b/>
            <sz val="9"/>
            <color indexed="81"/>
            <rFont val="Segoe UI"/>
            <family val="2"/>
          </rPr>
          <t>Monika Enigl:</t>
        </r>
        <r>
          <rPr>
            <sz val="9"/>
            <color indexed="81"/>
            <rFont val="Segoe UI"/>
            <family val="2"/>
          </rPr>
          <t xml:space="preserve">
# found in text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Doris Matschegg</author>
  </authors>
  <commentList>
    <comment ref="E7" authorId="0" shapeId="0" xr:uid="{B922C1B0-43F8-4FE9-A552-D10D9F8E476F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Corn Maize - not advanced</t>
        </r>
      </text>
    </comment>
    <comment ref="E8" authorId="0" shapeId="0" xr:uid="{3FD3B804-A0F7-409F-AC54-58E1B2129844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WTET4a/b for cover crops (GHG reduction 65%)</t>
        </r>
      </text>
    </comment>
    <comment ref="H9" authorId="0" shapeId="0" xr:uid="{9AAFB3D7-9438-4B21-85F0-B48625B942D8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Tender 1</t>
        </r>
      </text>
    </comment>
    <comment ref="E10" authorId="0" shapeId="0" xr:uid="{07BD3D50-FF6E-499E-95A8-7E75D9E17BE4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OWCG5 for double cropping (21,2 gCO2/MJ)</t>
        </r>
      </text>
    </comment>
    <comment ref="H22" authorId="0" shapeId="0" xr:uid="{87F2A1CA-AC52-4B35-955A-EAD54AC6A249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MJ ethanol/kg CO2</t>
        </r>
      </text>
    </comment>
    <comment ref="E23" authorId="0" shapeId="0" xr:uid="{54D5F75B-A9CA-4ABA-A87A-55A804F5CD2D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Waste wood to pyrolysis-based fuel</t>
        </r>
      </text>
    </comment>
    <comment ref="H23" authorId="0" shapeId="0" xr:uid="{990F4AC9-545F-46C3-813A-F9B14FE7417C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Wood to gasoline and diesel</t>
        </r>
      </text>
    </comment>
    <comment ref="E24" authorId="0" shapeId="0" xr:uid="{A98BD18A-195C-4033-BE84-30EE7EC5151E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Waste wood to pyrolysis-based fuel</t>
        </r>
      </text>
    </comment>
    <comment ref="H24" authorId="0" shapeId="0" xr:uid="{E17009DB-FA88-463F-83A6-8491AF453A91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Wood to gasoline and diesel</t>
        </r>
      </text>
    </comment>
    <comment ref="E25" authorId="0" shapeId="0" xr:uid="{97CB38EC-17DC-4DBB-8162-7DA145235F2E}">
      <text>
        <r>
          <rPr>
            <b/>
            <sz val="9"/>
            <color indexed="81"/>
            <rFont val="Segoe UI"/>
            <family val="2"/>
          </rPr>
          <t>Doris Matschegg:</t>
        </r>
        <r>
          <rPr>
            <sz val="9"/>
            <color indexed="81"/>
            <rFont val="Segoe UI"/>
            <family val="2"/>
          </rPr>
          <t xml:space="preserve">
Wood to diesel via HTL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<sst xmlns="http://schemas.openxmlformats.org/spreadsheetml/2006/main" count="6577" uniqueCount="1659">
  <si>
    <t xml:space="preserve">Nr. </t>
  </si>
  <si>
    <t>Value Chain</t>
  </si>
  <si>
    <t>Transesterification</t>
  </si>
  <si>
    <t>Hydrotreatment of Lipids</t>
  </si>
  <si>
    <t xml:space="preserve">Lignin Boost of Fatty Acids and Co-processing in Refinery </t>
  </si>
  <si>
    <t>Sugar and Starch Fermentation to Ethanol</t>
  </si>
  <si>
    <t>Fermentation of Lignocellulosic Materials to Ethanol</t>
  </si>
  <si>
    <t>ATJ / MTJ</t>
  </si>
  <si>
    <t>Biomethane from Anaerobic Digestion</t>
  </si>
  <si>
    <t>8a</t>
  </si>
  <si>
    <t>Gasification and Methanolysis</t>
  </si>
  <si>
    <t>8b</t>
  </si>
  <si>
    <t>Methane reforming and Methanolysis</t>
  </si>
  <si>
    <t>8c</t>
  </si>
  <si>
    <t>Methanolysis from CO2 and H2</t>
  </si>
  <si>
    <t>8d</t>
  </si>
  <si>
    <t>Methanol from pulping</t>
  </si>
  <si>
    <t>9a</t>
  </si>
  <si>
    <t>Gasification and Methanation</t>
  </si>
  <si>
    <t>9b</t>
  </si>
  <si>
    <t>Methanation from CO2 and H2</t>
  </si>
  <si>
    <t>Gasification to Hydrogen</t>
  </si>
  <si>
    <t>11a</t>
  </si>
  <si>
    <t>Gasification and FT-Synthesis</t>
  </si>
  <si>
    <t>11b</t>
  </si>
  <si>
    <t>FT-Synthesis from CO2 and H2</t>
  </si>
  <si>
    <t>Gas Fermentation to Ethanol</t>
  </si>
  <si>
    <t>13a</t>
  </si>
  <si>
    <t>Pyrolysis and Co-processing in Refinery</t>
  </si>
  <si>
    <t>13b</t>
  </si>
  <si>
    <t>Pyrolysis (and Thermo-Catalytic Reforming) and Upgrading (HDO)</t>
  </si>
  <si>
    <t xml:space="preserve">Hydrothermal Liquefaction and Upgrading in Refinery (FCC or HDO) </t>
  </si>
  <si>
    <t>TRL</t>
  </si>
  <si>
    <t>CRL</t>
  </si>
  <si>
    <t>Demoplants Database</t>
  </si>
  <si>
    <t xml:space="preserve"> 6-7</t>
  </si>
  <si>
    <t>4-5</t>
  </si>
  <si>
    <t xml:space="preserve"> 1-9</t>
  </si>
  <si>
    <t xml:space="preserve"> 1-6</t>
  </si>
  <si>
    <t>Low</t>
  </si>
  <si>
    <t>Medium</t>
  </si>
  <si>
    <t>Sector</t>
  </si>
  <si>
    <t>Fuel</t>
  </si>
  <si>
    <t>FAME</t>
  </si>
  <si>
    <t>HVO</t>
  </si>
  <si>
    <t>HEFA</t>
  </si>
  <si>
    <t>Renewable diesel</t>
  </si>
  <si>
    <t>Ethanol</t>
  </si>
  <si>
    <t>Advanced ethanol</t>
  </si>
  <si>
    <t>ATJ-SPK</t>
  </si>
  <si>
    <t>Biomethane</t>
  </si>
  <si>
    <t>Methanol</t>
  </si>
  <si>
    <t>e-Methanol</t>
  </si>
  <si>
    <t>Methane</t>
  </si>
  <si>
    <t>e-Methane</t>
  </si>
  <si>
    <t>Hydrogen</t>
  </si>
  <si>
    <t>FT-diesel</t>
  </si>
  <si>
    <t>FT-SPK</t>
  </si>
  <si>
    <t>e-FT-diesel</t>
  </si>
  <si>
    <t>e-FT-SPK</t>
  </si>
  <si>
    <t>Gasoline</t>
  </si>
  <si>
    <t>Diesel</t>
  </si>
  <si>
    <t>Road</t>
  </si>
  <si>
    <t>Aviation</t>
  </si>
  <si>
    <t>Maritime</t>
  </si>
  <si>
    <t>2025-2030</t>
  </si>
  <si>
    <t>2030-2040</t>
  </si>
  <si>
    <t>2040-2050</t>
  </si>
  <si>
    <t>Stable</t>
  </si>
  <si>
    <t>Decreasing</t>
  </si>
  <si>
    <t>Increasing</t>
  </si>
  <si>
    <t>Rather low</t>
  </si>
  <si>
    <t>Market demand</t>
  </si>
  <si>
    <t>Yes</t>
  </si>
  <si>
    <t>No</t>
  </si>
  <si>
    <t>Infrastrucuture availability</t>
  </si>
  <si>
    <t>GHG reduction</t>
  </si>
  <si>
    <t>%</t>
  </si>
  <si>
    <t>JEC/Tender 1</t>
  </si>
  <si>
    <t>JEC</t>
  </si>
  <si>
    <t>Low [Mt/y]</t>
  </si>
  <si>
    <t>Medium [Mt/y]</t>
  </si>
  <si>
    <t>High [Mt/y]</t>
  </si>
  <si>
    <t>Feedstock availability and mobilization</t>
  </si>
  <si>
    <t xml:space="preserve"> Tender 1, Task 2</t>
  </si>
  <si>
    <t xml:space="preserve">Potential quantity </t>
  </si>
  <si>
    <t>2030 [Mtoe/y]</t>
  </si>
  <si>
    <t>2040 [Mtoe/y]</t>
  </si>
  <si>
    <t>2050 [Mtoe/y]</t>
  </si>
  <si>
    <t>Fossil comparator</t>
  </si>
  <si>
    <t>Kerosene</t>
  </si>
  <si>
    <t>Natural gas</t>
  </si>
  <si>
    <t>Methanol from NG</t>
  </si>
  <si>
    <t>Hydrogen from NG</t>
  </si>
  <si>
    <t>2030 [%]</t>
  </si>
  <si>
    <t>2040 [%]</t>
  </si>
  <si>
    <t>2050 [%]</t>
  </si>
  <si>
    <t xml:space="preserve">Production capacity </t>
  </si>
  <si>
    <t>Gasoline/Diesel</t>
  </si>
  <si>
    <t>Gasoline+Diesel</t>
  </si>
  <si>
    <t>Bio-kerosene</t>
  </si>
  <si>
    <t>n.a.</t>
  </si>
  <si>
    <t>MFO</t>
  </si>
  <si>
    <t>JEC Report</t>
  </si>
  <si>
    <t>Nr.</t>
  </si>
  <si>
    <t>Value chain</t>
  </si>
  <si>
    <t>Annex</t>
  </si>
  <si>
    <t>Code</t>
  </si>
  <si>
    <t>TRL (JEC)</t>
  </si>
  <si>
    <t>CRL (JEC)</t>
  </si>
  <si>
    <t>Conversion factor (JEC)</t>
  </si>
  <si>
    <t>Product</t>
  </si>
  <si>
    <t>Aggregate state</t>
  </si>
  <si>
    <t>Market demand 2030</t>
  </si>
  <si>
    <t>Market demand 2040</t>
  </si>
  <si>
    <t>Market demand 2050</t>
  </si>
  <si>
    <t>Explanation</t>
  </si>
  <si>
    <t>Infrastructure 2030</t>
  </si>
  <si>
    <t>Infrastructure 2040</t>
  </si>
  <si>
    <t>Infrastructure 2050</t>
  </si>
  <si>
    <t>Biodiesel</t>
  </si>
  <si>
    <t>WOFA</t>
  </si>
  <si>
    <t>Liquid</t>
  </si>
  <si>
    <t>Electrification, phase-out of conventional fuels</t>
  </si>
  <si>
    <t>HVO_WOHY1a</t>
  </si>
  <si>
    <t>Heavy-duty in short term, later phased out</t>
  </si>
  <si>
    <t>Aviation targets</t>
  </si>
  <si>
    <t>Lignin Boost of Fatty Acids</t>
  </si>
  <si>
    <t>Heavy-duty in short term, later faced out</t>
  </si>
  <si>
    <t>CRET2a</t>
  </si>
  <si>
    <t>Road/Aviation</t>
  </si>
  <si>
    <t>STET1</t>
  </si>
  <si>
    <t>Feedstock for ATJ</t>
  </si>
  <si>
    <t>Yes (Road)</t>
  </si>
  <si>
    <t>CBM</t>
  </si>
  <si>
    <t>OWCG21</t>
  </si>
  <si>
    <t>Road/Maritime/Industry</t>
  </si>
  <si>
    <t>Gaseous</t>
  </si>
  <si>
    <t>Industry/Marine targets</t>
  </si>
  <si>
    <t>Synfuels</t>
  </si>
  <si>
    <t>WWME1a</t>
  </si>
  <si>
    <t>Marine targets</t>
  </si>
  <si>
    <t>OWCG21_GPME/DE</t>
  </si>
  <si>
    <t>REME1a</t>
  </si>
  <si>
    <t>s.u.</t>
  </si>
  <si>
    <t>WWCG2</t>
  </si>
  <si>
    <t>CBM_Synfuels</t>
  </si>
  <si>
    <t>RECG1(a)</t>
  </si>
  <si>
    <t>WWLH1</t>
  </si>
  <si>
    <t>(Gasification and) FT-Synthesis</t>
  </si>
  <si>
    <t>WWSD1a</t>
  </si>
  <si>
    <t>RESD2c</t>
  </si>
  <si>
    <t>Road/aviation</t>
  </si>
  <si>
    <t xml:space="preserve">Pyrolysis and Co-processing in Refinery </t>
  </si>
  <si>
    <t>WWPG1/WWPD1</t>
  </si>
  <si>
    <t>FCC Gasoline</t>
  </si>
  <si>
    <t>Road/Aviation (future)</t>
  </si>
  <si>
    <t>Electrification, in future feedstock for ATJ</t>
  </si>
  <si>
    <t>WWSD2a</t>
  </si>
  <si>
    <t>Road/Maritime/Aviation (future)</t>
  </si>
  <si>
    <t>Conversion factors</t>
  </si>
  <si>
    <t>MJ biogas/MJ manure</t>
  </si>
  <si>
    <t>MJ biomethane/MJ biogas</t>
  </si>
  <si>
    <t>MJ biomethane/MJ manure</t>
  </si>
  <si>
    <t>kg CO2/MJ methanol</t>
  </si>
  <si>
    <t>MJ electricity/MJ methanol</t>
  </si>
  <si>
    <t>MJ hydrogen/MJ methanol</t>
  </si>
  <si>
    <t>MJ surplus heat/MJ methanol</t>
  </si>
  <si>
    <t>MJ Methanol/kg CO2</t>
  </si>
  <si>
    <t>MJ Methanol/MJ H2</t>
  </si>
  <si>
    <t>NG to methanol plant (GPME/DE)</t>
  </si>
  <si>
    <t>MJ methanol/MJ manure</t>
  </si>
  <si>
    <t>kg CO2/MJ Methane</t>
  </si>
  <si>
    <t>MJ hydrogen/MJ Methane</t>
  </si>
  <si>
    <t>MJ surplus heat/MJ Methane</t>
  </si>
  <si>
    <t>MJ Methane/kg CO2</t>
  </si>
  <si>
    <t>MJ Methane/MJ H2</t>
  </si>
  <si>
    <t>MJ wood chips/MJ H2</t>
  </si>
  <si>
    <t>MJ H2/MJ wood chips</t>
  </si>
  <si>
    <t>MJ electricity/MJ H2</t>
  </si>
  <si>
    <t>MJ heat/MJ H2</t>
  </si>
  <si>
    <t>MJ electricity/kg CO2</t>
  </si>
  <si>
    <t>MJ heat/kg CO2</t>
  </si>
  <si>
    <t>MJ electricity/kg CO2 purified and stored</t>
  </si>
  <si>
    <t>MJ electricity/MJ H2 compressed</t>
  </si>
  <si>
    <t>MJ H2/MJ FT diesel</t>
  </si>
  <si>
    <t>kg CO2/MJ FT diesel</t>
  </si>
  <si>
    <t>MJ electricity/MJ FT diesel</t>
  </si>
  <si>
    <t>MJ steam surplus/MJ FT diesel</t>
  </si>
  <si>
    <t>MJ Ft diesel/kg CO2</t>
  </si>
  <si>
    <t>MJ FT diesel/MJ H2</t>
  </si>
  <si>
    <t>Tender 1</t>
  </si>
  <si>
    <t>Notes</t>
  </si>
  <si>
    <t>UCO</t>
  </si>
  <si>
    <t>Gasoline + Diesel</t>
  </si>
  <si>
    <t>gCO2/MJ</t>
  </si>
  <si>
    <t>MONI - Report on Task 1 (Tender 1)</t>
  </si>
  <si>
    <t>Calculated from Task 1 for Task 5 (Tender 1) for Task 1.1 (Tender 2)</t>
  </si>
  <si>
    <t>DEMAND for biofuels (Mtoe)</t>
  </si>
  <si>
    <t>RED Scenario</t>
  </si>
  <si>
    <t>RED Scenario - based on Tab Biofuel_prod_capacity</t>
  </si>
  <si>
    <t>RED Scenario - based on Tab FF55_bioenergy_demand</t>
  </si>
  <si>
    <t>RED Scenario - based on Tab FF55_RED</t>
  </si>
  <si>
    <t>Mtoe</t>
  </si>
  <si>
    <t>Bioethanol/Biogasoline</t>
  </si>
  <si>
    <t>Bio</t>
  </si>
  <si>
    <t xml:space="preserve">Aviation </t>
  </si>
  <si>
    <t>1st gen</t>
  </si>
  <si>
    <t>Syn</t>
  </si>
  <si>
    <t>Advanced</t>
  </si>
  <si>
    <t>Sum</t>
  </si>
  <si>
    <t>Diesel (road)</t>
  </si>
  <si>
    <t>Gasoline (road)</t>
  </si>
  <si>
    <t>Methane (road)</t>
  </si>
  <si>
    <t>conventional biofuels</t>
  </si>
  <si>
    <t>cars</t>
  </si>
  <si>
    <t>Annex IX A</t>
  </si>
  <si>
    <t>total 2030 capacity</t>
  </si>
  <si>
    <t>total 2050 capacity</t>
  </si>
  <si>
    <t>trucks</t>
  </si>
  <si>
    <t>Biokerosene</t>
  </si>
  <si>
    <t>Annex IX B (incl. Cap)</t>
  </si>
  <si>
    <t>anaerobic digestion</t>
  </si>
  <si>
    <t>Annex IX B (excl. Cap)</t>
  </si>
  <si>
    <t>electricity (BEVs)</t>
  </si>
  <si>
    <t xml:space="preserve">transesterification </t>
  </si>
  <si>
    <t>RFNBOs (e-fuels)</t>
  </si>
  <si>
    <t>hydrotreatment</t>
  </si>
  <si>
    <t>Demand</t>
  </si>
  <si>
    <t>lignin boost of fatty acids</t>
  </si>
  <si>
    <t>Bio-heavy fuel oil</t>
  </si>
  <si>
    <t>advanced ethanol</t>
  </si>
  <si>
    <t>Annex IX B</t>
  </si>
  <si>
    <t>Biodiesel (non fungible)/FAME</t>
  </si>
  <si>
    <t>ATJ</t>
  </si>
  <si>
    <t>Biodiesel (fungible)/HVO</t>
  </si>
  <si>
    <t>gasification + methanol</t>
  </si>
  <si>
    <t>Bioethanol</t>
  </si>
  <si>
    <t>gasification + SNG</t>
  </si>
  <si>
    <t>Biogasoline</t>
  </si>
  <si>
    <t>Ethanol + Biogasoline</t>
  </si>
  <si>
    <t>gasification + FT</t>
  </si>
  <si>
    <t>pyrolysis</t>
  </si>
  <si>
    <t>Road (ohne 1st gen)</t>
  </si>
  <si>
    <t>Bio-Heavy fuel oil</t>
  </si>
  <si>
    <t>HTL</t>
  </si>
  <si>
    <t>Biogas/biomethane</t>
  </si>
  <si>
    <t>Dina</t>
  </si>
  <si>
    <t>Sollen wir uns beim market demand an diese Werte richten? (ethanol ATJ nicht berücksichtigt)</t>
  </si>
  <si>
    <t>Sum products</t>
  </si>
  <si>
    <t>Market demand product: Problem mit Methanol (bioheavy fuel oil), Hydrogen (Methane) und e-fuels (sub)</t>
  </si>
  <si>
    <t>Sum categories</t>
  </si>
  <si>
    <t>HVO/HEFA</t>
  </si>
  <si>
    <t>FAME adv</t>
  </si>
  <si>
    <t>HVO adv</t>
  </si>
  <si>
    <t>Ethanol + Biogasoline adv</t>
  </si>
  <si>
    <t>e-fuel Aviation</t>
  </si>
  <si>
    <t>Market demand product Mtoe/a</t>
  </si>
  <si>
    <t>Substitution/Market segement</t>
  </si>
  <si>
    <t>Bio-kerosine</t>
  </si>
  <si>
    <t>Feedstock</t>
  </si>
  <si>
    <t>2030 medium</t>
  </si>
  <si>
    <t>2030 high</t>
  </si>
  <si>
    <t>2050 high</t>
  </si>
  <si>
    <t>Oil crops abandoned, degraded, intercropping</t>
  </si>
  <si>
    <t>2102, 2105, 2108</t>
  </si>
  <si>
    <t>UCO, brown grease, animal fat</t>
  </si>
  <si>
    <t>5106, 5107, 4216</t>
  </si>
  <si>
    <t>POME, tall oil pitch (no data available on potential availability)</t>
  </si>
  <si>
    <t>Intermediate Bioenergy carriers (biocrude, FPBO)</t>
  </si>
  <si>
    <t>Secondary forest residues</t>
  </si>
  <si>
    <t>4111; 4112; 4121; 4122; 4131; 4132</t>
  </si>
  <si>
    <t>Straw</t>
  </si>
  <si>
    <t>2201; 2202; 2203</t>
  </si>
  <si>
    <t>Lignocrops abandoned degraded</t>
  </si>
  <si>
    <t>2101, 2103, 2104, 2106</t>
  </si>
  <si>
    <t>Lignocrops inter &amp; cover cropping</t>
  </si>
  <si>
    <t>2107, 2109</t>
  </si>
  <si>
    <t>Intermediate Bioenergy carrier (ethanol, methanol)</t>
  </si>
  <si>
    <t>Prunings &amp; damaged crops (olive stones excluded)</t>
  </si>
  <si>
    <t>2204, 2205</t>
  </si>
  <si>
    <t>Agroprocessing residues</t>
  </si>
  <si>
    <t>4201, 4202, 4203, 4204,  4206; 4207; 4208; 4209; 4210; 4211; 4214, 4216</t>
  </si>
  <si>
    <t xml:space="preserve">Manure </t>
  </si>
  <si>
    <t>2301; 2302</t>
  </si>
  <si>
    <t>Sewage sludge</t>
  </si>
  <si>
    <t>Biowastes (post consumer woods excluded)</t>
  </si>
  <si>
    <t>5101, 5102, 5104</t>
  </si>
  <si>
    <t>Algae (no data available on potential availability)</t>
  </si>
  <si>
    <t>Intermediate Bioenergy carrier (crude glycerine)</t>
  </si>
  <si>
    <t>Prunnings &amp; damaged crops</t>
  </si>
  <si>
    <t xml:space="preserve">2204; 2205; 4205; </t>
  </si>
  <si>
    <t>Agroprocessing residues - maize cobs</t>
  </si>
  <si>
    <t>Primary forestry residues</t>
  </si>
  <si>
    <t>1200, 1220</t>
  </si>
  <si>
    <t>Biowastes - Post consumer wood</t>
  </si>
  <si>
    <t>5211, 5212</t>
  </si>
  <si>
    <t>Intermediate Bioenergy carrier (FPBO with lower quality)</t>
  </si>
  <si>
    <t>Intermediate Bioenergy carrier (biomethane)</t>
  </si>
  <si>
    <t>e-biofuel feedstocks (biogenic CO2 and hydrogen from electrolysis)</t>
  </si>
  <si>
    <t>Intermediate Bioenergy carrier (cellulose pulp)</t>
  </si>
  <si>
    <t>Intermediate Bioenergy carriers (FPBO with lower quality )</t>
  </si>
  <si>
    <t>Intermediate Bioenergy carriers (Syngas)</t>
  </si>
  <si>
    <t>Tender 1, Task 1</t>
  </si>
  <si>
    <t>literature, mainly JEC-WTT-v5</t>
  </si>
  <si>
    <t xml:space="preserve">calculation: 2030 Medium I 2040 2050 High </t>
  </si>
  <si>
    <t>calculation</t>
  </si>
  <si>
    <t>qualitative assessment</t>
  </si>
  <si>
    <t>literature</t>
  </si>
  <si>
    <t>assessment</t>
  </si>
  <si>
    <t>Tender 1 (Task 3)</t>
  </si>
  <si>
    <t>FAME/HVO: road --&gt; maritime</t>
  </si>
  <si>
    <t>Tender 1, Task 3 - estimation conventional production 2030</t>
  </si>
  <si>
    <t xml:space="preserve">Doris: ich habe geändert: </t>
  </si>
  <si>
    <t>Demand 2040 + 2050 Berechnung Road und Maritime sodass FAME und HVO zu Maritime gehen</t>
  </si>
  <si>
    <t>Vergleichswert statt bioheavy fuel oil auf Maritime</t>
  </si>
  <si>
    <t>Vergleichswert statt Ethanol + Biogasoline + FAME + HVO auf Road, wobei für 2030 die derzeitige konventionelle Produktion abgezogen ist</t>
  </si>
  <si>
    <t>https://d1wqtxts1xzle7.cloudfront.net/112382270/acs.iecr.5b0321520240313-1-3unrht-libre.pdf?1710338708=&amp;response-content-disposition=inline%3B+filename%3DLife_Cycle_Assessments_of_Ethanol_Produc.pdf&amp;Expires=1734371423&amp;Signature=I4Skb15qXpBDLpT0Zs4GFYkJhNF7XOuXsfTgbUg2NXaPcrayKc1nau72NEp74w2~~T4TOLJ6cG-OBbmvgm9vpLQr8OMAhGL3u2J-AYZxzVovOYZeAQPe6wE8H9ycvc0QcFXHciJq5ZZk~1BdGmVoSJJ85mpe97D1Sd9ypiAOkOsvs8cM0lLtcTtELczDI5-EGOg67KyL1INRaRp7PtxIFVJRcnMClo4RWC5Bzw9ixnDpnlJnwek2MDG8dgxVkSi9YTQ~UYqwl5WZtP5etDn6cxyo3VRsEl986K8xRaOP4ll~5TZB380eTkQWg34DcE~tJNRvNu6m0GhWTTBEzqEcJQ__&amp;Key-Pair-Id=APKAJLOHF5GGSLRBV4ZA</t>
  </si>
  <si>
    <t xml:space="preserve">https://www.sodra.com/en/global/Bioproducts/biomethanol/ </t>
  </si>
  <si>
    <t>t Lignin</t>
  </si>
  <si>
    <t>t waste fatty acids</t>
  </si>
  <si>
    <t>t bio-crude ol</t>
  </si>
  <si>
    <t>conversion from fatty acids to biocrude</t>
  </si>
  <si>
    <t xml:space="preserve">bio-crude to fuel in refinery </t>
  </si>
  <si>
    <t xml:space="preserve">https://renfuel.se/biofuels/technology/  </t>
  </si>
  <si>
    <t xml:space="preserve">https://doi.org/10.1016/j.cej.2024.155114 </t>
  </si>
  <si>
    <t>gCO2/MJ biomethane</t>
  </si>
  <si>
    <t>gCO2/MJ biomethanol</t>
  </si>
  <si>
    <t>JEC WTT Report</t>
  </si>
  <si>
    <t>kg Biomethanol</t>
  </si>
  <si>
    <t>kg Pulp</t>
  </si>
  <si>
    <t>conversion fatty acid to ethanol</t>
  </si>
  <si>
    <t>conversion pulp to methanol</t>
  </si>
  <si>
    <t>kg CO2/kg ethanol</t>
  </si>
  <si>
    <t>kg CO2/MJ ethanol</t>
  </si>
  <si>
    <t>MJ ethanol/kg CO2</t>
  </si>
  <si>
    <t>MJ/kg ethanol</t>
  </si>
  <si>
    <t>kg CO2</t>
  </si>
  <si>
    <t>MJ ethanol</t>
  </si>
  <si>
    <t>kg ethanol</t>
  </si>
  <si>
    <t>technology</t>
  </si>
  <si>
    <t>main product</t>
  </si>
  <si>
    <t>main feedstock</t>
  </si>
  <si>
    <t>feedstock category</t>
  </si>
  <si>
    <t>2023 production</t>
  </si>
  <si>
    <t>conventional</t>
  </si>
  <si>
    <t>Annex IX Part A</t>
  </si>
  <si>
    <t>Annex IX Part B</t>
  </si>
  <si>
    <t>transesterification of food/feed crops</t>
  </si>
  <si>
    <t>vegetable oils</t>
  </si>
  <si>
    <t>hydrotreatment of food/feed crops</t>
  </si>
  <si>
    <t>renewable diesel</t>
  </si>
  <si>
    <t>ethanol fermentation of food/feed crops</t>
  </si>
  <si>
    <t>ethanol</t>
  </si>
  <si>
    <t>sugar and starch crops</t>
  </si>
  <si>
    <t>biomethane</t>
  </si>
  <si>
    <t>agricultural residues and wastes</t>
  </si>
  <si>
    <t>transesterification of e.g. brown grease</t>
  </si>
  <si>
    <t>brown grease or similar</t>
  </si>
  <si>
    <t>hydrotreatment of tall oil</t>
  </si>
  <si>
    <t>tall oil</t>
  </si>
  <si>
    <t>hydrotreatment of cover crops from marginal lands</t>
  </si>
  <si>
    <t>oil from cover crops on marginal lands</t>
  </si>
  <si>
    <t>lignin from black liquor and fatty acids</t>
  </si>
  <si>
    <t>agricultural residues (straw)</t>
  </si>
  <si>
    <t>kerosene</t>
  </si>
  <si>
    <t>methanol</t>
  </si>
  <si>
    <t>wood residues</t>
  </si>
  <si>
    <t>FPBO</t>
  </si>
  <si>
    <t>biocrude</t>
  </si>
  <si>
    <t>wood and agricultural residues</t>
  </si>
  <si>
    <t>transesterification of UCO and AF</t>
  </si>
  <si>
    <t>UCO and animal fats</t>
  </si>
  <si>
    <t>LHV Methanol MJ/kg</t>
  </si>
  <si>
    <t>kg CO2/kg methanol</t>
  </si>
  <si>
    <t>toe/t</t>
  </si>
  <si>
    <t>(product in Mtoe) = (feedstock in Mt) * (t product / t feedstock) * (toe/t)</t>
  </si>
  <si>
    <t>ETBE</t>
  </si>
  <si>
    <t>MTBE</t>
  </si>
  <si>
    <t>DME</t>
  </si>
  <si>
    <t>TAEE</t>
  </si>
  <si>
    <t>Butanol</t>
  </si>
  <si>
    <t>Otto</t>
  </si>
  <si>
    <t>FT-Diesel</t>
  </si>
  <si>
    <t>PPO</t>
  </si>
  <si>
    <t>Natural Gas / CNG</t>
  </si>
  <si>
    <t>Natural Gas / LNG</t>
  </si>
  <si>
    <t xml:space="preserve">ATJ </t>
  </si>
  <si>
    <t>HTL biocrude</t>
  </si>
  <si>
    <t>pyrolysis oil</t>
  </si>
  <si>
    <t>JEC_WTT_v5</t>
  </si>
  <si>
    <t>Yield</t>
  </si>
  <si>
    <t>Pathway</t>
  </si>
  <si>
    <t>Unit</t>
  </si>
  <si>
    <t>MJ product/MJ oil</t>
  </si>
  <si>
    <t>WOHY1e</t>
  </si>
  <si>
    <t>LHV of feedstock and product quite similar</t>
  </si>
  <si>
    <t>1 t fatty acid + 1 t lignin = 2 t product</t>
  </si>
  <si>
    <t>MJ ethanol/MJ straw</t>
  </si>
  <si>
    <t>t ethanol/t straw</t>
  </si>
  <si>
    <t>combined factor [toe product / t feedstock]</t>
  </si>
  <si>
    <t>OWGC21</t>
  </si>
  <si>
    <t>MJ raw gas/MJ manure</t>
  </si>
  <si>
    <t>MJ biomethane/MJ raw gas</t>
  </si>
  <si>
    <t>t biomethane/t manure</t>
  </si>
  <si>
    <t>REME1</t>
  </si>
  <si>
    <t>t methanol/t CO2</t>
  </si>
  <si>
    <t>GRME</t>
  </si>
  <si>
    <t>LHV methanol MJ/kg</t>
  </si>
  <si>
    <t>LHV methane MJ/kg</t>
  </si>
  <si>
    <t>WMD</t>
  </si>
  <si>
    <t>LHV wood MJ/kg</t>
  </si>
  <si>
    <t>efficiency, assumed it is MJ methanol/MJ wood</t>
  </si>
  <si>
    <t>efficiency, assumed it is MJ methanol/MJ methane</t>
  </si>
  <si>
    <t>t methanol/t wood</t>
  </si>
  <si>
    <t>t methanol/t methane</t>
  </si>
  <si>
    <t>10 kg of methanol per 1 t of pulp</t>
  </si>
  <si>
    <t>WSD1</t>
  </si>
  <si>
    <t>efficiency, assumed it is MJ diesel/MJ wood</t>
  </si>
  <si>
    <t>LHV diesel MJ/kg</t>
  </si>
  <si>
    <t>t diesel/t wood</t>
  </si>
  <si>
    <t>IVC</t>
  </si>
  <si>
    <t>RECG1</t>
  </si>
  <si>
    <t>efficiency, assumed it is MJ methane/MJ wood</t>
  </si>
  <si>
    <t>t methane/t wood</t>
  </si>
  <si>
    <t>kg CO2/MJ methane</t>
  </si>
  <si>
    <t>t methane/t CO2</t>
  </si>
  <si>
    <t>RESD2</t>
  </si>
  <si>
    <t>MJ CO2/MJ diesel</t>
  </si>
  <si>
    <t>LHV CO2 MJ/kg</t>
  </si>
  <si>
    <t>t diesel/t CO2</t>
  </si>
  <si>
    <t>WxPx</t>
  </si>
  <si>
    <t>WxSD2</t>
  </si>
  <si>
    <t>Lanzatech figures</t>
  </si>
  <si>
    <t>LHV diesel/gasoline MJ/kg</t>
  </si>
  <si>
    <t>efficiency, assumed it is MJ diesel/gasoline/MJ wood</t>
  </si>
  <si>
    <t>t diesel/gasoline/t wood</t>
  </si>
  <si>
    <t>the efficiency is already for diesel</t>
  </si>
  <si>
    <t>50% share of FT-diesel amount assumed</t>
  </si>
  <si>
    <t>33% share of overall amount assumed</t>
  </si>
  <si>
    <t>hydrogen</t>
  </si>
  <si>
    <t>Status 2024</t>
  </si>
  <si>
    <t>Contribution to market demand</t>
  </si>
  <si>
    <t>[toe product/t feedstock]</t>
  </si>
  <si>
    <t>3-6</t>
  </si>
  <si>
    <t>2</t>
  </si>
  <si>
    <t>3 digits</t>
  </si>
  <si>
    <t>2 digits</t>
  </si>
  <si>
    <t>1 digit</t>
  </si>
  <si>
    <t>4 digits</t>
  </si>
  <si>
    <t>&gt;65%</t>
  </si>
  <si>
    <t>&gt;85%</t>
  </si>
  <si>
    <t>&lt;65%</t>
  </si>
  <si>
    <t>&gt;5</t>
  </si>
  <si>
    <t>&lt;5</t>
  </si>
  <si>
    <t>2-6</t>
  </si>
  <si>
    <t>1</t>
  </si>
  <si>
    <t>4-9</t>
  </si>
  <si>
    <t>1-6</t>
  </si>
  <si>
    <t>KPI and Heatmap sheets ARE linked; basic data sheets are NOT linked!</t>
  </si>
  <si>
    <t>intermediates: 1 each for 6, 8b, 8d</t>
  </si>
  <si>
    <t>7-8</t>
  </si>
  <si>
    <t>&lt;7</t>
  </si>
  <si>
    <t>7-9</t>
  </si>
  <si>
    <t>Remarks</t>
  </si>
  <si>
    <t>ticks the boxes in this time period, but is red in the others because of too little possible market share</t>
  </si>
  <si>
    <t>would tick the boxes, but is only demonstrated based on waste (fossil) CO2, AND GHG emission reduction is low!</t>
  </si>
  <si>
    <t>FAME producers will invest into broadening the feedstock base without the need for public support</t>
  </si>
  <si>
    <t>refineries will invest into this without the need for public support</t>
  </si>
  <si>
    <t>RELEVANT</t>
  </si>
  <si>
    <t>RELEVANT for Task 2</t>
  </si>
  <si>
    <t>contribution to market demand is based on demand for RFNBOs, could be relevant in locations with high prices for electrolysis hydrogen</t>
  </si>
  <si>
    <t>needs to fulfill GHG reduction criteria for EU market</t>
  </si>
  <si>
    <t>industry will invest on their own</t>
  </si>
  <si>
    <t>RELEVANT for Task 2 - combine the ethanol pathways?</t>
  </si>
  <si>
    <t>RELEVANT - maybe combine into a more  generic gasification pathway  for Task 2</t>
  </si>
  <si>
    <t>small contribution potential</t>
  </si>
  <si>
    <t>calculated from JEC_WTT_v5</t>
  </si>
  <si>
    <t>estimation based on tender 1 values</t>
  </si>
  <si>
    <t>Background data RED (2009)</t>
  </si>
  <si>
    <t>product yield [t product / t feedstock]</t>
  </si>
  <si>
    <t>effiency [MJ/MJ]</t>
  </si>
  <si>
    <t>product yield [t/t]</t>
  </si>
  <si>
    <t>LHV [MJ/kg]</t>
  </si>
  <si>
    <t>SBET</t>
  </si>
  <si>
    <t>kg ethanol/kg sugar beet</t>
  </si>
  <si>
    <t>kg pulp/kg sugar beet</t>
  </si>
  <si>
    <t>St1 Etanolix 5,500 t of bakery waste --&gt; 1,000 t of ethanol</t>
  </si>
  <si>
    <t>kg ethanol/kg pulp</t>
  </si>
  <si>
    <t>several sources, see Doris notes</t>
  </si>
  <si>
    <t>using a combination of straw and manure as feedstock according to availability</t>
  </si>
  <si>
    <t>OWCG5</t>
  </si>
  <si>
    <t>MJ raw gas/MJ crop</t>
  </si>
  <si>
    <t>t biomethane/t crop</t>
  </si>
  <si>
    <t>combined</t>
  </si>
  <si>
    <t>t biomethane/t combined feedstock</t>
  </si>
  <si>
    <t>average of 3 different sources (0,32 / 0,15 / 0,07)</t>
  </si>
  <si>
    <t>Manure</t>
  </si>
  <si>
    <t>Wood</t>
  </si>
  <si>
    <t>Crop (wheat, barley)</t>
  </si>
  <si>
    <t>possible error in JEC_WTT_v5</t>
  </si>
  <si>
    <t>based on König et al 2015: https://www.sciencedirect.com/science/article/abs/pii/S0360544215011767?via%3Dihub</t>
  </si>
  <si>
    <t>ass: kg CO2/MJ diesel</t>
  </si>
  <si>
    <t>LHV hydrogen MJ/kg</t>
  </si>
  <si>
    <t>t hydrogen/t wood</t>
  </si>
  <si>
    <t>Conversion factor</t>
  </si>
  <si>
    <t>RenFuel technology</t>
  </si>
  <si>
    <t>BioMCN</t>
  </si>
  <si>
    <t>Södra/Cepi</t>
  </si>
  <si>
    <t>Gas fermentation to ethanol</t>
  </si>
  <si>
    <t>LanzaTech</t>
  </si>
  <si>
    <t>CO2 pathways</t>
  </si>
  <si>
    <t>kg ATJ per kg ethanol</t>
  </si>
  <si>
    <t>kg FT fuel per kg CO2</t>
  </si>
  <si>
    <t xml:space="preserve">https://renfuel.se/biofuels/technology/ </t>
  </si>
  <si>
    <t>A tonne of solid lignin is mixed one-to-one with a tonne of waste fatty acid. Within a couple of hours the process then gives two tonnes of lignin bio-crude oil.</t>
  </si>
  <si>
    <t>The result is a liquid biocrude-oil called Lignol®, which is then refined into bio-gasoline, bio-diesel or Sustainable Aviation Fuel (to be certified), in the same way as HVO – Hydro Treated Vegetable Oil. The resulting fuels can be made to perform like the common fossil fuels. Lignol fuels can be blended in to meet all mandates for advanced biofuels.</t>
  </si>
  <si>
    <t>nicht relevant:</t>
  </si>
  <si>
    <t>conversion feedstock to fuel</t>
  </si>
  <si>
    <t>https://doi.org/10.1016/j.cej.2024.155114</t>
  </si>
  <si>
    <t xml:space="preserve">Diesel </t>
  </si>
  <si>
    <t>Hydrotreatment</t>
  </si>
  <si>
    <t>Table 3 - Hydrotreatment (not co-prrocessing)?</t>
  </si>
  <si>
    <t xml:space="preserve">https://www.nrel.gov/docs/fy20osti/76131.pdf </t>
  </si>
  <si>
    <t>https://ethanolproducer.com/articles/alcohol-to-jet-a-lifeline-for-corn-ethanol</t>
  </si>
  <si>
    <t>% of ATJ from ethanol (we assume this is volume%)</t>
  </si>
  <si>
    <t>https://biotechnologyforbiofuels.biomedcentral.com/articles/10.1186/s13068-017-0702-7</t>
  </si>
  <si>
    <t>kg ethanol per MJ fuel</t>
  </si>
  <si>
    <t>MJ/kg jet fuel</t>
  </si>
  <si>
    <t>kg jet fuel per kg ethanol</t>
  </si>
  <si>
    <t>https://chemistry-europe.onlinelibrary.wiley.com/doi/am-pdf/10.1002/cssc.201801690</t>
  </si>
  <si>
    <t>Source: Neuling, U., &amp; Kaltschmitt, M. (2019). Aviation biofuels: an economic and environmental assessment with an outlook on cost reduction potentials. In Proceedings of the ICPS 19 (pp. 83–95). Technische Universität Wien. https://doi.org/10.34726/61</t>
  </si>
  <si>
    <t>Feedstock wheat straw</t>
  </si>
  <si>
    <t>Mass flow per hour</t>
  </si>
  <si>
    <t>Wheat straw</t>
  </si>
  <si>
    <t>kg</t>
  </si>
  <si>
    <t>MW</t>
  </si>
  <si>
    <t>MJ</t>
  </si>
  <si>
    <t>kg/MJ</t>
  </si>
  <si>
    <t>MJ/kg</t>
  </si>
  <si>
    <t>t kerosene/t straw</t>
  </si>
  <si>
    <t>Ethanol to Fuel</t>
  </si>
  <si>
    <t xml:space="preserve">https://ethanolproducer.com/articles/alcohol-to-jet-a-lifeline-for-corn-ethanol </t>
  </si>
  <si>
    <t xml:space="preserve">https://doi.org/10.1016/j.rser.2023.114240 </t>
  </si>
  <si>
    <t>MJ jet/kg ethanol?</t>
  </si>
  <si>
    <t xml:space="preserve">DOI 10.1186/s13068-017-0698-z </t>
  </si>
  <si>
    <t>1.615 litres of ethanol to make 1 litre of ATJ jet fuel</t>
  </si>
  <si>
    <t>https://rsb.org/wp-content/uploads/2020/10/20-10-16-RSB-Summary-Report_Final.pdf</t>
  </si>
  <si>
    <t>https://doi.org/10.1016/j.enconman.2024.118947</t>
  </si>
  <si>
    <t>CORSIA</t>
  </si>
  <si>
    <t xml:space="preserve">https://www.icao.int/environmental-protection/CORSIA/Documents/CORSIA_Eligible_Fuels/CORSIA_Supporting_Document_CORSIA%20Eligible%20Fuels_LCA_Methodology_V5.pdf </t>
  </si>
  <si>
    <t>MJ ethanol/MJ kerosene</t>
  </si>
  <si>
    <t>MJ kerosene/MJ ethanol</t>
  </si>
  <si>
    <t>LHV kerosene MJ/kg</t>
  </si>
  <si>
    <t>LHV ethanol MJ/kg</t>
  </si>
  <si>
    <t>t kerosene/t ethanol</t>
  </si>
  <si>
    <t xml:space="preserve">https://www.methanol.org/wp-content/uploads/2019/01/MethanolReport.pdf </t>
  </si>
  <si>
    <t>BioMCN has chosen to produce renewable methanol by replacing conventional natural gas with biogas as a feedstock in its production process.</t>
  </si>
  <si>
    <r>
      <t>BioMCN will combine hydrogen from the intended facility with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from other processes to produce renewable methanol, a raw material for bio-fuels and a variety of chemical feedstocks. Compared to fossil-based methanol this will reduce emissions by up to 27,000 tons of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per year.</t>
    </r>
  </si>
  <si>
    <t>Biogas</t>
  </si>
  <si>
    <t xml:space="preserve">19,80-27 </t>
  </si>
  <si>
    <t>Methanolysis</t>
  </si>
  <si>
    <t>JEC synfuels_GPME1b</t>
  </si>
  <si>
    <t xml:space="preserve">https://www.cepi.org/wp-content/uploads/2024/09/Key-Statistics-2023-FINAL-2.pdf </t>
  </si>
  <si>
    <t>Sulphate pulp</t>
  </si>
  <si>
    <t>t</t>
  </si>
  <si>
    <t>Mt</t>
  </si>
  <si>
    <t xml:space="preserve">up to </t>
  </si>
  <si>
    <t>https://publications.anl.gov/anlpubs/2022/05/175009.pdf</t>
  </si>
  <si>
    <t>507 t FT fuel from 1580 t CO2 and 255 t H2</t>
  </si>
  <si>
    <t>kg fuel per kg CO2</t>
  </si>
  <si>
    <t>kg fuel per kg H2</t>
  </si>
  <si>
    <t>https://www.sciencedirect.com/science/article/abs/pii/S2212982021000263</t>
  </si>
  <si>
    <t>2387 t of CO2 and 223 t of H2 produce 351 t of FT fuel</t>
  </si>
  <si>
    <t>MJ H2 per MJ fuel</t>
  </si>
  <si>
    <t xml:space="preserve">https://lanzatech.com/wp-content/uploads/2023/11/LCA-Ethanol-from-BOF-Gas-NXBZ-v1.3.pdf </t>
  </si>
  <si>
    <t>kgCO2/kg ethanol</t>
  </si>
  <si>
    <t>kWh/kg</t>
  </si>
  <si>
    <t>kgCO2/kWh</t>
  </si>
  <si>
    <t>kgCO2/MJ</t>
  </si>
  <si>
    <t>DOI: 10.1021/acs.iecr.5b03215</t>
  </si>
  <si>
    <t>60% if comapred with our gasoline comparator</t>
  </si>
  <si>
    <t>CO2 input</t>
  </si>
  <si>
    <t>EBA Statistical Report 2024</t>
  </si>
  <si>
    <t>conversion factors used for tender 1 for biomethane</t>
  </si>
  <si>
    <t>kWh/m3</t>
  </si>
  <si>
    <t>1Mtoe = 11,63 TWh</t>
  </si>
  <si>
    <t>Mtoe/TWh</t>
  </si>
  <si>
    <t>1oe = 41,868 MJ = 11,63 kWh</t>
  </si>
  <si>
    <t>bcm</t>
  </si>
  <si>
    <t>m3</t>
  </si>
  <si>
    <t>kWh</t>
  </si>
  <si>
    <t>TWh</t>
  </si>
  <si>
    <t xml:space="preserve">https://www.engineeringtoolbox.com/fuels-higher-calorific-values-d_169.html </t>
  </si>
  <si>
    <t>EBA report states that 22 bcm biogas and biomethane production make 29 Mt of CO2 available</t>
  </si>
  <si>
    <t>EBA report</t>
  </si>
  <si>
    <t>Biogas + biomethane production</t>
  </si>
  <si>
    <t>biogas + biomethane production</t>
  </si>
  <si>
    <t>biogenic CO2 [Mt]</t>
  </si>
  <si>
    <t>factor</t>
  </si>
  <si>
    <t>Tender 1 calculates these Mtoe of biomethane from AD for 2030 and 2050</t>
  </si>
  <si>
    <t>biomethane from AD</t>
  </si>
  <si>
    <t>biogenic CO2</t>
  </si>
  <si>
    <t>we calculate that the tender 1 amounts should correlate to these CO2 amounts</t>
  </si>
  <si>
    <t>Annex IX Part A feedstocks only</t>
  </si>
  <si>
    <t>t/y</t>
  </si>
  <si>
    <t>Mtoe/y</t>
  </si>
  <si>
    <t>serves as technology example for</t>
  </si>
  <si>
    <t>main product assumed for calculations</t>
  </si>
  <si>
    <t>main feedstock assumed</t>
  </si>
  <si>
    <t>2023 installed capacity in Europe</t>
  </si>
  <si>
    <t>total 2023 capacity</t>
  </si>
  <si>
    <t>conversion factor to toe</t>
  </si>
  <si>
    <t>gasification+methanol</t>
  </si>
  <si>
    <t>gasification+SNG</t>
  </si>
  <si>
    <t>gasification+FT</t>
  </si>
  <si>
    <t>Achtung, diese Werte sind besonders niedrig, hier muss man unbedingt umrechnen!</t>
  </si>
  <si>
    <t>Yields</t>
  </si>
  <si>
    <t>competing pathways</t>
  </si>
  <si>
    <t>lipids: (1, 2, 3)</t>
  </si>
  <si>
    <t>sugars: (4)</t>
  </si>
  <si>
    <t>straw: (5, 13a, 13b)</t>
  </si>
  <si>
    <t>wood: (8a, 9a, 10, 11a)</t>
  </si>
  <si>
    <t>wet feedstocks: (7, 14)</t>
  </si>
  <si>
    <t>CO2: (8c, 9b, 11b, 12)</t>
  </si>
  <si>
    <t>LHV of feedstock and product quite similar; 50% HVO, 50% HEFA</t>
  </si>
  <si>
    <t>50% HVO, 50% HEFA</t>
  </si>
  <si>
    <t>33% kerosene, 67% HFO</t>
  </si>
  <si>
    <t>feedstocks shared over pathways</t>
  </si>
  <si>
    <t>Total quantities</t>
  </si>
  <si>
    <t>Feedstock share</t>
  </si>
  <si>
    <t>demand in Mtoe</t>
  </si>
  <si>
    <t>Road Biofuels without food-based</t>
  </si>
  <si>
    <t>Road e-Fuels</t>
  </si>
  <si>
    <t>Aviation Biofuels</t>
  </si>
  <si>
    <t>Aviation e-Fuels</t>
  </si>
  <si>
    <t>Maritime Biofuels</t>
  </si>
  <si>
    <t>Maritime e-Fuels</t>
  </si>
  <si>
    <t>Total</t>
  </si>
  <si>
    <t>from tender 1 Task 1 excel file tab FF55_RED</t>
  </si>
  <si>
    <t>Road-bio</t>
  </si>
  <si>
    <t>Aviation-bio</t>
  </si>
  <si>
    <t>Road-bio 2030</t>
  </si>
  <si>
    <t>Aviation-bio 2040/2050</t>
  </si>
  <si>
    <t>Maritime-bio 2040/2050</t>
  </si>
  <si>
    <t>Maritime-bio</t>
  </si>
  <si>
    <t>Maritime-e</t>
  </si>
  <si>
    <t>Road-e 2030</t>
  </si>
  <si>
    <t>Maritime-e 2040/2050</t>
  </si>
  <si>
    <t>Road-bio 2040/2050</t>
  </si>
  <si>
    <t>Aviation-e 2040/2050</t>
  </si>
  <si>
    <t>2.1.2025: Sektor-demand statt fuel-specific demand!</t>
  </si>
  <si>
    <t>Production 2023 - total pulp</t>
  </si>
  <si>
    <t>methanol potential</t>
  </si>
  <si>
    <t>Maritime-bio 2030/2040/2050</t>
  </si>
  <si>
    <t>biogas-based CO2</t>
  </si>
  <si>
    <t>ethanol-based CO2 (roughly 1 t CO2 per t of ethanol)</t>
  </si>
  <si>
    <t>conventional ethanol</t>
  </si>
  <si>
    <t>tender 1 values for ethanol production, technically possible but capped by feedstock availability</t>
  </si>
  <si>
    <t>total CO2 available</t>
  </si>
  <si>
    <t>CEPI:</t>
  </si>
  <si>
    <t>Kraft pulp/sulphate pulp</t>
  </si>
  <si>
    <t>Mt/y</t>
  </si>
  <si>
    <t>t/t</t>
  </si>
  <si>
    <t>Lignin per Kraft pulp</t>
  </si>
  <si>
    <t xml:space="preserve">VTT paper: </t>
  </si>
  <si>
    <t>Lignin per year</t>
  </si>
  <si>
    <t>Selection criteria: TRL = 7-9; contribution to market demand at least 10%; production capacity as per Tender 1 in the range of 10% of total advanced biofuels demand (64,5 Mtoe in 2040)</t>
  </si>
  <si>
    <t>quantitative</t>
  </si>
  <si>
    <t>qualitative</t>
  </si>
  <si>
    <t>L</t>
  </si>
  <si>
    <t>M</t>
  </si>
  <si>
    <t>H</t>
  </si>
  <si>
    <t>https://www.sciencedirect.com/science/article/pii/S0961953421000738?via%3Dihub</t>
  </si>
  <si>
    <t>M and H in green</t>
  </si>
  <si>
    <t>3 green values --&gt; essential IVC</t>
  </si>
  <si>
    <t xml:space="preserve">IVCs at TRL 5 or lower (and CRL 1) as of today could become essential for contributing to the 2040-2050 time period and the 2050 targets . </t>
  </si>
  <si>
    <t>IVCs at TRL 6, 7 or 8 (and CRL 1 or 2) as of today will be considered essential for contributing to the 2030-2040 time period and the 2040 targets (assumed at 90% GHG reduction).</t>
  </si>
  <si>
    <t>IVCs at TRL 9 and CRL 3 as of today will be considered essential for contributing to the 2025-2030 time period and the 2030 targets.</t>
  </si>
  <si>
    <t>we will add IVCs to the sheets for 2030/2040/2050 according to these criteria</t>
  </si>
  <si>
    <t>For TRL9/CRL3 all subprocesses of the value chain must be at TRL 9, as well as the feedstock supply.</t>
  </si>
  <si>
    <t xml:space="preserve">Within a value chain the sub-processes can have different TRLs and the lowest defines the overall TRL. </t>
  </si>
  <si>
    <t xml:space="preserve">The maturity of a value chain is defined by the one facility that is most advanced. </t>
  </si>
  <si>
    <t>TRL and CRL are based on the current status of technology deployment as displayed in the IEA Bioenergy Task 39 and ETIP Bioenergy demoplants databases.</t>
  </si>
  <si>
    <t>Vertimass</t>
  </si>
  <si>
    <t>Cycloalkanes from ethanol</t>
  </si>
  <si>
    <t>Green Lizard</t>
  </si>
  <si>
    <t>Biomass/waste pyrolysis</t>
  </si>
  <si>
    <t>Alder</t>
  </si>
  <si>
    <t>Biomass pyrolysis</t>
  </si>
  <si>
    <t>Revo</t>
  </si>
  <si>
    <t>HEFA with higher cycloparaffins</t>
  </si>
  <si>
    <t>increase in fatty acid/ester co-processing from 5% to 30%</t>
  </si>
  <si>
    <t>ExxonMobil</t>
  </si>
  <si>
    <t>methanol to jet (MTJ)</t>
  </si>
  <si>
    <t>Indian CSIR-IIP</t>
  </si>
  <si>
    <t>Single reactor HEFA (DILSAAF)</t>
  </si>
  <si>
    <t xml:space="preserve">Shell </t>
  </si>
  <si>
    <t>integrated hydropyrolysis and hydroconversion (IH2)</t>
  </si>
  <si>
    <t>Virent</t>
  </si>
  <si>
    <t>synthesized aromatic kerosene (SAK)</t>
  </si>
  <si>
    <t>further SAF processes under ASTM evaluation (excluding those based on fossil feedstocks)</t>
  </si>
  <si>
    <t>Nexxoil, Germany, Hamburg</t>
  </si>
  <si>
    <t>READi Reactive Destillation Technology</t>
  </si>
  <si>
    <t>aequeous phase reforming</t>
  </si>
  <si>
    <t>4-6</t>
  </si>
  <si>
    <t>biological fermentation of syngas</t>
  </si>
  <si>
    <t>fermentation to hydrogen</t>
  </si>
  <si>
    <t>3-4</t>
  </si>
  <si>
    <t>biofuels from aquatic biomass</t>
  </si>
  <si>
    <t>Lower TRLs</t>
  </si>
  <si>
    <t>industrial scale demo | Owner:  Silva Green Fuel, Norway, Tofte, 1 400 t/y bio-oil, TRL 6-7</t>
  </si>
  <si>
    <t>CS-1 Facility | Owner:  Arbios Biotech (Joint Venture of Licella and Canfor), Australia, Somersby, 1 800 t/y, bio-oil, TRL 6-7</t>
  </si>
  <si>
    <t>5-6</t>
  </si>
  <si>
    <t>To-Syn-Fuel / Owner: Fraunhofer Umsicht, Germany, Hohenburg, 450 t/y, pyrolysis oil, TRL 6-7</t>
  </si>
  <si>
    <t>To-Syn-Fuel Hohenburg, Germany</t>
  </si>
  <si>
    <t>6-7</t>
  </si>
  <si>
    <t>Pyrolysis oil upgrading | Owner:  Pyrocell (JV of Setra and Preem), Sweden, Gavle, 24 000 t/y, pyrolysis oil, TRL 9; upgrading to transport fuel done at Preem refinery in Lysekil, TRL 9</t>
  </si>
  <si>
    <t>BioEnergy AE | Owner:  Ensyn, Arbec Forest Products and Rémabec, Canada, Quebec, 36,000 t/y, gasoline-type fuels, TRL 8</t>
  </si>
  <si>
    <t>BTG, Netherlands, Pyrocel Gavle, GFN Lieksa, Ensyn plants in North America</t>
  </si>
  <si>
    <t>Ghent Steelanol | Owner:  ArcelorMittal, Belgium, Ghent, 64 000 t/y ethanol from steel production flue gas, TRL8</t>
  </si>
  <si>
    <t>3G ethanol Commercial plant / Indian Oil Corporation, India, Panipat, 31 000 t/y ethanol from refinery off-gas, TRL 9</t>
  </si>
  <si>
    <t>Indian Oil Corporation 3G ethanol Commercial plant (LanzaTech)</t>
  </si>
  <si>
    <t>8-9</t>
  </si>
  <si>
    <t>no facility in Europe</t>
  </si>
  <si>
    <t>MOE Carbon-Recycling Society Project / Toshiba and partners, Japan, Kawasaki-shi, SAF, TRL 4-5</t>
  </si>
  <si>
    <t>BioTfueL pilot | Owner:  BioTfueL-consortium, France, Dunkirk, 60 t/y, FT-liquids, TRL 6-7</t>
  </si>
  <si>
    <t>TRIJEN (Liquid Fuel Production From Biomass and Coal Blends) | Owner:  TUBITAK, Turkey, Kocaeli, 250 t/y, FT-fuel, TRL 4-5</t>
  </si>
  <si>
    <t>Waste2Value | Owner:  BEST - Bioenergy and Sustainable Technologies GmbH, Austria, Vienna, 44 t/y FT-fuels, TRL 6-7</t>
  </si>
  <si>
    <t>BioTfueL TOTAL</t>
  </si>
  <si>
    <t>Swindon Advanced Biofuels Plant | Owner:  Advanced Biofuels Solutions Ltd, UK, Swindon, 1 500 t/y SNG, 500 t/y H2, TRL 8</t>
  </si>
  <si>
    <t>gasification: 7-8</t>
  </si>
  <si>
    <t>33 operational, fully renewable e-methane production facilities in Europe according to EBA report; TRL is 6-8 for in-situ biological methanation, 6-9 for ex-situ biological methanation, 7-9 for catalytic methanation, and 6-7 for bio-electrochemical assisted AD.</t>
  </si>
  <si>
    <t>Hybridkraftwerk Limec, Schweiz, Dietikon, 3 100 t/y of e-methane produced from CO2 from biogas (AD) through ex-situ biological methanation, TRL 9</t>
  </si>
  <si>
    <t>Audi e-gas ATLANTIS, Germany, Werlte, 2 800 t/y of e-methane from CO2 from biogas (AD) through ex-situ catalytic methanation, tRL 9</t>
  </si>
  <si>
    <t>Exytron Demonstrationsanlage</t>
  </si>
  <si>
    <t>Surrey Biofuel facility | Owner:  Surrey Municipality, Canada, British Columbia, 240 t/y, SNG, TRL 8</t>
  </si>
  <si>
    <t>GoBiGas plant</t>
  </si>
  <si>
    <t>Sodra biomethanol | Owner:  Sodra, Sweden, Monsteras, 5 250 t/y methanol from paper industry, TRL 9</t>
  </si>
  <si>
    <t>George Olah Renewable Methanol plant / CRI, Iceland, 1 900 toe/y of e-methanol according to CETO RFNBO report</t>
  </si>
  <si>
    <t>Shunli / CRI, China, Anyang, 110 000 t/y e-methanol, TRL 9; biomass-based facility under construction in China with Tianying Group with 170 000 t/y capacity</t>
  </si>
  <si>
    <t>FReSMe project, Sweden</t>
  </si>
  <si>
    <t>BioMCN  | Owner:  BioMCN (OCI NV), Netherlands, Groningen, 65 000 t/y, methanol through biomethane reformation, TRL 8</t>
  </si>
  <si>
    <t>bioliq | Owner:  Karlsruhe Institute of Technology (KIT), Germany, Eggenstein-Leopoldshafen, 670 t/y, DME, TRL 6-7 (now closed)</t>
  </si>
  <si>
    <t>Westbury commercial demonstration facility | Owner:  Enerkem, Canada, Quebec, 4 000 t/y ethanol, 1 000 t/y methanol, SNG, TRL 6-7</t>
  </si>
  <si>
    <t>Enerkem Edmonton, Canada, BioMCM Netherlands, Tarragona, Spain (planned), Sodra biomethanol</t>
  </si>
  <si>
    <t>Verbiogas Pinnow | Owner:  Verbio, Germany, 10 MW, biomethane, TRL 9</t>
  </si>
  <si>
    <t>Holsted Biogas | Owner:  NGF Nature Energy, Denmark, 1 800m³/h, biomethane, TRL 9</t>
  </si>
  <si>
    <t>Silsbee | Owner:  Gevo, USA, Texas, 200 t/y, SAF, TRL 6-7 (likely based on feedstock not eligible in EU)</t>
  </si>
  <si>
    <t>Freedom Pines | Owner:  LanzaJet, USA, Georgia, 27 000 t/y, SAF, TRL 8</t>
  </si>
  <si>
    <t>Meliora Bio  | Owner:  Meliora Bio AsP (former facility of Dong Energy/Inbicon), Denmark, Kalundborg, 5 000 t/y ethanol, TRL 9</t>
  </si>
  <si>
    <t>2G ethanol Commercial plant / India Oil Corporation, India, Panipat, 27 000 t/y, ethanol, TRL 9</t>
  </si>
  <si>
    <t>Bonfim | Owner:  Raizen Energia, Brazil, Guariba, 62 000 t/y ethanol, TRL 9</t>
  </si>
  <si>
    <t>Clariant Podari, Romania, Versalis Crescentino</t>
  </si>
  <si>
    <t>Hundreds of operational facilities</t>
  </si>
  <si>
    <t>RenFuel Backhammer | Owner:  RenFuel, Sweden, Backhammar, 0,1 t/y, bio-oil, TRL 6-7</t>
  </si>
  <si>
    <t>Rotterdam | Owner:  Neste, Netherlands, Rotterdam, 800 000 t/y, HVO/HEFA, TRL 8</t>
  </si>
  <si>
    <t>Singapore expansion | Owner:  Neste, Singapour, 1 300 000 t/y, HVO/HEFA, TRL 9</t>
  </si>
  <si>
    <t>Martinez Renewable Fuels Facility | Owner:  Marathon Petroleum and Neste (Joint venture), USA, California, 2 100 000 t/y, renewable diesel (HVO), TRL 9</t>
  </si>
  <si>
    <t>La Mede (Total)</t>
  </si>
  <si>
    <t>Other References</t>
  </si>
  <si>
    <t>Largest European Reference</t>
  </si>
  <si>
    <t>2nd-Largest Reference</t>
  </si>
  <si>
    <t>Largest Reference</t>
  </si>
  <si>
    <t>CRL (demoplants database)</t>
  </si>
  <si>
    <t>TRL (demoplants database)</t>
  </si>
  <si>
    <t>Reference (JRC report 2024)</t>
  </si>
  <si>
    <t>TRL (JRC Advanced Biofuels report 2024)</t>
  </si>
  <si>
    <t>for comparison: JRC report 2024</t>
  </si>
  <si>
    <t>JEC report comparison (2020)</t>
  </si>
  <si>
    <t>still needs to be assessed</t>
  </si>
  <si>
    <t>not based on Annex IX feedstock</t>
  </si>
  <si>
    <t>based on intermediat bioenergy carrier</t>
  </si>
  <si>
    <t>bio-e-fuel technology</t>
  </si>
  <si>
    <t>Gasification and Methanol Synthesis</t>
  </si>
  <si>
    <t>Methane reforming and Methanol Synthesis</t>
  </si>
  <si>
    <t>Methanol Synthesis from biogenic CO2 and H2</t>
  </si>
  <si>
    <t>Methanation from biogenic CO2 and H2</t>
  </si>
  <si>
    <t>FT-Synthesis from biogenic CO2 and H2</t>
  </si>
  <si>
    <t>drop-in biofuels study</t>
  </si>
  <si>
    <t>TRL in 2024</t>
  </si>
  <si>
    <t>Selection criteria: TRL = 7-9; contribution to market demand and production capacity as per Tender 1: below 10% - L, from 10 to 50% - M, above 50% - H; production capacity as per Tender 1 64,5 Mtoe in 2040 (6,4 / 32,2)</t>
  </si>
  <si>
    <t>DI code</t>
  </si>
  <si>
    <t>Potential quantity</t>
  </si>
  <si>
    <t>DI codes</t>
  </si>
  <si>
    <t>Linearly caluclated</t>
  </si>
  <si>
    <t>Linearly calculated</t>
  </si>
  <si>
    <t>EU-27</t>
  </si>
  <si>
    <t xml:space="preserve">2102, 2105, 2108, </t>
  </si>
  <si>
    <t>Austria</t>
  </si>
  <si>
    <t>2102; 2105; 2108</t>
  </si>
  <si>
    <t>4216, 5106,  5107</t>
  </si>
  <si>
    <t>5101, 5102, 5104, 5211, 5212</t>
  </si>
  <si>
    <t>Biowastes</t>
  </si>
  <si>
    <t>Stemwood</t>
  </si>
  <si>
    <t>4201, 4202, 4203, 4204,  4206; 4207; 4208; 4209; 4210; 4211; 4214</t>
  </si>
  <si>
    <t xml:space="preserve">2301; 2302; 5108; </t>
  </si>
  <si>
    <t>Manure &amp; sewage sludge</t>
  </si>
  <si>
    <t>Medium 2050</t>
  </si>
  <si>
    <t>Medium 2030</t>
  </si>
  <si>
    <t>Grand Total</t>
  </si>
  <si>
    <t>UK</t>
  </si>
  <si>
    <t>TR</t>
  </si>
  <si>
    <t>SK</t>
  </si>
  <si>
    <t>SI</t>
  </si>
  <si>
    <t>SE</t>
  </si>
  <si>
    <t>RO</t>
  </si>
  <si>
    <t>PT</t>
  </si>
  <si>
    <t>PL</t>
  </si>
  <si>
    <t>NO</t>
  </si>
  <si>
    <t>NL</t>
  </si>
  <si>
    <t>MT</t>
  </si>
  <si>
    <t>MO</t>
  </si>
  <si>
    <t>MK</t>
  </si>
  <si>
    <t>LV</t>
  </si>
  <si>
    <t>LT</t>
  </si>
  <si>
    <t>KO</t>
  </si>
  <si>
    <t>IT</t>
  </si>
  <si>
    <t>IR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</si>
  <si>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</si>
  <si>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</si>
  <si>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</si>
  <si>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</si>
  <si>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</si>
  <si>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</si>
  <si>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</si>
  <si>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</si>
  <si>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</si>
  <si>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</si>
  <si>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</si>
  <si>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CS</t>
  </si>
  <si>
    <t>BL</t>
  </si>
  <si>
    <t>BG</t>
  </si>
  <si>
    <t>BA</t>
  </si>
  <si>
    <t>AT</t>
  </si>
  <si>
    <t>AL</t>
  </si>
  <si>
    <t>4. 2050 Agrofood residues</t>
  </si>
  <si>
    <t>2050 waste</t>
  </si>
  <si>
    <t>2050 forest</t>
  </si>
  <si>
    <t>2050 agricultural</t>
  </si>
  <si>
    <t>4. 2030 Agrofood residues</t>
  </si>
  <si>
    <t>3. 2030 waste</t>
  </si>
  <si>
    <t>2. 2030 forest</t>
  </si>
  <si>
    <t>1. 2030 agricultural</t>
  </si>
  <si>
    <t>Total 2050</t>
  </si>
  <si>
    <t>Total 2030</t>
  </si>
  <si>
    <t>5212</t>
  </si>
  <si>
    <t>5211</t>
  </si>
  <si>
    <t>5108</t>
  </si>
  <si>
    <t>5107</t>
  </si>
  <si>
    <t>5106</t>
  </si>
  <si>
    <t>5104</t>
  </si>
  <si>
    <t>5102</t>
  </si>
  <si>
    <t>5101</t>
  </si>
  <si>
    <t>4216</t>
  </si>
  <si>
    <t>4214</t>
  </si>
  <si>
    <t>4211</t>
  </si>
  <si>
    <t>4210</t>
  </si>
  <si>
    <t>4209</t>
  </si>
  <si>
    <t>4208</t>
  </si>
  <si>
    <t>4207</t>
  </si>
  <si>
    <t>4206</t>
  </si>
  <si>
    <t>4205</t>
  </si>
  <si>
    <t>4204</t>
  </si>
  <si>
    <t>4203</t>
  </si>
  <si>
    <t>4202</t>
  </si>
  <si>
    <t>4201</t>
  </si>
  <si>
    <t>4132</t>
  </si>
  <si>
    <t>4131</t>
  </si>
  <si>
    <t>4122</t>
  </si>
  <si>
    <t>4121</t>
  </si>
  <si>
    <t>4112</t>
  </si>
  <si>
    <t>4111</t>
  </si>
  <si>
    <t>2302</t>
  </si>
  <si>
    <t>2301</t>
  </si>
  <si>
    <t>2205</t>
  </si>
  <si>
    <t>2204</t>
  </si>
  <si>
    <t>2203</t>
  </si>
  <si>
    <t>2202</t>
  </si>
  <si>
    <t>2201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</si>
  <si>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</si>
  <si>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</si>
  <si>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</si>
  <si>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</si>
  <si>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</si>
  <si>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</si>
  <si>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</si>
  <si>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</si>
  <si>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</si>
  <si>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1220</t>
  </si>
  <si>
    <t>1200</t>
  </si>
  <si>
    <t>1100</t>
  </si>
  <si>
    <t>Row Labels</t>
  </si>
  <si>
    <t>2030 waste</t>
  </si>
  <si>
    <t>2030 forest</t>
  </si>
  <si>
    <t>2030 agricultural</t>
  </si>
  <si>
    <t>Post_cons_wood_non_hazard</t>
  </si>
  <si>
    <t>Post_cons_wood_hazard</t>
  </si>
  <si>
    <t>Waste_sewagesludge_org</t>
  </si>
  <si>
    <t>Waste_brown_grease</t>
  </si>
  <si>
    <t>Waste_UCO</t>
  </si>
  <si>
    <t>Waste_fruit_vegetable</t>
  </si>
  <si>
    <t>Organic_waste_mixed</t>
  </si>
  <si>
    <t>Organic_waste_sepa</t>
  </si>
  <si>
    <t>Sec_res_ani_fats12</t>
  </si>
  <si>
    <t>Sec_res_DUR</t>
  </si>
  <si>
    <t>Sec_res_Bakery</t>
  </si>
  <si>
    <t>Sec_res_ADRW</t>
  </si>
  <si>
    <t>Sec_res_LWP</t>
  </si>
  <si>
    <t>Sec_res_BSG</t>
  </si>
  <si>
    <t>Sec_res_olive_pommace</t>
  </si>
  <si>
    <t>Sec_res_sgb_bagasse</t>
  </si>
  <si>
    <t>Sec_res_olive_stones</t>
  </si>
  <si>
    <t>Sec_res_maize_cobs</t>
  </si>
  <si>
    <t>Sec_res_cereal_bran</t>
  </si>
  <si>
    <t>Sec_res_grapes</t>
  </si>
  <si>
    <t>Sec_res_rice_husk</t>
  </si>
  <si>
    <t>Sec_res_black_liquor</t>
  </si>
  <si>
    <t>Sec_res_bark</t>
  </si>
  <si>
    <t>Sec_res_other_wood</t>
  </si>
  <si>
    <t>Sec_res_semi_woodbp</t>
  </si>
  <si>
    <t>Sec_res_other_sawmill</t>
  </si>
  <si>
    <t>Sec_res_sawdust</t>
  </si>
  <si>
    <t>Animal_liquid_manure</t>
  </si>
  <si>
    <t>Animal_solid_manure</t>
  </si>
  <si>
    <t>Prim_res_damaged_crops</t>
  </si>
  <si>
    <t>Prim_res_perm_crops</t>
  </si>
  <si>
    <t>Prim_res_sugar_leaves</t>
  </si>
  <si>
    <t>Prim_res_other_straw</t>
  </si>
  <si>
    <t>Prim_res_cereal_straw</t>
  </si>
  <si>
    <t>Cover_crop_ligno</t>
  </si>
  <si>
    <t>Intermediate_crop_oil</t>
  </si>
  <si>
    <t>Intermediate_crop_Sorg</t>
  </si>
  <si>
    <t>Woody_crops_degraded_land</t>
  </si>
  <si>
    <t>Oil_crops_degraded_land</t>
  </si>
  <si>
    <t>Ligno_crops_degraded_land</t>
  </si>
  <si>
    <t>Woody_crops_unused_land</t>
  </si>
  <si>
    <t>Oil_crops_unused_land</t>
  </si>
  <si>
    <t>Ligno_crops_unused_land</t>
  </si>
  <si>
    <t>Prim_forest_stumps</t>
  </si>
  <si>
    <t>Prim_forest_residues</t>
  </si>
  <si>
    <t>2050</t>
  </si>
  <si>
    <t>2030 Total</t>
  </si>
  <si>
    <t>2030</t>
  </si>
  <si>
    <t>Column Labels</t>
  </si>
  <si>
    <t>Sum of medium</t>
  </si>
  <si>
    <t>High 2050</t>
  </si>
  <si>
    <t>High 2030</t>
  </si>
  <si>
    <t>Sum of high</t>
  </si>
  <si>
    <t xml:space="preserve">EU-27 </t>
  </si>
  <si>
    <t>All</t>
  </si>
  <si>
    <t>Medium 2030 [Mtoe/y]</t>
  </si>
  <si>
    <t>High 2050 [Mtoe/y]</t>
  </si>
  <si>
    <t>High 2030 [Mtoe/y]</t>
  </si>
  <si>
    <t>2101, 2104, 2103, 2106</t>
  </si>
  <si>
    <t>4201, 4202, 4203, 4204,  4206; 4207; 4208; 4209; 4210;4211; 4214, 4216</t>
  </si>
  <si>
    <t xml:space="preserve">Methanol </t>
  </si>
  <si>
    <t>Methanolysis from CO2 and green H2</t>
  </si>
  <si>
    <t>Aviation bio</t>
  </si>
  <si>
    <t>Methanation from CO2 and green H2</t>
  </si>
  <si>
    <t>[Mt/y]</t>
  </si>
  <si>
    <t xml:space="preserve">2030 high </t>
  </si>
  <si>
    <t>Feedstock availability</t>
  </si>
  <si>
    <t>2040 (with 2030 medium and 2050 high)</t>
  </si>
  <si>
    <t>Maritime-e 2040/ 2050</t>
  </si>
  <si>
    <t>Exiobase mapping</t>
  </si>
  <si>
    <t>Biodiesels</t>
  </si>
  <si>
    <t>products of Vegetable oils and fats</t>
  </si>
  <si>
    <t>Products of forestry, logging and related services (02)</t>
  </si>
  <si>
    <t>x</t>
  </si>
  <si>
    <t>Biogenic CO2 and Hydrogen from electrolysis</t>
  </si>
  <si>
    <t>e-biofuel feedstocks</t>
  </si>
  <si>
    <t>Syngas</t>
  </si>
  <si>
    <t>Intermediate Bioenergy carriers</t>
  </si>
  <si>
    <t>Cellulose pulp</t>
  </si>
  <si>
    <t>Ethanol, Methanol</t>
  </si>
  <si>
    <t>Lignin from Kraft pulp</t>
  </si>
  <si>
    <t>Biocrude</t>
  </si>
  <si>
    <t>5211; 5212</t>
  </si>
  <si>
    <t>Post consumer wood</t>
  </si>
  <si>
    <t>Biodegradable (industrial &amp; municipal) waste</t>
  </si>
  <si>
    <t>5101; 5102; 5104</t>
  </si>
  <si>
    <t>5106;  5107</t>
  </si>
  <si>
    <t>Brown grease, Animal fat</t>
  </si>
  <si>
    <t>Secondary residues from wood industries</t>
  </si>
  <si>
    <t>POME, Tall oil pitch</t>
  </si>
  <si>
    <t>Secondary residues of industry utilising agricultural products</t>
  </si>
  <si>
    <t>Maize cobs</t>
  </si>
  <si>
    <t>Crude glycerine</t>
  </si>
  <si>
    <t>4201; 4202; 4203; 4206; 4207; 4208; 4209; 4210; 4211; 4214</t>
  </si>
  <si>
    <t>Agricultural residues</t>
  </si>
  <si>
    <t>2204; 2205</t>
  </si>
  <si>
    <t>Straw, maize stover</t>
  </si>
  <si>
    <t>Microalgae</t>
  </si>
  <si>
    <t>Primary production of aquatic biomass</t>
  </si>
  <si>
    <t>1200; 1220</t>
  </si>
  <si>
    <t>Primary residues from forests</t>
  </si>
  <si>
    <t>Oil crops inter &amp; cover cropping</t>
  </si>
  <si>
    <t>Primary production of intermediate, cover crops</t>
  </si>
  <si>
    <t>2107; 2109</t>
  </si>
  <si>
    <t>2102; 2105</t>
  </si>
  <si>
    <t>Primary production of crops</t>
  </si>
  <si>
    <t>2101; 2103; 2104; 2106</t>
  </si>
  <si>
    <t>Lignocrops abandoned,  degraded and unused lands</t>
  </si>
  <si>
    <t>number of pathways using this feedstock</t>
  </si>
  <si>
    <t>14 Hydrothermal Liquefaction and Upgrading (FCC or HDO)</t>
  </si>
  <si>
    <t>13b Pyrolysis (and Thermo-Catalytic Reforming) and Upgrading (HDO)</t>
  </si>
  <si>
    <t>13a Pyrolysis and Co-processing in Refinery</t>
  </si>
  <si>
    <t>12 Gas Fermentation to Ethanol</t>
  </si>
  <si>
    <t>11a Gasification and FT-Synthesis</t>
  </si>
  <si>
    <t>9b Methanation from CO2 and green H2</t>
  </si>
  <si>
    <t>9a Gasification and Methanation</t>
  </si>
  <si>
    <t>8d Methanol from pulping</t>
  </si>
  <si>
    <t>8c Methanolysis from CO2 and green H2</t>
  </si>
  <si>
    <t>8b Methane reforming and Methanolysis</t>
  </si>
  <si>
    <t>8a Gasification and Methanolysis</t>
  </si>
  <si>
    <t>7 Biomethane from Anaerobic Digestion</t>
  </si>
  <si>
    <t>6 ATJ / MTJ</t>
  </si>
  <si>
    <t>5 Fermentation of Lignocellulosic Materials to Ethanol</t>
  </si>
  <si>
    <t>2 Hydrotreatment of Lipids</t>
  </si>
  <si>
    <t>1 Transesterification</t>
  </si>
  <si>
    <t>Feedstock CATEGORY</t>
  </si>
  <si>
    <t>Feedstock GROUP</t>
  </si>
  <si>
    <t>Maritime -bio</t>
  </si>
  <si>
    <t xml:space="preserve">Relevant from year </t>
  </si>
  <si>
    <t>2040/ 2050</t>
  </si>
  <si>
    <t xml:space="preserve">2040/ 2050 </t>
  </si>
  <si>
    <t>Number of VCs needing the feedstock</t>
  </si>
  <si>
    <t>Feedstock share 2030</t>
  </si>
  <si>
    <t>Feedstock share 2040/ 2050</t>
  </si>
  <si>
    <t>both</t>
  </si>
  <si>
    <t xml:space="preserve">both </t>
  </si>
  <si>
    <t>Potential quantity energy</t>
  </si>
  <si>
    <t>Other Liquid Biofuels</t>
  </si>
  <si>
    <t>Biogasoline + Biodiesels</t>
  </si>
  <si>
    <t>Oil seeds</t>
  </si>
  <si>
    <t>Sewage sludge for treatment: biogasification and land application</t>
  </si>
  <si>
    <t>Manure (biogas treatment)</t>
  </si>
  <si>
    <t>Vegetables, fruit, nuts OR food waste for biogasification??</t>
  </si>
  <si>
    <t>Crops nec</t>
  </si>
  <si>
    <t>Food waste for treatment: biogasification and land application</t>
  </si>
  <si>
    <t>Cereal grains nec OR crops nec</t>
  </si>
  <si>
    <t>High 2030 [GWh]</t>
  </si>
  <si>
    <t>combined factor = yield [toe product / t feedstock]</t>
  </si>
  <si>
    <t>LHV feedstock</t>
  </si>
  <si>
    <t>LHV fuel</t>
  </si>
  <si>
    <t>MJfuel/ MJfeedstock</t>
  </si>
  <si>
    <t>[MJ/kg]</t>
  </si>
  <si>
    <t>OVCG5</t>
  </si>
  <si>
    <t>???</t>
  </si>
  <si>
    <t>VC description</t>
  </si>
  <si>
    <t>WW WFET1 in Ethanol</t>
  </si>
  <si>
    <t>STET1 in Ethanol</t>
  </si>
  <si>
    <t>Synfuels: WxME1/BLME1</t>
  </si>
  <si>
    <t>OWLCG3</t>
  </si>
  <si>
    <t>WOFA in Biodiesels</t>
  </si>
  <si>
    <t>assumed to be the same as UCO</t>
  </si>
  <si>
    <t>HVO in Biodiesels</t>
  </si>
  <si>
    <t>OWCG1</t>
  </si>
  <si>
    <t>comments/ questions</t>
  </si>
  <si>
    <t>for all of these: unit: MJ/MJ(crops)*MJ/MJ/(Raw gas)</t>
  </si>
  <si>
    <t>assumed to be the same as straw</t>
  </si>
  <si>
    <t>Synfuels: WxME1/BLME0</t>
  </si>
  <si>
    <t>WWPG1 in Synfuels</t>
  </si>
  <si>
    <t>WWPD1 in Synfuels</t>
  </si>
  <si>
    <t>Prunings &amp; damaged crops</t>
  </si>
  <si>
    <t xml:space="preserve">Biomethane: WWCG2 </t>
  </si>
  <si>
    <t>Biomethane: WWCG3</t>
  </si>
  <si>
    <t>Biomethane: WWCG4</t>
  </si>
  <si>
    <t>Synfuels WSD1</t>
  </si>
  <si>
    <t>Synfuels WSD2</t>
  </si>
  <si>
    <t>Synfuels WSD3</t>
  </si>
  <si>
    <t>directly taken from original "conversion factor" sheet</t>
  </si>
  <si>
    <t>Advanced ethanol value * D11 from original conversion factor sheet (IVC 6 value)</t>
  </si>
  <si>
    <t>Look up source: Jones et al 2016</t>
  </si>
  <si>
    <t>Look up source: Jones et al 2017</t>
  </si>
  <si>
    <t>Atrax 1999</t>
  </si>
  <si>
    <t>Kreutz et al. 2008 (in percent: 45%)</t>
  </si>
  <si>
    <t>Look up source: Jones et al 2015 (62%)</t>
  </si>
  <si>
    <t>High 2050 [GWh]</t>
  </si>
  <si>
    <t>-</t>
  </si>
  <si>
    <t>Medium 2030 [GWh]</t>
  </si>
  <si>
    <t>Both</t>
  </si>
  <si>
    <t>Gesamttreibstoffbedarf [t]</t>
  </si>
  <si>
    <t>davon Diesel [t]</t>
  </si>
  <si>
    <t xml:space="preserve">davon Benzin [t] </t>
  </si>
  <si>
    <t>davon Kerosin [t]</t>
  </si>
  <si>
    <t>davon Schiffstreibstoff [t]</t>
  </si>
  <si>
    <t>Gesamttreibstoffbedarf [GJ]</t>
  </si>
  <si>
    <t>davon Diesel [GJ]</t>
  </si>
  <si>
    <t xml:space="preserve">davon Benzin [GJ] </t>
  </si>
  <si>
    <t>davon Kerosin [GJ]</t>
  </si>
  <si>
    <t>davon Schiffstreibstoff [GJ]</t>
  </si>
  <si>
    <t>Strombedarf [GJ]</t>
  </si>
  <si>
    <t>Gesamtenergiebedarf Verkehr [GJ]</t>
  </si>
  <si>
    <t>Zielvorgaben EU</t>
  </si>
  <si>
    <t>Share of renewable energy sources in transport (min)</t>
  </si>
  <si>
    <t>Of which conventional biofuels (max)</t>
  </si>
  <si>
    <t>Of which advanced biofuels plus RFNBOs (min)</t>
  </si>
  <si>
    <t>of which SAF (min)</t>
  </si>
  <si>
    <t>of which SMF (minus 6% GHG emissions)</t>
  </si>
  <si>
    <t>Of which electricity in EVs (gap)</t>
  </si>
  <si>
    <t>Calculated energy need [GJ]</t>
  </si>
  <si>
    <t>Renewable energy sources in transport (min)</t>
  </si>
  <si>
    <t>Conventional biofuels (max)</t>
  </si>
  <si>
    <t>Advanced biofuels plus RFNBOs (min)</t>
  </si>
  <si>
    <t xml:space="preserve"> SAF (min)</t>
  </si>
  <si>
    <t>SMF (minus 6% GHG emissions)</t>
  </si>
  <si>
    <t>Electricity in EVs (gap)</t>
  </si>
  <si>
    <t>Assumed shares of energy carriers (in road trasport)</t>
  </si>
  <si>
    <t>Share of diesel</t>
  </si>
  <si>
    <t>Share of gasoline</t>
  </si>
  <si>
    <t>Share of kerosene</t>
  </si>
  <si>
    <t>Share of HFO (heavy-fuel oil)</t>
  </si>
  <si>
    <t xml:space="preserve">Share of electricity </t>
  </si>
  <si>
    <t>Calculated energy needs [GJ] split by engine type</t>
  </si>
  <si>
    <t>Biodiesel - conventional</t>
  </si>
  <si>
    <t>Biodiesel - advanced</t>
  </si>
  <si>
    <t xml:space="preserve">Biogasoline - conventional </t>
  </si>
  <si>
    <t>Biogasoline - advanced</t>
  </si>
  <si>
    <t>Bio-HFO (heavy-fuel oil)</t>
  </si>
  <si>
    <t xml:space="preserve">Electricity </t>
  </si>
  <si>
    <t>Type of fuel</t>
  </si>
  <si>
    <t>Availability 2030 medium [GWh]</t>
  </si>
  <si>
    <t>Availability 2030 medium [GJ]</t>
  </si>
  <si>
    <t>Availability 2030 high [GJ]</t>
  </si>
  <si>
    <t>kaltschmitt 2001 (in percentage 66,4%)</t>
  </si>
  <si>
    <t>Availability 2030 high [GWh]</t>
  </si>
  <si>
    <t>EU</t>
  </si>
  <si>
    <t>Strombedarf [Mtoe]</t>
  </si>
  <si>
    <t>Electricty consumption</t>
  </si>
  <si>
    <t>RFNBO</t>
  </si>
  <si>
    <t>Conventional biofuels</t>
  </si>
  <si>
    <t>Avanced BF</t>
  </si>
  <si>
    <t>Annex 1 Studie 1: FF55 Scneario, 2030</t>
  </si>
  <si>
    <t>Annex 9, Part B</t>
  </si>
  <si>
    <t>Source: Biokraftstoff Bericht + UBA WEM Scnenario</t>
  </si>
  <si>
    <t xml:space="preserve">Source: EU reference scenario 2020, Annex 1 Study 1, </t>
  </si>
  <si>
    <t>In shares</t>
  </si>
  <si>
    <t>Absolute  Mtoe</t>
  </si>
  <si>
    <t>diesel</t>
  </si>
  <si>
    <t>Total energy consumption in transport by ffuel</t>
  </si>
  <si>
    <t>Electricity</t>
  </si>
  <si>
    <t>Biofuel and Biogas</t>
  </si>
  <si>
    <t>Natural Gas</t>
  </si>
  <si>
    <t>LPG (Liquid Petroleum Gas)</t>
  </si>
  <si>
    <t>davon fossil</t>
  </si>
  <si>
    <t>davon Strom</t>
  </si>
  <si>
    <t xml:space="preserve">davon RFNBO </t>
  </si>
  <si>
    <t>TOTAL</t>
  </si>
  <si>
    <t>Assumed shares of energy carriers (in road trasport, HDV)</t>
  </si>
  <si>
    <t>Share of gaseous</t>
  </si>
  <si>
    <t>share of plug-in-hybrid</t>
  </si>
  <si>
    <t>Share of combustion engines</t>
  </si>
  <si>
    <t>of which diesel share</t>
  </si>
  <si>
    <t>of which gasoline share</t>
  </si>
  <si>
    <t>9% of vehicles, i.e. ca 9 Mio Evs</t>
  </si>
  <si>
    <t xml:space="preserve">of which diesel </t>
  </si>
  <si>
    <t xml:space="preserve">of which gasoline </t>
  </si>
  <si>
    <t>EU Reference Scenario page 77: share of Diesel vs Gasoline on overall transport</t>
  </si>
  <si>
    <t>passenger car</t>
  </si>
  <si>
    <t>light duty vehciles</t>
  </si>
  <si>
    <t>heavy duty vehicles</t>
  </si>
  <si>
    <t>mopeds and motorcycles</t>
  </si>
  <si>
    <t>Treibstoffbedarf nach vehicle type [GJ]</t>
  </si>
  <si>
    <t>Shares of energy carriers (in road trasport, LDV)</t>
  </si>
  <si>
    <t>Fossil fuels</t>
  </si>
  <si>
    <t>of which diesel</t>
  </si>
  <si>
    <t>of which gasoline</t>
  </si>
  <si>
    <t>of which gas oil</t>
  </si>
  <si>
    <t>of  which LPG</t>
  </si>
  <si>
    <t>of which CNG</t>
  </si>
  <si>
    <t>of which LNG</t>
  </si>
  <si>
    <t>Biofuels</t>
  </si>
  <si>
    <t>Bio-ETBE</t>
  </si>
  <si>
    <t>Other</t>
  </si>
  <si>
    <t>Substitutes what</t>
  </si>
  <si>
    <t xml:space="preserve">Erdgas </t>
  </si>
  <si>
    <t>HFO</t>
  </si>
  <si>
    <t>Total quantities 2050 high</t>
  </si>
  <si>
    <t>Total quantities 2030 medium and high</t>
  </si>
  <si>
    <t xml:space="preserve">heavy fuel oil </t>
  </si>
  <si>
    <t xml:space="preserve">Biokerosene </t>
  </si>
  <si>
    <t xml:space="preserve">heavy fuel oil / road </t>
  </si>
  <si>
    <t>Bio-HFO</t>
  </si>
  <si>
    <t>Bio-Kerosene</t>
  </si>
  <si>
    <t>Biodiesel + Biogasoline</t>
  </si>
  <si>
    <t>Diesel/ gasoline</t>
  </si>
  <si>
    <t xml:space="preserve">Gas </t>
  </si>
  <si>
    <t>Heavy fuel oil</t>
  </si>
  <si>
    <t>Fossil gas</t>
  </si>
  <si>
    <t>Availability  2030 medium [Mtoe/y]</t>
  </si>
  <si>
    <t xml:space="preserve">Road </t>
  </si>
  <si>
    <t>Availability 2030 high [Mtoe/y]</t>
  </si>
  <si>
    <t>road</t>
  </si>
  <si>
    <t>shipping</t>
  </si>
  <si>
    <t>aviation</t>
  </si>
  <si>
    <t>Conventional</t>
  </si>
  <si>
    <t xml:space="preserve">Annex 9, Part A (advanced) </t>
  </si>
  <si>
    <t>Gesamt</t>
  </si>
  <si>
    <t xml:space="preserve">rail (missing in source) </t>
  </si>
  <si>
    <t xml:space="preserve">notes </t>
  </si>
  <si>
    <t>in Study 1: rail and maritime together will require 2,9</t>
  </si>
  <si>
    <t>of which Part A</t>
  </si>
  <si>
    <t>of which Part B</t>
  </si>
  <si>
    <t>in Study 1, p. 22: equal contribution of waste fats vs AF to both maritime and aviation</t>
  </si>
  <si>
    <t>Advanced  Part A and B</t>
  </si>
  <si>
    <t>Road-e</t>
  </si>
  <si>
    <t>Source: UBA Bericht 2025</t>
  </si>
  <si>
    <t>Shipping excluded</t>
  </si>
  <si>
    <t>PJ</t>
  </si>
  <si>
    <t>All energy sources, i.e. final energy demand</t>
  </si>
  <si>
    <t>energy from biomass</t>
  </si>
  <si>
    <t>GJ</t>
  </si>
  <si>
    <t>GWh</t>
  </si>
  <si>
    <t>from which biomethane</t>
  </si>
  <si>
    <t>from which liquid biofuels</t>
  </si>
  <si>
    <t>only liquid biofuels</t>
  </si>
  <si>
    <t>5 Advanced ethanol</t>
  </si>
  <si>
    <t>medium [Mtoe/y</t>
  </si>
  <si>
    <t>high [Mtoe/y]</t>
  </si>
  <si>
    <t>high [GWh]</t>
  </si>
  <si>
    <t>medium [GWh]</t>
  </si>
  <si>
    <t>Advanced Ethenol</t>
  </si>
  <si>
    <t>Can I assume this to be same as FPBO (normal quality)?</t>
  </si>
  <si>
    <t>Advanced biodiesel</t>
  </si>
  <si>
    <t>Advanced  biogasoline</t>
  </si>
  <si>
    <t>Advanced biogas</t>
  </si>
  <si>
    <t>SPLIT into biogasoline and biodiesel !</t>
  </si>
  <si>
    <t>of which conventional biofuels</t>
  </si>
  <si>
    <t>of which advanced biofuels</t>
  </si>
  <si>
    <t>of which advanced biodiesel</t>
  </si>
  <si>
    <t>oh which advanced  biogasoline</t>
  </si>
  <si>
    <t>of which biofuels produced from Annex IX Part B feedstocks</t>
  </si>
  <si>
    <t xml:space="preserve">Taking diesel and gasoline as a total (100%), individual share of both: </t>
  </si>
  <si>
    <t xml:space="preserve">Rail </t>
  </si>
  <si>
    <t>Missing</t>
  </si>
  <si>
    <t>Share of Battery electric</t>
  </si>
  <si>
    <t xml:space="preserve">Share of battery electric </t>
  </si>
  <si>
    <t>Assumed shares of energy carriers (in road trasport, LDV) [%]</t>
  </si>
  <si>
    <t>Assumed shares of energy carriers (in road trasport, HDV) [%]</t>
  </si>
  <si>
    <t>Gesamttreibstoffbedarf [Mtoe] 2030 under FF55_RED scenario</t>
  </si>
  <si>
    <t xml:space="preserve">Gesamtenergiebedarf  2023 road transport and non-road mobile machinery </t>
  </si>
  <si>
    <t xml:space="preserve">Total </t>
  </si>
  <si>
    <t>do this same split but ONLY for Annex Part A</t>
  </si>
  <si>
    <t>Fuel needed</t>
  </si>
  <si>
    <t>Advanced biodiesel &amp; biogasoline</t>
  </si>
  <si>
    <t>Advanced biokerosene</t>
  </si>
  <si>
    <t>Advanced bio-HFO</t>
  </si>
  <si>
    <t>Advanced ??</t>
  </si>
  <si>
    <t>Of which advanced biofuels (annex IX Part A) only (max)</t>
  </si>
  <si>
    <t>Of which RFNBOs only (min)</t>
  </si>
  <si>
    <t>Advanced Part A and B</t>
  </si>
  <si>
    <t>Austria 2030 (WAM Scenario) - NEEDED</t>
  </si>
  <si>
    <t>EU - 2030 - Availability</t>
  </si>
  <si>
    <t>EU - 2030 - NEEDED</t>
  </si>
  <si>
    <t>All Annex IX</t>
  </si>
  <si>
    <t>All Annex IX Part A</t>
  </si>
  <si>
    <t>Transport overall</t>
  </si>
  <si>
    <t>Source: Annex 5 Study 1, p. 36</t>
  </si>
  <si>
    <t xml:space="preserve">All fuel demand (also fossil) in FF55 RED scenario 2030 </t>
  </si>
  <si>
    <t>Shipping</t>
  </si>
  <si>
    <t>of which biogasoline</t>
  </si>
  <si>
    <t>Source: Annex 1 Study 1, . 37</t>
  </si>
  <si>
    <t>CAREFUL: that is probably not applicable to the road sector only</t>
  </si>
  <si>
    <t>Careful: this is NOT taking into account the FF55 REDII poliices, it only reflects policies adopted by the end of 2019</t>
  </si>
  <si>
    <t>of which biodiesel</t>
  </si>
  <si>
    <t>of which biokerosene</t>
  </si>
  <si>
    <t>of which conventional</t>
  </si>
  <si>
    <t>of which advanced Part A</t>
  </si>
  <si>
    <t>of which advanced Part B</t>
  </si>
  <si>
    <t>of which imports</t>
  </si>
  <si>
    <t>of which biogas</t>
  </si>
  <si>
    <t>of which bio-HFO</t>
  </si>
  <si>
    <t>Gasification + FT, ATJ, SAF imported</t>
  </si>
  <si>
    <t>Pyrolysis shipping imported, gasification + methanol</t>
  </si>
  <si>
    <t>of which in road</t>
  </si>
  <si>
    <t>of which in  shipping</t>
  </si>
  <si>
    <t>totals: (all biofuels taken together, demand 2030)</t>
  </si>
  <si>
    <t>of which imports (Annex 9 Part A)</t>
  </si>
  <si>
    <t>Annex  9, Part B</t>
  </si>
  <si>
    <t>of which in aviation</t>
  </si>
  <si>
    <t>of which in shipping</t>
  </si>
  <si>
    <t>Availability 2030 high [Mtoe]</t>
  </si>
  <si>
    <t>??</t>
  </si>
  <si>
    <t>Annex 5 p. 24</t>
  </si>
  <si>
    <t>CAREFUL: icnludes intermediate oil crops, which no longer fall under Part A excep when used in aviation</t>
  </si>
  <si>
    <t>TOTAL advanced</t>
  </si>
  <si>
    <t>Production capacities 2030 (from above)</t>
  </si>
  <si>
    <t>assumed to be all Annex IX Part A to help achieve the target</t>
  </si>
  <si>
    <t xml:space="preserve">GAP </t>
  </si>
  <si>
    <t>of which FAME</t>
  </si>
  <si>
    <t>of which HVO</t>
  </si>
  <si>
    <t>of which RENFUEL</t>
  </si>
  <si>
    <t>of which Pyrolysis</t>
  </si>
  <si>
    <t>of which HTL</t>
  </si>
  <si>
    <t>of which imported FAME</t>
  </si>
  <si>
    <t>of which imported  HVO</t>
  </si>
  <si>
    <t>Advanced biogasoline</t>
  </si>
  <si>
    <t>of which advanced ethanol</t>
  </si>
  <si>
    <t>of which pyrolysis</t>
  </si>
  <si>
    <t>of which biomethane from AD</t>
  </si>
  <si>
    <t>of which Gasification + SNG</t>
  </si>
  <si>
    <t>of which imported advanced ethanol</t>
  </si>
  <si>
    <t>of which ATJ</t>
  </si>
  <si>
    <t>of which Gasification  + FT</t>
  </si>
  <si>
    <t>of which imported SAF</t>
  </si>
  <si>
    <t>of which imported (shipping)</t>
  </si>
  <si>
    <t>?</t>
  </si>
  <si>
    <t>of which HEFA</t>
  </si>
  <si>
    <t>Hydrotreatment of intermediate crops taken half, since they are allowed in SAF but not in road (HV)O)</t>
  </si>
  <si>
    <t>To do: not all biodiesel is, according to Annex 5 o. 31, consumed in road, but also partly in aviation and shipping --&gt; adjust?</t>
  </si>
  <si>
    <t>Biofuels  - all (messy version, below is better)</t>
  </si>
  <si>
    <t>of which Gasification + methanol (IVC 8a)</t>
  </si>
  <si>
    <t>Availble to the transport sector</t>
  </si>
  <si>
    <t>4,5% of total energy demand</t>
  </si>
  <si>
    <t>CHECK (0,4 max)</t>
  </si>
  <si>
    <t xml:space="preserve">can that even be Annex IX Part A? </t>
  </si>
  <si>
    <t>Growth foreseen of each IVC</t>
  </si>
  <si>
    <t>Advanced   biogasoline</t>
  </si>
  <si>
    <t>of which IVC 5</t>
  </si>
  <si>
    <t>of which IVC 13a</t>
  </si>
  <si>
    <t>MARKET DEMAND 2030 Advanced  biofuels only - in FF55_RED (Import) Scenario (Annex 5 p. 59) --&gt; Better version!</t>
  </si>
  <si>
    <t xml:space="preserve">of which FAME (intermediate crops) </t>
  </si>
  <si>
    <t xml:space="preserve">of which HVO (intermediate crops) </t>
  </si>
  <si>
    <t>NOT advanced (anymore), but counts towards market demand</t>
  </si>
  <si>
    <t>Austria market demand 2030</t>
  </si>
  <si>
    <t>passt nicht!</t>
  </si>
  <si>
    <t>AUSTRIA - 2030 - Availability based on feedstocks only</t>
  </si>
  <si>
    <t>Austria - Availability cmc scenario</t>
  </si>
  <si>
    <t xml:space="preserve">Road, aviation., maritim </t>
  </si>
  <si>
    <t>Diesel/ Benzin, Kerosene, HFO</t>
  </si>
  <si>
    <t>(taken from new  excel file from Dina: "additial conversion factors")</t>
  </si>
  <si>
    <t>Tall oil</t>
  </si>
  <si>
    <t>biocrude (Intermediate Bioenergy carrier)</t>
  </si>
  <si>
    <t xml:space="preserve">FPBO (Intermediate bioenergy carrier) </t>
  </si>
  <si>
    <t>12 ATJ-SPK</t>
  </si>
  <si>
    <t>Biocrude (Intermediate Bioenergy carrier)</t>
  </si>
  <si>
    <t>t/toe</t>
  </si>
  <si>
    <t>Surplus from IVC 8a, 9a, 11a / conversion factor  (Syngas to Methanol/ Methane/ FT-SPK)</t>
  </si>
  <si>
    <t>ADAPT</t>
  </si>
  <si>
    <t>e-Methane (RFNBO)</t>
  </si>
  <si>
    <t>e-Methanol (RFNBO)</t>
  </si>
  <si>
    <t>In scenario 1</t>
  </si>
  <si>
    <t>In scenario 2</t>
  </si>
  <si>
    <t>In scenario 3</t>
  </si>
  <si>
    <t xml:space="preserve"> Biodiesel</t>
  </si>
  <si>
    <t xml:space="preserve"> Diesel</t>
  </si>
  <si>
    <t>biodiesel</t>
  </si>
  <si>
    <t>2035 (with 2030 medium and 2050 high)</t>
  </si>
  <si>
    <t>2035 (with both 2030 and 2050 high)</t>
  </si>
  <si>
    <t xml:space="preserve">13b </t>
  </si>
  <si>
    <t>´x</t>
  </si>
  <si>
    <t xml:space="preserve">Biogasoline </t>
  </si>
  <si>
    <t>dependnig on the scneario, the feedtsock needs to be split differently</t>
  </si>
  <si>
    <t xml:space="preserve">2040 (with both 2030 and 2050 high) </t>
  </si>
  <si>
    <t>Feedst share 2030</t>
  </si>
  <si>
    <t>Feedst share 2040/ 2050</t>
  </si>
  <si>
    <t>how much feedstock actually available for this IVC</t>
  </si>
  <si>
    <t>Pyrolysis (and Thermo-Catalytic Reforming) and Upgrading (gasoline)</t>
  </si>
  <si>
    <t>Pyrolysis (and Thermo-Catalytic Reforming) and Upgrading (HFO)</t>
  </si>
  <si>
    <t>Correction</t>
  </si>
  <si>
    <t>Corrected; see Mail Dina 28.07.</t>
  </si>
  <si>
    <t>Biomethane (road)</t>
  </si>
  <si>
    <t xml:space="preserve">for maritime/ aviation: </t>
  </si>
  <si>
    <t>S1 2030</t>
  </si>
  <si>
    <t>S2 2030</t>
  </si>
  <si>
    <t>S3 2030</t>
  </si>
  <si>
    <t>not used</t>
  </si>
  <si>
    <t>Koeffizient: FPBO-Bedarf pro 1 Mtoe HVO-Produktion (2030)</t>
  </si>
  <si>
    <t>Alle Werte verlinkt – keine Änderung in den Quelltabellen</t>
  </si>
  <si>
    <t>Kette</t>
  </si>
  <si>
    <t>IVC 13a (Pyrolyse) → FPBO → IVC 2 (Hydrotreatment) → HVO</t>
  </si>
  <si>
    <t>Inputs (verlinkt)</t>
  </si>
  <si>
    <t>Wert</t>
  </si>
  <si>
    <t>Einheit</t>
  </si>
  <si>
    <t>Quelle</t>
  </si>
  <si>
    <t>FPBO-Verfügbarkeit 2030 medium (Output 13a)</t>
  </si>
  <si>
    <t>Mt/a</t>
  </si>
  <si>
    <t>Availabilities EU Austria'!AG119</t>
  </si>
  <si>
    <t>Energieausbeute FPBO → HVO (Massenbasis)</t>
  </si>
  <si>
    <t>t HVO / t FPBO</t>
  </si>
  <si>
    <t>Conversion factors selected IV '!G10</t>
  </si>
  <si>
    <t>Kombinierter Faktor (Yield)</t>
  </si>
  <si>
    <t>toe HVO / t FPBO</t>
  </si>
  <si>
    <t>Conversion factors selected IV '!L10</t>
  </si>
  <si>
    <t>Allokationsanteil FPBO an VC 2 / HVO</t>
  </si>
  <si>
    <t>–</t>
  </si>
  <si>
    <t>Availabilities EU Austria'!AE14</t>
  </si>
  <si>
    <t>LHV FPBO</t>
  </si>
  <si>
    <t>Conversion factors selected IV '!I10</t>
  </si>
  <si>
    <t>LHV 1 toe</t>
  </si>
  <si>
    <t>GJ/t</t>
  </si>
  <si>
    <t>Konstante (1 toe = 41,868 GJ)</t>
  </si>
  <si>
    <t>Koeffizient</t>
  </si>
  <si>
    <t>Formel / Bedeutung</t>
  </si>
  <si>
    <t>FPBO-Bedarf pro 1 Mtoe HVO (technisch)</t>
  </si>
  <si>
    <t>Mt FPBO / Mtoe HVO</t>
  </si>
  <si>
    <t>= 1 / Yield (L10)</t>
  </si>
  <si>
    <t>dito in Energieeinheiten</t>
  </si>
  <si>
    <t>Mtoe FPBO / Mtoe HVO</t>
  </si>
  <si>
    <t>= Mt FPBO x LHV / 41,868</t>
  </si>
  <si>
    <t>Energetische Umwandlungseffizienz</t>
  </si>
  <si>
    <t>MJ HVO / MJ FPBO</t>
  </si>
  <si>
    <t>= 1 / Energiebedarf</t>
  </si>
  <si>
    <t>Benötigter FPBO-Pool inkl. Allokation (12,5 %)</t>
  </si>
  <si>
    <t>Mt FPBO-Pool / Mtoe HVO</t>
  </si>
  <si>
    <t>= 1 / (Yield x Allokationsanteil)</t>
  </si>
  <si>
    <t>Gegenprobe mit den Werten aus der Tabelle (2030 medium)</t>
  </si>
  <si>
    <t>Tatsächlich eingesetztes FPBO (AB14)</t>
  </si>
  <si>
    <t>Daraus resultierendes HVO (AG14)</t>
  </si>
  <si>
    <t>Mtoe/a</t>
  </si>
  <si>
    <t>Verhältnis (muss B15 entsprechen)</t>
  </si>
  <si>
    <t>Abweichung</t>
  </si>
  <si>
    <t>Hinweis</t>
  </si>
  <si>
    <t>Der Yield in 'Conversion factors selected IV '!G10 enthält bereits eine Division durch 2 (0,78 x 17,36/44 / 2). Ohne diesen Abschlag wäre der Koeffizient 3,09 Mt FPBO / Mtoe HVO. Der 50/50-Split HVO/HEFA ist zusätzlich über AE14 abgebildet – bitte prüfen, ob der /2 in G10 gewollt ist oder eine Doppelzählung darstellt.</t>
  </si>
  <si>
    <t>Beispielrechnung: HVO-Menge 2030 medium (Vorwärtsrechnung)</t>
  </si>
  <si>
    <t>Schritt</t>
  </si>
  <si>
    <t>Rechnung / Quelle</t>
  </si>
  <si>
    <t>1. FPBO aus IVC 13a (Output Pyrolyse), 2030 medium</t>
  </si>
  <si>
    <t>= B7 (AG119)</t>
  </si>
  <si>
    <t>2. davon für VC 2 / HVO allokiert</t>
  </si>
  <si>
    <t>= Schritt 1 x 12,5 % (AE14)</t>
  </si>
  <si>
    <t>3. HVO aus FPBO</t>
  </si>
  <si>
    <t>= Schritt 2 x Yield 0,1617 (L10)</t>
  </si>
  <si>
    <t xml:space="preserve">    Kontrolle: Schritt 2 / Koeffizient 6,18</t>
  </si>
  <si>
    <t>= B33 / B15 – identisch zu Schritt 3</t>
  </si>
  <si>
    <t xml:space="preserve">    Vergleich mit Tabelle (AG14)</t>
  </si>
  <si>
    <t>Availabilities EU Austria'!AG14</t>
  </si>
  <si>
    <t>4. Einordnung: gesamte HVO-Produktion 2030 medium</t>
  </si>
  <si>
    <t>Tall oil (Zeile 13)</t>
  </si>
  <si>
    <t>FPBO (Zeile 14) – Schritt 3</t>
  </si>
  <si>
    <t>Biocrude (Zeile 15)</t>
  </si>
  <si>
    <t>HVO gesamt 2030 medium</t>
  </si>
  <si>
    <t>Anteil FPBO an HVO 2030</t>
  </si>
  <si>
    <t>= FPBO-Beitrag / HVO gesamt</t>
  </si>
  <si>
    <t>5. Rückwärtsrechnung mit dem Koeffizienten</t>
  </si>
  <si>
    <t>Ziel-HVO-Menge (frei wählbar)</t>
  </si>
  <si>
    <t>Input – hier änderbar</t>
  </si>
  <si>
    <t>benötigtes FPBO (technisch)</t>
  </si>
  <si>
    <t>= Ziel x 6,18</t>
  </si>
  <si>
    <t>benötigter FPBO-Pool aus 13a (inkl. 12,5 % Allokation)</t>
  </si>
  <si>
    <t>= Ziel x 49,47</t>
  </si>
  <si>
    <t>davon ausgehend erreichbar mit 13a-Output 2030 medium</t>
  </si>
  <si>
    <t>= vorhandener FPBO-Pool / benötigter Pool</t>
  </si>
  <si>
    <t>= N13 x AA13 x AE13 (0,40 Mt x 0,650 x 50 %)</t>
  </si>
  <si>
    <t>= N14 x AA14 x AE14 (5,19 Mt x 0,162 x 12,5 %)</t>
  </si>
  <si>
    <t>= N15 x AA15 x AE15 (0,76 Mt x 0,162 x 50 %)</t>
  </si>
  <si>
    <t>AG10:</t>
  </si>
  <si>
    <t>S1</t>
  </si>
  <si>
    <t>Scenario 1</t>
  </si>
  <si>
    <t>S2</t>
  </si>
  <si>
    <t>S3</t>
  </si>
  <si>
    <t>6. FPBO-Bedarf für eine Ziel-Produktion von HVO und HEFA</t>
  </si>
  <si>
    <t>Produkt</t>
  </si>
  <si>
    <t>Ziel-Menge</t>
  </si>
  <si>
    <t>FPBO-Bedarf</t>
  </si>
  <si>
    <t>Quelle Yield</t>
  </si>
  <si>
    <t>toe/t FPBO</t>
  </si>
  <si>
    <t>Mt FPBO / Mtoe</t>
  </si>
  <si>
    <t>HVO (VC 2, Zeile 14)</t>
  </si>
  <si>
    <t>HEFA (VC 2, Zeile 24)</t>
  </si>
  <si>
    <t>Conversion factors selected IV '!L15</t>
  </si>
  <si>
    <t>FPBO-Bedarf gesamt</t>
  </si>
  <si>
    <t>Abgleich mit der FPBO-Verfügbarkeit</t>
  </si>
  <si>
    <t>FPBO aus IVC 13a, 2030 medium</t>
  </si>
  <si>
    <t>FPBO aus IVC 13a, 2030 high</t>
  </si>
  <si>
    <t>Deckungsgrad medium</t>
  </si>
  <si>
    <t>Deckungsgrad high</t>
  </si>
  <si>
    <t>Lücke gegenüber medium</t>
  </si>
  <si>
    <t>Hinweis: Berechnung rein technisch (Yield). Die Allokationsanteile AE14 / AE24 (je 12,5 %) sind hier NICHT angewendet – sie regeln in der Tabelle nur, welcher Teil des FPBO-Pools auf diese Pfade entfaellt.</t>
  </si>
  <si>
    <t>7. Variante: Tall oil und Biocrude mitgerechnet – FPBO nur als Restbedarf</t>
  </si>
  <si>
    <t>Beiträge der anderen Feedstocks laut Tabelle (2030 medium, Mtoe/a)</t>
  </si>
  <si>
    <t>Position</t>
  </si>
  <si>
    <t>= Abschnitt 6 (B69 / B70)</t>
  </si>
  <si>
    <t>AG13 / AG23</t>
  </si>
  <si>
    <t>AG15 / AG25</t>
  </si>
  <si>
    <t>Ölpflanzen (nur HEFA in AG16 enthalten)</t>
  </si>
  <si>
    <t>AG21; in AG10 (HVO) nicht enthalten</t>
  </si>
  <si>
    <t>Summe andere Feedstocks</t>
  </si>
  <si>
    <t>Restbedarf, der aus FPBO kommen muss</t>
  </si>
  <si>
    <t>= Ziel – andere Feedstocks (min. 0)</t>
  </si>
  <si>
    <t>Mt FPBO / Mtoe (aus Abschnitt 6)</t>
  </si>
  <si>
    <t>FPBO-Bedarf gesamt (Variante 7)</t>
  </si>
  <si>
    <t>Deckungsgrad medium (Variante 7)</t>
  </si>
  <si>
    <t>Deckungsgrad high (Variante 7)</t>
  </si>
  <si>
    <t>Hinweis: Tall oil und Biocrude sind in der Tabelle mengenmäßig begrenzt (N13/N15 bzw. N23/N25) und können daher nur die hier gezeigten Beiträge liefern. Bei HVO summiert AG10 nur Tall oil + FPBO + Biocrude; Ölpflanzen und UCO sind dort nicht enthalten (bei HEFA umfasst AG16 zusätzlich Ölpflanzen, aber kein UCO).</t>
  </si>
  <si>
    <t>IVC Overview – EU-27 and Austria</t>
  </si>
  <si>
    <t>Consolidated from 'Availabilities EU Austria'. Multiple products, sectors and feedstocks are combined within each region/IVC.</t>
  </si>
  <si>
    <t>Region</t>
  </si>
  <si>
    <t>IVC No.</t>
  </si>
  <si>
    <t>IVC Name</t>
  </si>
  <si>
    <t>Feedstocks Used</t>
  </si>
  <si>
    <t>Resulting Product</t>
  </si>
  <si>
    <t>Sector Destination</t>
  </si>
  <si>
    <t>Oil crops abandoned, degraded, intercropping; UCO, brown grease, animal fat</t>
  </si>
  <si>
    <t>Oil crops abandoned, degraded, intercropping; UCO, brown grease, animal fat; Tall oil; FPBO (Intermediate bioenergy carrier); biocrude (Intermediate Bioenergy carrier)</t>
  </si>
  <si>
    <t>HVO; HEFA</t>
  </si>
  <si>
    <t>Road-bio; Aviation-bio</t>
  </si>
  <si>
    <t>Lignin Boost of Fatty Acids and Co-processing in Refinery</t>
  </si>
  <si>
    <t>Not specified</t>
  </si>
  <si>
    <t>Ethanol; ATJ-SPK</t>
  </si>
  <si>
    <t>Road-bio 2030; Aviation-bio 2040/2050</t>
  </si>
  <si>
    <t>Oil crops abandoned, degraded, intercropping; UCO, brown grease, animal fat; Tall oil; FPBO (Intermediate bioenergy carrier); Biocrude (Intermediate Bioenergy carrier); Straw; Lignocrops abandoned degraded; Lignocrops inter &amp; cover cropping; Secondary forest residues</t>
  </si>
  <si>
    <t>Advanced ethanol; ATJ-SPK</t>
  </si>
  <si>
    <t>Road-bio 2030; Road-bio; Aviation-bio 2040/2050</t>
  </si>
  <si>
    <t>Prunings &amp; damaged crops (olive stones excluded); Lignocrops abandoned degraded; Lignocrops inter &amp; cover cropping; Agroprocessing residues; Straw; Manure; Sewage sludge; Biowastes (post consumer woods excluded); Intermediate Bioenergy carrier (crude glycerine)</t>
  </si>
  <si>
    <t>Straw; Prunings &amp; damaged crops; Sewage sludge; Agroprocessing residues - maize cobs; Lignocrops abandoned degraded; Lignocrops inter &amp; cover cropping; Primary forestry residues; Secondary forest residues; Biowastes - Post consumer wood; Intermediate Bioenergy carrier (FPBO with lower quality)</t>
  </si>
  <si>
    <t>use the surplus from 7 here! (only 7, since 9a already used for 12); Intermediate Bioenergy carrier (biomethane)</t>
  </si>
  <si>
    <t>Straw; Prunings &amp; damaged crops; Sewage sludge; Agroprocessing residues - maize cobs; Lignocrops abandoned degraded; Lignocrops inter &amp; cover cropping; Primary forestry residues; Secondary forest residues; Biowastes - Post consumer wood; Intermediate Bioenergy carriers (FPBO with lower quality )</t>
  </si>
  <si>
    <t>Biodiesel; FT-SPK</t>
  </si>
  <si>
    <t>Surplus from IVC 8a, 9a, 11a / conversion factor (Syngas to Methanol/ Methane/ FT-SPK); Intermediate Bioenergy carriers (Syngas)</t>
  </si>
  <si>
    <t>Straw; Prunings &amp; damaged crops; Agroprocessing residues - maize cobs; Lignocrops abandoned degraded; Lignocrops inter &amp; cover cropping; Primary forestry residues; Secondary forest residues; Biowastes - Post consumer wood</t>
  </si>
  <si>
    <t>Road, aviation., maritim</t>
  </si>
  <si>
    <t>Pyrolysis (and Thermo-Catalytic Reforming) and Upgrading (gasoline) / Pyrolysis (and Thermo-Catalytic Reforming) and Upgrading (HFO)</t>
  </si>
  <si>
    <t>Biogasoline; Bio-heavy fuel oil</t>
  </si>
  <si>
    <t>Road-bio; Maritime-bio 2040/2050</t>
  </si>
  <si>
    <t>Hydrothermal Liquefaction and Upgrading in Refinery (FCC or HDO)</t>
  </si>
  <si>
    <t>Diesel; Bio-kerosene; Bio-heavy fuel oil</t>
  </si>
  <si>
    <t>Road-bio 2030; Aviation-bio 2040/2050; Maritime-bio 2040/2050</t>
  </si>
  <si>
    <t>Oil crops abandoned, degraded, intercropping; UCO, brown grease, animal fat; POME, tall oil pitch (no data available on potential availability); Intermediate Bioenergy carriers (biocrude, FPBO)</t>
  </si>
  <si>
    <t>Road-bio; Aviation bio</t>
  </si>
  <si>
    <t>Straw; Lignocrops abandoned degraded; Lignocrops inter &amp; cover cropping; Secondary forest residues</t>
  </si>
  <si>
    <t>Advanced Ethenol; ATJ-SPK</t>
  </si>
  <si>
    <t>Road-bio; Aviation-bio 2040/2050</t>
  </si>
  <si>
    <t>Prunings &amp; damaged crops (olive stones excluded); Lignocrops abandoned degraded; Lignocrops inter &amp; cover cropping; Agroprocessing residues; Straw; Manure; Sewage sludge; Biowastes (post consumer woods excluded); Algae (no data available on potential availability); Intermediate Bioenergy carrier (crude glycerine)</t>
  </si>
  <si>
    <t>Road-bio 2030; Maritime-bio 2040/2050</t>
  </si>
  <si>
    <t>Methanation from biogenic CO2 and H2 / Methanation from CO2 and green H2</t>
  </si>
  <si>
    <t>Gasoline+Diesel; Bio-kerosene</t>
  </si>
  <si>
    <t>Feedstock used</t>
  </si>
  <si>
    <t>GHG intensity - lower (gCO2eq/MJ)</t>
  </si>
  <si>
    <t>GHG intensity - higher (gCO2eq/MJ)</t>
  </si>
  <si>
    <t>GHG intensity - medium (gCO2eq/MJ)</t>
  </si>
  <si>
    <t>Match found in Annex 4 (Industrial Value Chains Business Models)?</t>
  </si>
  <si>
    <t>Source / notes</t>
  </si>
  <si>
    <t>NON-advanced</t>
  </si>
  <si>
    <t>Yes - IVC #1 (Sec. 2.1, p.27)</t>
  </si>
  <si>
    <t>WTT JEC v5 / RED II (Directive (EU) 2018/2001) default ranges.</t>
  </si>
  <si>
    <t>Animal fats</t>
  </si>
  <si>
    <t>ADVANCED</t>
  </si>
  <si>
    <t>POME</t>
  </si>
  <si>
    <t>UCO + animal fat / brown grease</t>
  </si>
  <si>
    <t>Yes - IVC #2 (Sec. 2.2, p.34-35)</t>
  </si>
  <si>
    <t>WTT JEC v5 / RED II default ranges, HVO main product.</t>
  </si>
  <si>
    <t>UCO + mixed animal fat</t>
  </si>
  <si>
    <t>ICAO CORSIA default values, HEFA main product.</t>
  </si>
  <si>
    <t>POME oil</t>
  </si>
  <si>
    <t xml:space="preserve">Road-bio </t>
  </si>
  <si>
    <t>Lignocellulosic materials</t>
  </si>
  <si>
    <t>Partial - IVC #5+#6 combined (Sec. 3.1, p.78)</t>
  </si>
  <si>
    <t>ICAO CORSIA default, cellulosic EtOH-to-Jet pathway. Annex 4 only reports ONE factor for the combined IVC5 (ethanol)+IVC6 (AtJ) pathway, for the SAF output - no separate value for ethanol production alone. Same value repeated on the IVC6 row below.</t>
  </si>
  <si>
    <t>Cellulosic ethanol</t>
  </si>
  <si>
    <t>Same combined IVC5+IVC6 factor as above (see note in IVC5 row) - not a separate IVC6-only figure.</t>
  </si>
  <si>
    <t>Biowaste
Ligno-cellulosic residues
Dedicated sequential crops</t>
  </si>
  <si>
    <t xml:space="preserve">10,0
</t>
  </si>
  <si>
    <t>Yes - IVC #7 (Sec. 2.3, p.46)</t>
  </si>
  <si>
    <t>JEC v5 / RED II. Feedstock-dependent - pick the value matching the feedstock mix used for IVC7 in your scenarios; ligno-cellulosic and dedicated-crop feedstocks have no reported value.</t>
  </si>
  <si>
    <t>Wood / black liquor</t>
  </si>
  <si>
    <t>Yes - IVC #8a (Sec. 3.3, p.93-94)</t>
  </si>
  <si>
    <t>JEC v5, pathway WxME1: wood to methanol via gasification / black-liquor gasification-synthesis.</t>
  </si>
  <si>
    <t>No numeric value - IVC #8b (Sec. 3.4, p.99-100)</t>
  </si>
  <si>
    <t>Annex 4 has no "Environmental impacts" subsection with a gCO2eq/MJ figure for this IVC (only one of the 13 codes without one) - only the qualitative &gt;85% savings claim above.</t>
  </si>
  <si>
    <t>CO2 + green H2</t>
  </si>
  <si>
    <t>Yes - IVC #8c (Sec. 3.5, p.107)</t>
  </si>
  <si>
    <t>JEC v5, pathway REME1a: renewable electricity to methanol, CO2 from flue gases (used as proxy for biogenic CO2 - JEC v5 has no dedicated biogenic-CO2 pathway).</t>
  </si>
  <si>
    <t>Waste wood</t>
  </si>
  <si>
    <t>Yes - IVC #9a (Sec. 3.6, p.115)</t>
  </si>
  <si>
    <t>JEC v5.</t>
  </si>
  <si>
    <t>Short-rotation forestry wood chips</t>
  </si>
  <si>
    <t>Yes - IVC #9b (Sec. 3.7, p.124)</t>
  </si>
  <si>
    <t>JEC v5, pathway RECG1: synthetic methane from renewable electricity + CO2 from flue gases (proxy for biogenic CO2, as above).</t>
  </si>
  <si>
    <t>Yes - IVC #11a (Sec. 3.8, p.132)</t>
  </si>
  <si>
    <t>ICAO CORSIA default values, reported for SAF but stated in Annex 4 as "also a good proxy for HVO from FT" - i.e. applicable to the Biodiesel output on this row too.</t>
  </si>
  <si>
    <t>Poplar / short-rotation woody crops</t>
  </si>
  <si>
    <t>Same figures as the Biodiesel row above (single IVC11a factor, ICAO CORSIA default).</t>
  </si>
  <si>
    <t>42.4 (standalone)
29.4 (integrated)</t>
  </si>
  <si>
    <t>Partial - IVC #12+#6a combined (Sec. 3.2, p.86)</t>
  </si>
  <si>
    <t>ICAO CORSIA default, syngas-fermentation EtOH-to-Jet pathway. If "Biogasoline" here represents the gasoline co-product share of this pathway, this combined factor is the closest available proxy - Annex 4 gives no separate figure for the gasoline/diesel co-product streams.</t>
  </si>
  <si>
    <t>Pyrolysis oil + lipid co-feed</t>
  </si>
  <si>
    <t>Yes (indicative only) - IVC #13a (Sec. 2.4, p.56)</t>
  </si>
  <si>
    <t>Base: JEC v5 WFPD1 (pyrolysis oil upgraded to diesel), used as a proxy since this IVC is not defined in RED. Co-processing add-on: ICAO CORSIA lipid co-processing values. Annex 4 explicitly flags this as "an indicative positioning and not the real values", since it combines two only partially comparable processes/outputs.</t>
  </si>
  <si>
    <t>Pyrolysis oil</t>
  </si>
  <si>
    <t>Yes (proxy) - IVC #13b (Sec. 3.9, p.142)</t>
  </si>
  <si>
    <t>JEC v5 WFPD1 (pyrolysis oil upgraded to diesel), used as proxy since this IVC is not defined in RED. Annex 4 gives one figure for the whole IVC13b pathway - no separate value per end-use stream (road / shipping / aviation, the three rows below).</t>
  </si>
  <si>
    <t>Same single IVC13b factor as the Biogasoline row above (see note there).</t>
  </si>
  <si>
    <t>Bio-aviation (SAF)</t>
  </si>
  <si>
    <t xml:space="preserve">aviation </t>
  </si>
  <si>
    <t>CONVENTIONAL</t>
  </si>
  <si>
    <t>Food/feed crops</t>
  </si>
  <si>
    <t>transesterification of cover crops from marginal lands</t>
  </si>
  <si>
    <t>Cover crops from marginal lands</t>
  </si>
  <si>
    <t>hydrotreatment of cover crops from marginal lands (non-aviation part)</t>
  </si>
  <si>
    <t>hydrotreatment of UCO and AF</t>
  </si>
  <si>
    <t>N x AE Total</t>
  </si>
  <si>
    <t>Q x AE Total</t>
  </si>
  <si>
    <t>X x AE Total</t>
  </si>
  <si>
    <t>Combined Weight</t>
  </si>
  <si>
    <t>Basis</t>
  </si>
  <si>
    <t>Pathway output</t>
  </si>
  <si>
    <t>Source Row</t>
  </si>
  <si>
    <t>Feedstock Category</t>
  </si>
  <si>
    <t>AE Share Used</t>
  </si>
  <si>
    <t>N x AE</t>
  </si>
  <si>
    <t>Q x AE</t>
  </si>
  <si>
    <t>X x AE</t>
  </si>
  <si>
    <t>Combined Raw Weight</t>
  </si>
  <si>
    <t>Assigned gCO2eq/MJ</t>
  </si>
  <si>
    <t>Benchmark / Proxy</t>
  </si>
  <si>
    <t>Blended UCO and animal-fat benchmark</t>
  </si>
  <si>
    <t>Oil-crop hydrotreatment proxy</t>
  </si>
  <si>
    <t>HVO UCO/animal-fat benchmark</t>
  </si>
  <si>
    <t>HVO POME benchmark</t>
  </si>
  <si>
    <t>FPBO (Intermediate bioenergy carrier)</t>
  </si>
  <si>
    <t>HVO lipid-pathway proxy</t>
  </si>
  <si>
    <t>HEFA / SAF</t>
  </si>
  <si>
    <t>HEFA UCO/animal-fat benchmark</t>
  </si>
  <si>
    <t>HEFA POME benchmark</t>
  </si>
  <si>
    <t>HEFA lipid-pathway proxy</t>
  </si>
  <si>
    <t>Closest co-processing benchmark (IVC 13a)</t>
  </si>
  <si>
    <t>Direct lignocellulosic benchmark</t>
  </si>
  <si>
    <t>Direct cellulosic ethanol benchmark</t>
  </si>
  <si>
    <t>Biowaste/residue benchmark</t>
  </si>
  <si>
    <t>Direct manure benchmark</t>
  </si>
  <si>
    <t>Direct wood/black-liquor benchmark</t>
  </si>
  <si>
    <t>Direct biomethane benchmark</t>
  </si>
  <si>
    <t>Methanol pathway / scenario</t>
  </si>
  <si>
    <t>Direct CO2 and green-H2 benchmark</t>
  </si>
  <si>
    <t>Cellulose-to-methanol proxy from IVC 8a</t>
  </si>
  <si>
    <t>Waste-wood pathway benchmark</t>
  </si>
  <si>
    <t>Short-rotation/forest-chip benchmark</t>
  </si>
  <si>
    <t>Integrated electrolysis case from Tabelle1 G25</t>
  </si>
  <si>
    <t>Pathway output pathway / scenario</t>
  </si>
  <si>
    <t>Direct co-processing benchmark</t>
  </si>
  <si>
    <t>EU IVC Emission Intensity Allocation by Product and Transport Sector</t>
  </si>
  <si>
    <t>N-weighted EI</t>
  </si>
  <si>
    <t>Q-weighted EI</t>
  </si>
  <si>
    <t>Recommended EI (final)</t>
  </si>
  <si>
    <t>X-weighted EI</t>
  </si>
  <si>
    <t>Feedstock Weight and Sector-Specific Benchmark Audit Trail</t>
  </si>
  <si>
    <t>Normalized Pathway Weight</t>
  </si>
  <si>
    <t>Other / multi-sector</t>
  </si>
  <si>
    <t>Road-bio: feedstock-specific gasification benchmark (Tabelle1 sector row)</t>
  </si>
  <si>
    <t>Aviation-bio: feedstock-specific gasification benchmark (Tabelle1 sector row)</t>
  </si>
  <si>
    <t>Road-bio: direct IVC 13b benchmark (sector-specific row in Tabelle1)</t>
  </si>
  <si>
    <t>Maritime-bio 2040/2050: direct IVC 13b benchmark (sector-specific row in Tabelle1)</t>
  </si>
  <si>
    <t>Sector-specific pathway; EU N/Q/X availability × AE feedstock share</t>
  </si>
  <si>
    <t>Feedstock-specific pathway: Oil crops</t>
  </si>
  <si>
    <t>Feedstock-specific pathway: UCO / animal fat</t>
  </si>
  <si>
    <t>Feedstock-specific pathway: POME / tall-oil proxy</t>
  </si>
  <si>
    <t>Feedstock-specific pathway: FPBO + biocrude</t>
  </si>
  <si>
    <t>Weights use EU feedstock availability in columns N, Q and X multiplied by feedstock share in AE. Column H is the final recommended emission intensity. IVC 1 and IVC 2 are separated by actual feedstock pathway; FPBO and biocrude are combined, while HVO and HEFA remain sector-specific.</t>
  </si>
  <si>
    <t>IVC Overview – EU-27</t>
  </si>
  <si>
    <t>Consolidated from 'Availabilities EU Austria' (EU section only). Products, transport sectors and all listed feedstocks are combined per IVC.</t>
  </si>
  <si>
    <t>Process / Refinement</t>
  </si>
  <si>
    <t>Transport Sector</t>
  </si>
  <si>
    <t>Surplus from IVC 8a, 9a, 11a / conversion factor  (Syngas to Methanol/ Methane/ FT-SPK); Intermediate Bioenergy carriers (Syngas)</t>
  </si>
  <si>
    <t>Pyrolysis (and Thermo-Catalytic Reforming) and Upgrading (gasoline); Pyrolysis (and Thermo-Catalytic Reforming) and Upgrading (HFO)</t>
  </si>
  <si>
    <t>Biogasoline; Bio-heavy fuel oil, biokerosene</t>
  </si>
  <si>
    <t>surplus from IVC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</si>
</sst>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0.0%"/>
    <numFmt numFmtId="165" formatCode="0.0"/>
    <numFmt numFmtId="166" formatCode="0.000"/>
    <numFmt numFmtId="167" formatCode="0.0000"/>
    <numFmt numFmtId="168" formatCode="_-* #,##0_-;\-* #,##0_-;_-* &quot;-&quot;??_-;_-@_-"/>
    <numFmt numFmtId="169" formatCode="_-* #,##0.000_-;\-* #,##0.000_-;_-* &quot;-&quot;??_-;_-@_-"/>
    <numFmt numFmtId="170" formatCode="_-* #,##0.0_-;\-* #,##0.0_-;_-* &quot;-&quot;???_-;_-@_-"/>
    <numFmt numFmtId="171" formatCode="_-* #,##0.0_-;\-* #,##0.0_-;_-* &quot;-&quot;??_-;_-@_-"/>
    <numFmt numFmtId="172" formatCode="_ * #,##0.00_ ;_ * \-#,##0.00_ ;_ * &quot;-&quot;??_ ;_ @_ "/>
    <numFmt numFmtId="173" formatCode="_ * #,##0_ ;_ * \-#,##0_ ;_ * &quot;-&quot;??_ ;_ @_ "/>
    <numFmt numFmtId="174" formatCode="_-* #,##0.0000_-;\-* #,##0.0000_-;_-* &quot;-&quot;??_-;_-@_-"/>
    <numFmt numFmtId="175" formatCode="0.00000000"/>
    <numFmt numFmtId="176" formatCode="_-* #,##0.0_-;\-* #,##0.0_-;_-* &quot;-&quot;?_-;_-@_-"/>
    <numFmt numFmtId="177" formatCode="#,##0.000"/>
    <numFmt numFmtId="178" formatCode="0.000000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0006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0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6"/>
      <name val="Calibri"/>
      <family val="2"/>
      <scheme val="minor"/>
    </font>
    <font>
      <sz val="8"/>
      <color theme="6"/>
      <name val="Arial"/>
      <family val="2"/>
    </font>
    <font>
      <b/>
      <sz val="11"/>
      <color theme="6"/>
      <name val="Calibri"/>
      <family val="2"/>
      <scheme val="minor"/>
    </font>
    <font>
      <sz val="10"/>
      <color theme="6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1"/>
      <color theme="2" tint="-9.9978637043366805E-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2"/>
      <color rgb="FF303030"/>
      <name val="Calibri"/>
      <family val="2"/>
    </font>
    <font>
      <sz val="8"/>
      <color rgb="FF303030"/>
      <name val="Google Sans Text"/>
    </font>
    <font>
      <b/>
      <sz val="11"/>
      <color rgb="FFFFFFFF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b/>
      <sz val="14"/>
      <color rgb="FFFFFFFF"/>
      <name val="Calibri"/>
      <scheme val="minor"/>
    </font>
    <font>
      <i/>
      <sz val="11"/>
      <color theme="1"/>
      <name val="Calibri"/>
      <scheme val="minor"/>
    </font>
    <font>
      <i/>
      <sz val="11"/>
      <color rgb="FF444444"/>
      <name val="Calibri"/>
      <family val="2"/>
      <scheme val="minor"/>
    </font>
    <font>
      <sz val="10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B7E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theme="4" tint="0.39997558519241921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D9E1F2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BE2D5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CDEE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D2330"/>
        <bgColor rgb="FF1D2330"/>
      </patternFill>
    </fill>
    <fill>
      <patternFill patternType="solid">
        <fgColor rgb="FF4472C4"/>
        <bgColor rgb="FF4472C4"/>
      </patternFill>
    </fill>
    <fill>
      <patternFill patternType="solid">
        <fgColor rgb="FFE2E3E5"/>
        <bgColor indexed="64"/>
      </patternFill>
    </fill>
    <fill>
      <patternFill patternType="solid">
        <fgColor rgb="FF222B45"/>
        <bgColor indexed="64"/>
      </patternFill>
    </fill>
    <fill>
      <patternFill patternType="solid">
        <fgColor rgb="FFE9EEF5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/>
      <diagonal/>
    </border>
    <border>
      <left style="hair">
        <color theme="2" tint="-0.24994659260841701"/>
      </left>
      <right style="hair">
        <color theme="2" tint="-0.24994659260841701"/>
      </right>
      <top/>
      <bottom style="hair">
        <color theme="2" tint="-0.24994659260841701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 tint="-9.9948118533890809E-2"/>
      </right>
      <top style="hair">
        <color theme="2"/>
      </top>
      <bottom style="hair">
        <color theme="2" tint="-9.9948118533890809E-2"/>
      </bottom>
      <diagonal/>
    </border>
    <border>
      <left style="hair">
        <color theme="2" tint="-9.9948118533890809E-2"/>
      </left>
      <right style="hair">
        <color theme="2"/>
      </right>
      <top style="hair">
        <color theme="2" tint="-9.9948118533890809E-2"/>
      </top>
      <bottom style="hair">
        <color theme="2"/>
      </bottom>
      <diagonal/>
    </border>
    <border>
      <left style="hair">
        <color theme="2"/>
      </left>
      <right style="hair">
        <color theme="2"/>
      </right>
      <top style="hair">
        <color theme="2" tint="-9.9948118533890809E-2"/>
      </top>
      <bottom style="hair">
        <color theme="2"/>
      </bottom>
      <diagonal/>
    </border>
    <border>
      <left style="hair">
        <color theme="2"/>
      </left>
      <right style="hair">
        <color theme="2" tint="-9.9948118533890809E-2"/>
      </right>
      <top style="hair">
        <color theme="2" tint="-9.9948118533890809E-2"/>
      </top>
      <bottom style="hair">
        <color theme="2"/>
      </bottom>
      <diagonal/>
    </border>
    <border>
      <left style="hair">
        <color theme="2" tint="-9.9948118533890809E-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hair">
        <color theme="2" tint="-9.9948118533890809E-2"/>
      </right>
      <top style="hair">
        <color theme="2"/>
      </top>
      <bottom style="hair">
        <color theme="2"/>
      </bottom>
      <diagonal/>
    </border>
    <border>
      <left style="hair">
        <color theme="2" tint="-9.9948118533890809E-2"/>
      </left>
      <right style="hair">
        <color theme="2"/>
      </right>
      <top style="hair">
        <color theme="2"/>
      </top>
      <bottom style="hair">
        <color theme="2" tint="-9.9948118533890809E-2"/>
      </bottom>
      <diagonal/>
    </border>
    <border>
      <left style="hair">
        <color theme="2"/>
      </left>
      <right style="hair">
        <color theme="2" tint="-9.9948118533890809E-2"/>
      </right>
      <top style="hair">
        <color theme="2"/>
      </top>
      <bottom style="hair">
        <color theme="2" tint="-9.9948118533890809E-2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Protection="0"/>
    <xf numFmtId="172" fontId="1" fillId="0" borderId="0" applyFont="0" applyFill="0" applyBorder="0" applyAlignment="0" applyProtection="0"/>
    <xf numFmtId="0" fontId="70" fillId="0" borderId="0"/>
  </cellStyleXfs>
  <cellXfs count="1108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2" fillId="0" borderId="0" xfId="0" applyFont="1"/>
    <xf numFmtId="2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64" fontId="4" fillId="0" borderId="0" xfId="0" applyNumberFormat="1" applyFont="1"/>
    <xf numFmtId="9" fontId="0" fillId="0" borderId="0" xfId="0" applyNumberFormat="1"/>
    <xf numFmtId="9" fontId="4" fillId="0" borderId="0" xfId="0" applyNumberFormat="1" applyFont="1"/>
    <xf numFmtId="0" fontId="9" fillId="3" borderId="0" xfId="2"/>
    <xf numFmtId="9" fontId="0" fillId="0" borderId="0" xfId="0" applyNumberFormat="1" applyAlignment="1">
      <alignment horizontal="right"/>
    </xf>
    <xf numFmtId="165" fontId="4" fillId="4" borderId="0" xfId="1" applyNumberFormat="1" applyFont="1" applyFill="1"/>
    <xf numFmtId="0" fontId="4" fillId="0" borderId="0" xfId="0" applyFont="1" applyAlignment="1">
      <alignment horizontal="right"/>
    </xf>
    <xf numFmtId="10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5" borderId="0" xfId="0" applyFill="1"/>
    <xf numFmtId="0" fontId="14" fillId="8" borderId="1" xfId="0" applyFont="1" applyFill="1" applyBorder="1"/>
    <xf numFmtId="0" fontId="13" fillId="8" borderId="1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166" fontId="4" fillId="0" borderId="0" xfId="0" applyNumberFormat="1" applyFont="1"/>
    <xf numFmtId="0" fontId="18" fillId="0" borderId="0" xfId="0" applyFont="1"/>
    <xf numFmtId="0" fontId="11" fillId="6" borderId="0" xfId="4"/>
    <xf numFmtId="0" fontId="12" fillId="7" borderId="0" xfId="5"/>
    <xf numFmtId="0" fontId="0" fillId="0" borderId="2" xfId="0" applyBorder="1"/>
    <xf numFmtId="0" fontId="3" fillId="0" borderId="0" xfId="0" applyFont="1"/>
    <xf numFmtId="0" fontId="19" fillId="0" borderId="0" xfId="0" applyFont="1" applyAlignment="1">
      <alignment horizontal="right"/>
    </xf>
    <xf numFmtId="0" fontId="19" fillId="0" borderId="0" xfId="0" applyFont="1"/>
    <xf numFmtId="165" fontId="4" fillId="0" borderId="0" xfId="0" applyNumberFormat="1" applyFont="1"/>
    <xf numFmtId="0" fontId="0" fillId="0" borderId="8" xfId="0" applyBorder="1"/>
    <xf numFmtId="0" fontId="3" fillId="0" borderId="8" xfId="0" applyFont="1" applyBorder="1"/>
    <xf numFmtId="0" fontId="0" fillId="11" borderId="0" xfId="0" applyFill="1"/>
    <xf numFmtId="0" fontId="0" fillId="12" borderId="0" xfId="0" applyFill="1"/>
    <xf numFmtId="165" fontId="0" fillId="0" borderId="0" xfId="0" applyNumberFormat="1"/>
    <xf numFmtId="0" fontId="0" fillId="0" borderId="0" xfId="0" applyAlignment="1">
      <alignment horizontal="left" indent="1"/>
    </xf>
    <xf numFmtId="1" fontId="3" fillId="0" borderId="8" xfId="0" applyNumberFormat="1" applyFont="1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13" borderId="9" xfId="0" applyFill="1" applyBorder="1"/>
    <xf numFmtId="2" fontId="0" fillId="13" borderId="11" xfId="0" applyNumberFormat="1" applyFill="1" applyBorder="1"/>
    <xf numFmtId="2" fontId="0" fillId="13" borderId="12" xfId="0" applyNumberFormat="1" applyFill="1" applyBorder="1"/>
    <xf numFmtId="0" fontId="18" fillId="0" borderId="5" xfId="0" applyFont="1" applyBorder="1" applyAlignment="1">
      <alignment horizontal="left"/>
    </xf>
    <xf numFmtId="2" fontId="18" fillId="0" borderId="0" xfId="0" applyNumberFormat="1" applyFont="1"/>
    <xf numFmtId="2" fontId="18" fillId="0" borderId="6" xfId="0" applyNumberFormat="1" applyFont="1" applyBorder="1"/>
    <xf numFmtId="0" fontId="0" fillId="13" borderId="5" xfId="0" applyFill="1" applyBorder="1"/>
    <xf numFmtId="0" fontId="0" fillId="13" borderId="0" xfId="0" applyFill="1"/>
    <xf numFmtId="2" fontId="0" fillId="13" borderId="0" xfId="0" applyNumberFormat="1" applyFill="1"/>
    <xf numFmtId="2" fontId="0" fillId="13" borderId="6" xfId="0" applyNumberFormat="1" applyFill="1" applyBorder="1"/>
    <xf numFmtId="0" fontId="0" fillId="0" borderId="6" xfId="0" applyBorder="1"/>
    <xf numFmtId="0" fontId="18" fillId="0" borderId="5" xfId="0" applyFont="1" applyBorder="1"/>
    <xf numFmtId="0" fontId="0" fillId="13" borderId="3" xfId="0" applyFill="1" applyBorder="1"/>
    <xf numFmtId="0" fontId="0" fillId="13" borderId="2" xfId="0" applyFill="1" applyBorder="1"/>
    <xf numFmtId="2" fontId="0" fillId="13" borderId="2" xfId="0" applyNumberFormat="1" applyFill="1" applyBorder="1"/>
    <xf numFmtId="2" fontId="0" fillId="13" borderId="4" xfId="0" applyNumberFormat="1" applyFill="1" applyBorder="1"/>
    <xf numFmtId="0" fontId="0" fillId="14" borderId="0" xfId="0" applyFill="1"/>
    <xf numFmtId="2" fontId="0" fillId="14" borderId="0" xfId="0" applyNumberFormat="1" applyFill="1"/>
    <xf numFmtId="2" fontId="4" fillId="0" borderId="0" xfId="0" applyNumberFormat="1" applyFont="1"/>
    <xf numFmtId="0" fontId="0" fillId="0" borderId="13" xfId="0" applyBorder="1"/>
    <xf numFmtId="2" fontId="20" fillId="0" borderId="0" xfId="0" applyNumberFormat="1" applyFont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0" borderId="0" xfId="0" applyFill="1"/>
    <xf numFmtId="0" fontId="0" fillId="21" borderId="0" xfId="0" applyFill="1"/>
    <xf numFmtId="0" fontId="0" fillId="9" borderId="0" xfId="0" applyFill="1"/>
    <xf numFmtId="0" fontId="0" fillId="0" borderId="9" xfId="0" applyBorder="1" applyAlignment="1">
      <alignment horizontal="left"/>
    </xf>
    <xf numFmtId="0" fontId="0" fillId="0" borderId="1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22" fillId="0" borderId="8" xfId="0" applyFont="1" applyBorder="1"/>
    <xf numFmtId="0" fontId="18" fillId="0" borderId="8" xfId="0" applyFont="1" applyBorder="1"/>
    <xf numFmtId="0" fontId="18" fillId="10" borderId="0" xfId="0" applyFont="1" applyFill="1"/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/>
    </xf>
    <xf numFmtId="1" fontId="22" fillId="0" borderId="8" xfId="0" applyNumberFormat="1" applyFont="1" applyBorder="1"/>
    <xf numFmtId="0" fontId="18" fillId="9" borderId="0" xfId="0" applyFont="1" applyFill="1" applyAlignment="1">
      <alignment horizontal="left"/>
    </xf>
    <xf numFmtId="0" fontId="3" fillId="14" borderId="1" xfId="0" applyFont="1" applyFill="1" applyBorder="1" applyAlignment="1">
      <alignment horizontal="center"/>
    </xf>
    <xf numFmtId="0" fontId="23" fillId="0" borderId="0" xfId="6"/>
    <xf numFmtId="0" fontId="3" fillId="0" borderId="2" xfId="0" applyFont="1" applyBorder="1"/>
    <xf numFmtId="2" fontId="3" fillId="0" borderId="0" xfId="0" applyNumberFormat="1" applyFont="1"/>
    <xf numFmtId="0" fontId="24" fillId="0" borderId="0" xfId="0" applyFont="1" applyAlignment="1">
      <alignment horizontal="center"/>
    </xf>
    <xf numFmtId="0" fontId="25" fillId="22" borderId="0" xfId="0" applyFont="1" applyFill="1" applyAlignment="1">
      <alignment horizontal="left"/>
    </xf>
    <xf numFmtId="2" fontId="25" fillId="22" borderId="0" xfId="0" applyNumberFormat="1" applyFont="1" applyFill="1" applyAlignment="1">
      <alignment horizontal="right"/>
    </xf>
    <xf numFmtId="43" fontId="25" fillId="22" borderId="0" xfId="7" applyFont="1" applyFill="1" applyBorder="1" applyAlignment="1">
      <alignment horizontal="center"/>
    </xf>
    <xf numFmtId="0" fontId="25" fillId="23" borderId="0" xfId="0" applyFont="1" applyFill="1" applyAlignment="1">
      <alignment horizontal="left"/>
    </xf>
    <xf numFmtId="2" fontId="25" fillId="23" borderId="0" xfId="0" applyNumberFormat="1" applyFont="1" applyFill="1" applyAlignment="1">
      <alignment horizontal="right"/>
    </xf>
    <xf numFmtId="43" fontId="25" fillId="23" borderId="0" xfId="7" applyFont="1" applyFill="1" applyBorder="1" applyAlignment="1">
      <alignment horizontal="center"/>
    </xf>
    <xf numFmtId="0" fontId="25" fillId="24" borderId="0" xfId="0" applyFont="1" applyFill="1" applyAlignment="1">
      <alignment horizontal="left"/>
    </xf>
    <xf numFmtId="2" fontId="25" fillId="24" borderId="0" xfId="0" applyNumberFormat="1" applyFont="1" applyFill="1" applyAlignment="1">
      <alignment horizontal="right"/>
    </xf>
    <xf numFmtId="43" fontId="25" fillId="24" borderId="0" xfId="7" applyFont="1" applyFill="1" applyBorder="1" applyAlignment="1">
      <alignment horizontal="center"/>
    </xf>
    <xf numFmtId="167" fontId="0" fillId="0" borderId="0" xfId="0" applyNumberFormat="1"/>
    <xf numFmtId="167" fontId="18" fillId="0" borderId="0" xfId="0" applyNumberFormat="1" applyFont="1"/>
    <xf numFmtId="167" fontId="4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horizontal="right"/>
    </xf>
    <xf numFmtId="2" fontId="0" fillId="9" borderId="15" xfId="0" applyNumberFormat="1" applyFill="1" applyBorder="1"/>
    <xf numFmtId="2" fontId="0" fillId="5" borderId="0" xfId="0" applyNumberFormat="1" applyFill="1"/>
    <xf numFmtId="2" fontId="0" fillId="20" borderId="15" xfId="0" applyNumberFormat="1" applyFill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/>
    <xf numFmtId="0" fontId="14" fillId="0" borderId="0" xfId="0" applyFont="1" applyAlignment="1">
      <alignment horizontal="right"/>
    </xf>
    <xf numFmtId="0" fontId="14" fillId="0" borderId="0" xfId="0" applyFont="1"/>
    <xf numFmtId="2" fontId="14" fillId="0" borderId="0" xfId="0" applyNumberFormat="1" applyFont="1"/>
    <xf numFmtId="49" fontId="0" fillId="0" borderId="0" xfId="0" applyNumberFormat="1"/>
    <xf numFmtId="165" fontId="4" fillId="0" borderId="0" xfId="1" applyNumberFormat="1" applyFont="1" applyFill="1"/>
    <xf numFmtId="2" fontId="4" fillId="0" borderId="0" xfId="1" applyNumberFormat="1" applyFont="1" applyFill="1"/>
    <xf numFmtId="9" fontId="14" fillId="0" borderId="0" xfId="0" applyNumberFormat="1" applyFont="1"/>
    <xf numFmtId="0" fontId="19" fillId="0" borderId="1" xfId="0" applyFont="1" applyBorder="1" applyAlignment="1">
      <alignment horizontal="center"/>
    </xf>
    <xf numFmtId="0" fontId="3" fillId="2" borderId="1" xfId="0" applyFont="1" applyFill="1" applyBorder="1"/>
    <xf numFmtId="9" fontId="0" fillId="14" borderId="0" xfId="0" applyNumberFormat="1" applyFill="1"/>
    <xf numFmtId="9" fontId="14" fillId="14" borderId="0" xfId="0" applyNumberFormat="1" applyFont="1" applyFill="1"/>
    <xf numFmtId="0" fontId="0" fillId="14" borderId="0" xfId="0" applyFill="1" applyAlignment="1">
      <alignment horizontal="right"/>
    </xf>
    <xf numFmtId="49" fontId="0" fillId="14" borderId="0" xfId="0" applyNumberFormat="1" applyFill="1" applyAlignment="1">
      <alignment horizontal="right"/>
    </xf>
    <xf numFmtId="0" fontId="2" fillId="14" borderId="0" xfId="0" applyFont="1" applyFill="1"/>
    <xf numFmtId="0" fontId="14" fillId="14" borderId="0" xfId="0" applyFont="1" applyFill="1" applyAlignment="1">
      <alignment horizontal="right"/>
    </xf>
    <xf numFmtId="9" fontId="4" fillId="14" borderId="0" xfId="0" applyNumberFormat="1" applyFont="1" applyFill="1"/>
    <xf numFmtId="9" fontId="0" fillId="14" borderId="0" xfId="0" applyNumberFormat="1" applyFill="1" applyAlignment="1">
      <alignment horizontal="right"/>
    </xf>
    <xf numFmtId="0" fontId="14" fillId="14" borderId="0" xfId="0" applyFont="1" applyFill="1"/>
    <xf numFmtId="0" fontId="4" fillId="14" borderId="0" xfId="2" applyFont="1" applyFill="1"/>
    <xf numFmtId="0" fontId="4" fillId="14" borderId="0" xfId="0" applyFont="1" applyFill="1"/>
    <xf numFmtId="9" fontId="4" fillId="0" borderId="0" xfId="1" applyFont="1"/>
    <xf numFmtId="9" fontId="0" fillId="0" borderId="0" xfId="1" applyFont="1" applyFill="1" applyBorder="1"/>
    <xf numFmtId="9" fontId="0" fillId="0" borderId="0" xfId="1" applyFont="1" applyBorder="1"/>
    <xf numFmtId="9" fontId="0" fillId="0" borderId="0" xfId="1" applyFont="1"/>
    <xf numFmtId="9" fontId="4" fillId="0" borderId="0" xfId="1" applyFont="1" applyFill="1"/>
    <xf numFmtId="0" fontId="0" fillId="25" borderId="0" xfId="0" applyFill="1"/>
    <xf numFmtId="0" fontId="0" fillId="25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2" fillId="5" borderId="0" xfId="0" applyFont="1" applyFill="1"/>
    <xf numFmtId="49" fontId="0" fillId="26" borderId="0" xfId="0" applyNumberFormat="1" applyFill="1" applyAlignment="1">
      <alignment horizontal="right"/>
    </xf>
    <xf numFmtId="0" fontId="0" fillId="26" borderId="0" xfId="0" applyFill="1"/>
    <xf numFmtId="2" fontId="0" fillId="25" borderId="0" xfId="0" applyNumberFormat="1" applyFill="1"/>
    <xf numFmtId="2" fontId="0" fillId="26" borderId="0" xfId="0" applyNumberFormat="1" applyFill="1"/>
    <xf numFmtId="9" fontId="0" fillId="25" borderId="0" xfId="0" applyNumberFormat="1" applyFill="1"/>
    <xf numFmtId="9" fontId="0" fillId="5" borderId="0" xfId="0" applyNumberFormat="1" applyFill="1"/>
    <xf numFmtId="9" fontId="0" fillId="26" borderId="0" xfId="0" applyNumberFormat="1" applyFill="1"/>
    <xf numFmtId="9" fontId="0" fillId="27" borderId="0" xfId="0" applyNumberFormat="1" applyFill="1"/>
    <xf numFmtId="0" fontId="0" fillId="26" borderId="0" xfId="0" applyFill="1" applyAlignment="1">
      <alignment horizontal="right"/>
    </xf>
    <xf numFmtId="9" fontId="4" fillId="25" borderId="0" xfId="0" applyNumberFormat="1" applyFont="1" applyFill="1"/>
    <xf numFmtId="9" fontId="0" fillId="5" borderId="0" xfId="0" applyNumberFormat="1" applyFill="1" applyAlignment="1">
      <alignment horizontal="right"/>
    </xf>
    <xf numFmtId="9" fontId="0" fillId="27" borderId="0" xfId="0" applyNumberFormat="1" applyFill="1" applyAlignment="1">
      <alignment horizontal="right"/>
    </xf>
    <xf numFmtId="165" fontId="14" fillId="0" borderId="0" xfId="0" applyNumberFormat="1" applyFont="1"/>
    <xf numFmtId="165" fontId="4" fillId="0" borderId="0" xfId="2" applyNumberFormat="1" applyFont="1" applyFill="1"/>
    <xf numFmtId="165" fontId="0" fillId="25" borderId="0" xfId="0" applyNumberFormat="1" applyFill="1"/>
    <xf numFmtId="165" fontId="4" fillId="25" borderId="0" xfId="0" applyNumberFormat="1" applyFont="1" applyFill="1"/>
    <xf numFmtId="165" fontId="0" fillId="5" borderId="0" xfId="0" applyNumberFormat="1" applyFill="1"/>
    <xf numFmtId="165" fontId="4" fillId="5" borderId="0" xfId="0" applyNumberFormat="1" applyFont="1" applyFill="1"/>
    <xf numFmtId="165" fontId="0" fillId="26" borderId="0" xfId="0" applyNumberFormat="1" applyFill="1"/>
    <xf numFmtId="0" fontId="2" fillId="25" borderId="0" xfId="0" applyFont="1" applyFill="1"/>
    <xf numFmtId="49" fontId="0" fillId="5" borderId="0" xfId="0" applyNumberFormat="1" applyFill="1" applyAlignment="1">
      <alignment horizontal="right"/>
    </xf>
    <xf numFmtId="49" fontId="0" fillId="25" borderId="0" xfId="0" applyNumberFormat="1" applyFill="1"/>
    <xf numFmtId="49" fontId="0" fillId="5" borderId="0" xfId="0" applyNumberFormat="1" applyFill="1"/>
    <xf numFmtId="49" fontId="0" fillId="26" borderId="0" xfId="0" applyNumberFormat="1" applyFill="1"/>
    <xf numFmtId="49" fontId="0" fillId="27" borderId="0" xfId="0" applyNumberFormat="1" applyFill="1"/>
    <xf numFmtId="0" fontId="26" fillId="0" borderId="0" xfId="0" applyFont="1"/>
    <xf numFmtId="0" fontId="19" fillId="2" borderId="1" xfId="0" applyFont="1" applyFill="1" applyBorder="1"/>
    <xf numFmtId="0" fontId="2" fillId="0" borderId="0" xfId="0" applyFont="1" applyAlignment="1">
      <alignment horizontal="right"/>
    </xf>
    <xf numFmtId="0" fontId="0" fillId="0" borderId="16" xfId="0" applyBorder="1"/>
    <xf numFmtId="0" fontId="4" fillId="0" borderId="14" xfId="0" applyFont="1" applyBorder="1"/>
    <xf numFmtId="0" fontId="0" fillId="25" borderId="14" xfId="0" applyFill="1" applyBorder="1"/>
    <xf numFmtId="2" fontId="0" fillId="25" borderId="14" xfId="0" applyNumberFormat="1" applyFill="1" applyBorder="1"/>
    <xf numFmtId="0" fontId="0" fillId="25" borderId="14" xfId="0" applyFill="1" applyBorder="1" applyAlignment="1">
      <alignment horizontal="right"/>
    </xf>
    <xf numFmtId="9" fontId="4" fillId="25" borderId="14" xfId="0" applyNumberFormat="1" applyFont="1" applyFill="1" applyBorder="1"/>
    <xf numFmtId="165" fontId="0" fillId="25" borderId="17" xfId="0" applyNumberFormat="1" applyFill="1" applyBorder="1"/>
    <xf numFmtId="0" fontId="0" fillId="0" borderId="18" xfId="0" applyBorder="1"/>
    <xf numFmtId="0" fontId="4" fillId="0" borderId="13" xfId="0" applyFont="1" applyBorder="1"/>
    <xf numFmtId="0" fontId="0" fillId="25" borderId="13" xfId="0" applyFill="1" applyBorder="1"/>
    <xf numFmtId="2" fontId="0" fillId="25" borderId="13" xfId="0" applyNumberFormat="1" applyFill="1" applyBorder="1"/>
    <xf numFmtId="9" fontId="0" fillId="25" borderId="13" xfId="0" applyNumberFormat="1" applyFill="1" applyBorder="1"/>
    <xf numFmtId="0" fontId="0" fillId="26" borderId="13" xfId="0" applyFill="1" applyBorder="1" applyAlignment="1">
      <alignment horizontal="right"/>
    </xf>
    <xf numFmtId="9" fontId="4" fillId="25" borderId="13" xfId="0" applyNumberFormat="1" applyFont="1" applyFill="1" applyBorder="1"/>
    <xf numFmtId="165" fontId="0" fillId="25" borderId="19" xfId="0" applyNumberFormat="1" applyFill="1" applyBorder="1"/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0" fillId="0" borderId="20" xfId="0" applyBorder="1"/>
    <xf numFmtId="0" fontId="4" fillId="0" borderId="21" xfId="0" applyFont="1" applyBorder="1"/>
    <xf numFmtId="0" fontId="0" fillId="25" borderId="21" xfId="0" applyFill="1" applyBorder="1"/>
    <xf numFmtId="2" fontId="0" fillId="26" borderId="21" xfId="0" applyNumberFormat="1" applyFill="1" applyBorder="1"/>
    <xf numFmtId="9" fontId="0" fillId="26" borderId="21" xfId="0" applyNumberFormat="1" applyFill="1" applyBorder="1"/>
    <xf numFmtId="0" fontId="0" fillId="25" borderId="21" xfId="0" applyFill="1" applyBorder="1" applyAlignment="1">
      <alignment horizontal="right"/>
    </xf>
    <xf numFmtId="9" fontId="0" fillId="5" borderId="21" xfId="0" applyNumberFormat="1" applyFill="1" applyBorder="1"/>
    <xf numFmtId="165" fontId="0" fillId="5" borderId="22" xfId="0" applyNumberFormat="1" applyFill="1" applyBorder="1"/>
    <xf numFmtId="0" fontId="2" fillId="0" borderId="16" xfId="0" applyFont="1" applyBorder="1"/>
    <xf numFmtId="2" fontId="0" fillId="26" borderId="14" xfId="0" applyNumberFormat="1" applyFill="1" applyBorder="1"/>
    <xf numFmtId="9" fontId="0" fillId="26" borderId="14" xfId="0" applyNumberFormat="1" applyFill="1" applyBorder="1"/>
    <xf numFmtId="9" fontId="0" fillId="5" borderId="14" xfId="0" applyNumberFormat="1" applyFill="1" applyBorder="1"/>
    <xf numFmtId="165" fontId="0" fillId="26" borderId="17" xfId="0" applyNumberFormat="1" applyFill="1" applyBorder="1"/>
    <xf numFmtId="0" fontId="2" fillId="0" borderId="18" xfId="0" applyFont="1" applyBorder="1"/>
    <xf numFmtId="2" fontId="0" fillId="26" borderId="13" xfId="0" applyNumberFormat="1" applyFill="1" applyBorder="1"/>
    <xf numFmtId="9" fontId="0" fillId="26" borderId="13" xfId="0" applyNumberFormat="1" applyFill="1" applyBorder="1"/>
    <xf numFmtId="0" fontId="0" fillId="5" borderId="13" xfId="0" applyFill="1" applyBorder="1" applyAlignment="1">
      <alignment horizontal="right"/>
    </xf>
    <xf numFmtId="9" fontId="0" fillId="5" borderId="13" xfId="0" applyNumberFormat="1" applyFill="1" applyBorder="1"/>
    <xf numFmtId="165" fontId="0" fillId="26" borderId="19" xfId="0" applyNumberFormat="1" applyFill="1" applyBorder="1"/>
    <xf numFmtId="165" fontId="0" fillId="5" borderId="17" xfId="0" applyNumberFormat="1" applyFill="1" applyBorder="1"/>
    <xf numFmtId="0" fontId="0" fillId="25" borderId="13" xfId="0" applyFill="1" applyBorder="1" applyAlignment="1">
      <alignment horizontal="right"/>
    </xf>
    <xf numFmtId="9" fontId="14" fillId="0" borderId="13" xfId="0" applyNumberFormat="1" applyFont="1" applyBorder="1"/>
    <xf numFmtId="0" fontId="14" fillId="0" borderId="13" xfId="0" applyFont="1" applyBorder="1" applyAlignment="1">
      <alignment horizontal="right"/>
    </xf>
    <xf numFmtId="9" fontId="0" fillId="0" borderId="13" xfId="0" applyNumberFormat="1" applyBorder="1"/>
    <xf numFmtId="165" fontId="14" fillId="0" borderId="19" xfId="0" applyNumberFormat="1" applyFont="1" applyBorder="1"/>
    <xf numFmtId="0" fontId="2" fillId="0" borderId="20" xfId="0" applyFont="1" applyBorder="1" applyAlignment="1">
      <alignment horizontal="right"/>
    </xf>
    <xf numFmtId="0" fontId="5" fillId="0" borderId="21" xfId="0" applyFont="1" applyBorder="1"/>
    <xf numFmtId="0" fontId="0" fillId="5" borderId="21" xfId="0" applyFill="1" applyBorder="1"/>
    <xf numFmtId="0" fontId="0" fillId="26" borderId="21" xfId="0" applyFill="1" applyBorder="1" applyAlignment="1">
      <alignment horizontal="right"/>
    </xf>
    <xf numFmtId="165" fontId="4" fillId="0" borderId="22" xfId="2" applyNumberFormat="1" applyFont="1" applyFill="1" applyBorder="1"/>
    <xf numFmtId="0" fontId="2" fillId="0" borderId="16" xfId="0" applyFont="1" applyBorder="1" applyAlignment="1">
      <alignment horizontal="right"/>
    </xf>
    <xf numFmtId="0" fontId="6" fillId="0" borderId="14" xfId="0" applyFont="1" applyBorder="1"/>
    <xf numFmtId="2" fontId="0" fillId="5" borderId="14" xfId="0" applyNumberFormat="1" applyFill="1" applyBorder="1"/>
    <xf numFmtId="165" fontId="4" fillId="0" borderId="17" xfId="2" applyNumberFormat="1" applyFont="1" applyFill="1" applyBorder="1"/>
    <xf numFmtId="0" fontId="0" fillId="0" borderId="18" xfId="0" applyBorder="1" applyAlignment="1">
      <alignment horizontal="right"/>
    </xf>
    <xf numFmtId="0" fontId="6" fillId="0" borderId="13" xfId="0" applyFont="1" applyBorder="1"/>
    <xf numFmtId="2" fontId="0" fillId="5" borderId="13" xfId="0" applyNumberFormat="1" applyFill="1" applyBorder="1"/>
    <xf numFmtId="165" fontId="4" fillId="0" borderId="19" xfId="2" applyNumberFormat="1" applyFont="1" applyFill="1" applyBorder="1"/>
    <xf numFmtId="0" fontId="0" fillId="0" borderId="16" xfId="0" applyBorder="1" applyAlignment="1">
      <alignment horizontal="right"/>
    </xf>
    <xf numFmtId="165" fontId="4" fillId="5" borderId="17" xfId="0" applyNumberFormat="1" applyFont="1" applyFill="1" applyBorder="1"/>
    <xf numFmtId="0" fontId="4" fillId="0" borderId="13" xfId="0" applyFont="1" applyBorder="1" applyAlignment="1">
      <alignment horizontal="left"/>
    </xf>
    <xf numFmtId="165" fontId="4" fillId="0" borderId="19" xfId="0" applyNumberFormat="1" applyFont="1" applyBorder="1"/>
    <xf numFmtId="165" fontId="0" fillId="5" borderId="21" xfId="0" applyNumberFormat="1" applyFill="1" applyBorder="1"/>
    <xf numFmtId="165" fontId="0" fillId="26" borderId="22" xfId="0" applyNumberFormat="1" applyFill="1" applyBorder="1"/>
    <xf numFmtId="0" fontId="0" fillId="0" borderId="20" xfId="0" applyBorder="1" applyAlignment="1">
      <alignment horizontal="right"/>
    </xf>
    <xf numFmtId="165" fontId="0" fillId="25" borderId="21" xfId="0" applyNumberFormat="1" applyFill="1" applyBorder="1"/>
    <xf numFmtId="0" fontId="0" fillId="5" borderId="21" xfId="0" applyFill="1" applyBorder="1" applyAlignment="1">
      <alignment horizontal="right"/>
    </xf>
    <xf numFmtId="165" fontId="0" fillId="25" borderId="14" xfId="0" applyNumberFormat="1" applyFill="1" applyBorder="1"/>
    <xf numFmtId="165" fontId="0" fillId="25" borderId="13" xfId="0" applyNumberFormat="1" applyFill="1" applyBorder="1"/>
    <xf numFmtId="9" fontId="14" fillId="0" borderId="14" xfId="0" applyNumberFormat="1" applyFont="1" applyBorder="1"/>
    <xf numFmtId="0" fontId="14" fillId="0" borderId="14" xfId="0" applyFont="1" applyBorder="1" applyAlignment="1">
      <alignment horizontal="right"/>
    </xf>
    <xf numFmtId="165" fontId="14" fillId="0" borderId="17" xfId="0" applyNumberFormat="1" applyFont="1" applyBorder="1"/>
    <xf numFmtId="0" fontId="2" fillId="0" borderId="20" xfId="0" applyFont="1" applyBorder="1"/>
    <xf numFmtId="9" fontId="0" fillId="25" borderId="21" xfId="0" applyNumberFormat="1" applyFill="1" applyBorder="1"/>
    <xf numFmtId="165" fontId="0" fillId="0" borderId="22" xfId="0" applyNumberFormat="1" applyBorder="1"/>
    <xf numFmtId="0" fontId="6" fillId="0" borderId="21" xfId="0" applyFont="1" applyBorder="1"/>
    <xf numFmtId="9" fontId="0" fillId="5" borderId="21" xfId="0" applyNumberFormat="1" applyFill="1" applyBorder="1" applyAlignment="1">
      <alignment horizontal="right"/>
    </xf>
    <xf numFmtId="165" fontId="0" fillId="0" borderId="19" xfId="0" applyNumberFormat="1" applyBorder="1"/>
    <xf numFmtId="0" fontId="4" fillId="0" borderId="14" xfId="0" applyFont="1" applyBorder="1" applyAlignment="1">
      <alignment horizontal="left"/>
    </xf>
    <xf numFmtId="165" fontId="0" fillId="26" borderId="24" xfId="0" applyNumberFormat="1" applyFill="1" applyBorder="1"/>
    <xf numFmtId="0" fontId="19" fillId="14" borderId="14" xfId="0" applyFont="1" applyFill="1" applyBorder="1" applyAlignment="1">
      <alignment horizontal="left"/>
    </xf>
    <xf numFmtId="0" fontId="19" fillId="14" borderId="14" xfId="0" applyFont="1" applyFill="1" applyBorder="1"/>
    <xf numFmtId="0" fontId="19" fillId="14" borderId="21" xfId="0" applyFont="1" applyFill="1" applyBorder="1"/>
    <xf numFmtId="0" fontId="27" fillId="14" borderId="21" xfId="0" applyFont="1" applyFill="1" applyBorder="1"/>
    <xf numFmtId="0" fontId="21" fillId="14" borderId="21" xfId="0" applyFont="1" applyFill="1" applyBorder="1"/>
    <xf numFmtId="0" fontId="27" fillId="14" borderId="14" xfId="0" applyFont="1" applyFill="1" applyBorder="1"/>
    <xf numFmtId="0" fontId="5" fillId="0" borderId="14" xfId="0" applyFont="1" applyBorder="1"/>
    <xf numFmtId="0" fontId="2" fillId="25" borderId="14" xfId="0" applyFont="1" applyFill="1" applyBorder="1"/>
    <xf numFmtId="165" fontId="0" fillId="5" borderId="14" xfId="0" applyNumberFormat="1" applyFill="1" applyBorder="1"/>
    <xf numFmtId="0" fontId="0" fillId="0" borderId="14" xfId="0" applyBorder="1" applyAlignment="1">
      <alignment horizontal="right"/>
    </xf>
    <xf numFmtId="9" fontId="0" fillId="27" borderId="14" xfId="0" applyNumberFormat="1" applyFill="1" applyBorder="1" applyAlignment="1">
      <alignment horizontal="right"/>
    </xf>
    <xf numFmtId="165" fontId="0" fillId="0" borderId="17" xfId="0" applyNumberFormat="1" applyBorder="1"/>
    <xf numFmtId="0" fontId="5" fillId="0" borderId="13" xfId="0" applyFont="1" applyBorder="1"/>
    <xf numFmtId="0" fontId="2" fillId="25" borderId="13" xfId="0" applyFont="1" applyFill="1" applyBorder="1"/>
    <xf numFmtId="165" fontId="0" fillId="5" borderId="13" xfId="0" applyNumberFormat="1" applyFill="1" applyBorder="1"/>
    <xf numFmtId="0" fontId="14" fillId="0" borderId="13" xfId="0" applyFont="1" applyBorder="1"/>
    <xf numFmtId="0" fontId="21" fillId="14" borderId="14" xfId="0" applyFont="1" applyFill="1" applyBorder="1"/>
    <xf numFmtId="49" fontId="0" fillId="25" borderId="14" xfId="0" applyNumberFormat="1" applyFill="1" applyBorder="1" applyAlignment="1">
      <alignment horizontal="right"/>
    </xf>
    <xf numFmtId="9" fontId="0" fillId="5" borderId="14" xfId="0" applyNumberFormat="1" applyFill="1" applyBorder="1" applyAlignment="1">
      <alignment horizontal="right"/>
    </xf>
    <xf numFmtId="49" fontId="0" fillId="25" borderId="13" xfId="0" applyNumberFormat="1" applyFill="1" applyBorder="1" applyAlignment="1">
      <alignment horizontal="right"/>
    </xf>
    <xf numFmtId="9" fontId="0" fillId="5" borderId="13" xfId="0" applyNumberFormat="1" applyFill="1" applyBorder="1" applyAlignment="1">
      <alignment horizontal="right"/>
    </xf>
    <xf numFmtId="2" fontId="0" fillId="5" borderId="21" xfId="0" applyNumberFormat="1" applyFill="1" applyBorder="1"/>
    <xf numFmtId="2" fontId="0" fillId="0" borderId="0" xfId="1" applyNumberFormat="1" applyFont="1" applyFill="1" applyBorder="1"/>
    <xf numFmtId="0" fontId="28" fillId="0" borderId="0" xfId="0" applyFont="1" applyAlignment="1">
      <alignment horizontal="right"/>
    </xf>
    <xf numFmtId="9" fontId="0" fillId="27" borderId="14" xfId="0" applyNumberFormat="1" applyFill="1" applyBorder="1"/>
    <xf numFmtId="0" fontId="28" fillId="0" borderId="16" xfId="0" applyFont="1" applyBorder="1"/>
    <xf numFmtId="0" fontId="28" fillId="0" borderId="0" xfId="0" applyFont="1"/>
    <xf numFmtId="0" fontId="28" fillId="0" borderId="16" xfId="0" applyFont="1" applyBorder="1" applyAlignment="1">
      <alignment horizontal="right"/>
    </xf>
    <xf numFmtId="0" fontId="28" fillId="0" borderId="18" xfId="0" applyFont="1" applyBorder="1" applyAlignment="1">
      <alignment horizontal="right"/>
    </xf>
    <xf numFmtId="0" fontId="28" fillId="0" borderId="23" xfId="0" applyFont="1" applyBorder="1"/>
    <xf numFmtId="0" fontId="28" fillId="0" borderId="18" xfId="0" applyFont="1" applyBorder="1"/>
    <xf numFmtId="165" fontId="0" fillId="0" borderId="14" xfId="0" applyNumberFormat="1" applyBorder="1"/>
    <xf numFmtId="165" fontId="0" fillId="0" borderId="13" xfId="0" applyNumberFormat="1" applyBorder="1"/>
    <xf numFmtId="165" fontId="0" fillId="0" borderId="21" xfId="0" applyNumberFormat="1" applyBorder="1"/>
    <xf numFmtId="165" fontId="2" fillId="0" borderId="0" xfId="0" applyNumberFormat="1" applyFont="1"/>
    <xf numFmtId="165" fontId="2" fillId="0" borderId="21" xfId="0" applyNumberFormat="1" applyFont="1" applyBorder="1"/>
    <xf numFmtId="165" fontId="2" fillId="0" borderId="14" xfId="0" applyNumberFormat="1" applyFont="1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20" borderId="15" xfId="0" applyFont="1" applyFill="1" applyBorder="1" applyAlignment="1">
      <alignment horizontal="left"/>
    </xf>
    <xf numFmtId="0" fontId="0" fillId="9" borderId="15" xfId="0" applyFill="1" applyBorder="1" applyAlignment="1">
      <alignment horizontal="left"/>
    </xf>
    <xf numFmtId="0" fontId="3" fillId="28" borderId="15" xfId="0" applyFont="1" applyFill="1" applyBorder="1" applyAlignment="1">
      <alignment horizontal="left"/>
    </xf>
    <xf numFmtId="0" fontId="0" fillId="28" borderId="15" xfId="0" applyFill="1" applyBorder="1"/>
    <xf numFmtId="0" fontId="0" fillId="20" borderId="15" xfId="0" applyFill="1" applyBorder="1" applyAlignment="1">
      <alignment horizontal="right"/>
    </xf>
    <xf numFmtId="0" fontId="3" fillId="20" borderId="15" xfId="0" applyFont="1" applyFill="1" applyBorder="1"/>
    <xf numFmtId="0" fontId="0" fillId="0" borderId="15" xfId="0" applyBorder="1"/>
    <xf numFmtId="0" fontId="4" fillId="0" borderId="15" xfId="0" applyFont="1" applyBorder="1"/>
    <xf numFmtId="2" fontId="29" fillId="9" borderId="15" xfId="0" applyNumberFormat="1" applyFont="1" applyFill="1" applyBorder="1"/>
    <xf numFmtId="0" fontId="1" fillId="28" borderId="15" xfId="8" applyFill="1" applyBorder="1"/>
    <xf numFmtId="167" fontId="0" fillId="28" borderId="15" xfId="0" applyNumberFormat="1" applyFill="1" applyBorder="1"/>
    <xf numFmtId="0" fontId="0" fillId="20" borderId="15" xfId="0" applyFill="1" applyBorder="1"/>
    <xf numFmtId="166" fontId="0" fillId="20" borderId="15" xfId="0" applyNumberFormat="1" applyFill="1" applyBorder="1"/>
    <xf numFmtId="2" fontId="2" fillId="9" borderId="15" xfId="0" applyNumberFormat="1" applyFont="1" applyFill="1" applyBorder="1"/>
    <xf numFmtId="0" fontId="5" fillId="0" borderId="15" xfId="0" applyFont="1" applyBorder="1"/>
    <xf numFmtId="2" fontId="4" fillId="20" borderId="15" xfId="0" applyNumberFormat="1" applyFont="1" applyFill="1" applyBorder="1"/>
    <xf numFmtId="0" fontId="0" fillId="0" borderId="15" xfId="0" applyBorder="1" applyAlignment="1">
      <alignment horizontal="right"/>
    </xf>
    <xf numFmtId="0" fontId="6" fillId="0" borderId="15" xfId="0" applyFont="1" applyBorder="1"/>
    <xf numFmtId="165" fontId="0" fillId="20" borderId="15" xfId="0" applyNumberFormat="1" applyFill="1" applyBorder="1"/>
    <xf numFmtId="0" fontId="4" fillId="0" borderId="15" xfId="0" applyFont="1" applyBorder="1" applyAlignment="1">
      <alignment horizontal="left"/>
    </xf>
    <xf numFmtId="0" fontId="0" fillId="21" borderId="6" xfId="0" applyFill="1" applyBorder="1"/>
    <xf numFmtId="0" fontId="0" fillId="21" borderId="15" xfId="0" applyFill="1" applyBorder="1" applyAlignment="1">
      <alignment horizontal="right"/>
    </xf>
    <xf numFmtId="0" fontId="0" fillId="21" borderId="15" xfId="0" applyFill="1" applyBorder="1"/>
    <xf numFmtId="0" fontId="2" fillId="21" borderId="15" xfId="0" applyFont="1" applyFill="1" applyBorder="1"/>
    <xf numFmtId="2" fontId="0" fillId="21" borderId="15" xfId="0" applyNumberFormat="1" applyFill="1" applyBorder="1"/>
    <xf numFmtId="164" fontId="0" fillId="0" borderId="0" xfId="0" applyNumberFormat="1"/>
    <xf numFmtId="0" fontId="3" fillId="0" borderId="0" xfId="0" applyFont="1" applyAlignment="1">
      <alignment horizontal="right"/>
    </xf>
    <xf numFmtId="0" fontId="22" fillId="0" borderId="0" xfId="0" applyFont="1"/>
    <xf numFmtId="166" fontId="0" fillId="0" borderId="0" xfId="0" applyNumberFormat="1"/>
    <xf numFmtId="166" fontId="3" fillId="0" borderId="0" xfId="0" applyNumberFormat="1" applyFont="1"/>
    <xf numFmtId="168" fontId="0" fillId="0" borderId="0" xfId="7" applyNumberFormat="1" applyFont="1"/>
    <xf numFmtId="168" fontId="0" fillId="0" borderId="0" xfId="0" applyNumberFormat="1"/>
    <xf numFmtId="10" fontId="3" fillId="0" borderId="0" xfId="0" applyNumberFormat="1" applyFont="1"/>
    <xf numFmtId="9" fontId="3" fillId="0" borderId="0" xfId="0" applyNumberFormat="1" applyFont="1"/>
    <xf numFmtId="43" fontId="18" fillId="0" borderId="0" xfId="7" applyFont="1"/>
    <xf numFmtId="43" fontId="18" fillId="0" borderId="0" xfId="0" applyNumberFormat="1" applyFont="1"/>
    <xf numFmtId="0" fontId="3" fillId="0" borderId="0" xfId="8" applyFont="1"/>
    <xf numFmtId="0" fontId="1" fillId="0" borderId="0" xfId="8"/>
    <xf numFmtId="0" fontId="1" fillId="20" borderId="0" xfId="8" applyFill="1"/>
    <xf numFmtId="0" fontId="0" fillId="0" borderId="0" xfId="8" applyFont="1"/>
    <xf numFmtId="168" fontId="0" fillId="0" borderId="0" xfId="9" applyNumberFormat="1" applyFont="1"/>
    <xf numFmtId="168" fontId="1" fillId="0" borderId="0" xfId="8" applyNumberFormat="1"/>
    <xf numFmtId="169" fontId="1" fillId="0" borderId="0" xfId="8" applyNumberFormat="1"/>
    <xf numFmtId="170" fontId="1" fillId="0" borderId="0" xfId="8" applyNumberFormat="1"/>
    <xf numFmtId="43" fontId="1" fillId="20" borderId="0" xfId="8" applyNumberFormat="1" applyFill="1"/>
    <xf numFmtId="43" fontId="1" fillId="0" borderId="0" xfId="8" applyNumberFormat="1"/>
    <xf numFmtId="171" fontId="1" fillId="0" borderId="0" xfId="8" applyNumberFormat="1"/>
    <xf numFmtId="43" fontId="0" fillId="0" borderId="0" xfId="0" applyNumberFormat="1"/>
    <xf numFmtId="165" fontId="0" fillId="20" borderId="0" xfId="0" applyNumberFormat="1" applyFill="1"/>
    <xf numFmtId="0" fontId="25" fillId="0" borderId="0" xfId="0" applyFont="1"/>
    <xf numFmtId="0" fontId="24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 wrapText="1"/>
    </xf>
    <xf numFmtId="168" fontId="25" fillId="0" borderId="0" xfId="7" applyNumberFormat="1" applyFont="1" applyFill="1" applyBorder="1"/>
    <xf numFmtId="171" fontId="25" fillId="0" borderId="0" xfId="7" applyNumberFormat="1" applyFont="1" applyFill="1" applyBorder="1"/>
    <xf numFmtId="43" fontId="0" fillId="0" borderId="0" xfId="7" applyFont="1"/>
    <xf numFmtId="0" fontId="25" fillId="9" borderId="0" xfId="0" applyFont="1" applyFill="1"/>
    <xf numFmtId="43" fontId="0" fillId="9" borderId="0" xfId="7" applyFont="1" applyFill="1"/>
    <xf numFmtId="169" fontId="25" fillId="0" borderId="0" xfId="7" applyNumberFormat="1" applyFont="1" applyFill="1" applyBorder="1"/>
    <xf numFmtId="2" fontId="0" fillId="0" borderId="0" xfId="1" applyNumberFormat="1" applyFont="1" applyFill="1"/>
    <xf numFmtId="2" fontId="19" fillId="0" borderId="0" xfId="0" applyNumberFormat="1" applyFont="1"/>
    <xf numFmtId="165" fontId="4" fillId="4" borderId="8" xfId="1" applyNumberFormat="1" applyFont="1" applyFill="1" applyBorder="1"/>
    <xf numFmtId="165" fontId="4" fillId="0" borderId="0" xfId="1" applyNumberFormat="1" applyFont="1" applyFill="1" applyBorder="1"/>
    <xf numFmtId="9" fontId="4" fillId="4" borderId="0" xfId="0" applyNumberFormat="1" applyFont="1" applyFill="1"/>
    <xf numFmtId="164" fontId="4" fillId="4" borderId="0" xfId="0" applyNumberFormat="1" applyFont="1" applyFill="1"/>
    <xf numFmtId="0" fontId="13" fillId="0" borderId="0" xfId="0" applyFont="1"/>
    <xf numFmtId="2" fontId="9" fillId="0" borderId="0" xfId="2" applyNumberFormat="1" applyFill="1" applyBorder="1"/>
    <xf numFmtId="0" fontId="24" fillId="32" borderId="15" xfId="0" applyFont="1" applyFill="1" applyBorder="1"/>
    <xf numFmtId="0" fontId="25" fillId="32" borderId="15" xfId="0" applyFont="1" applyFill="1" applyBorder="1"/>
    <xf numFmtId="165" fontId="25" fillId="32" borderId="15" xfId="0" applyNumberFormat="1" applyFont="1" applyFill="1" applyBorder="1" applyAlignment="1">
      <alignment horizontal="right"/>
    </xf>
    <xf numFmtId="0" fontId="31" fillId="32" borderId="15" xfId="0" applyFont="1" applyFill="1" applyBorder="1"/>
    <xf numFmtId="165" fontId="31" fillId="32" borderId="15" xfId="0" applyNumberFormat="1" applyFont="1" applyFill="1" applyBorder="1" applyAlignment="1">
      <alignment horizontal="right"/>
    </xf>
    <xf numFmtId="0" fontId="19" fillId="31" borderId="1" xfId="0" applyFont="1" applyFill="1" applyBorder="1"/>
    <xf numFmtId="0" fontId="19" fillId="31" borderId="0" xfId="0" applyFont="1" applyFill="1"/>
    <xf numFmtId="0" fontId="3" fillId="31" borderId="1" xfId="0" applyFont="1" applyFill="1" applyBorder="1"/>
    <xf numFmtId="0" fontId="4" fillId="0" borderId="2" xfId="0" applyFont="1" applyBorder="1"/>
    <xf numFmtId="0" fontId="18" fillId="11" borderId="0" xfId="0" applyFont="1" applyFill="1"/>
    <xf numFmtId="0" fontId="22" fillId="8" borderId="1" xfId="0" applyFont="1" applyFill="1" applyBorder="1"/>
    <xf numFmtId="0" fontId="18" fillId="0" borderId="0" xfId="0" applyFont="1" applyAlignment="1">
      <alignment horizontal="right"/>
    </xf>
    <xf numFmtId="0" fontId="18" fillId="14" borderId="0" xfId="0" applyFont="1" applyFill="1"/>
    <xf numFmtId="2" fontId="18" fillId="14" borderId="0" xfId="0" applyNumberFormat="1" applyFont="1" applyFill="1"/>
    <xf numFmtId="0" fontId="18" fillId="0" borderId="9" xfId="0" applyFont="1" applyBorder="1"/>
    <xf numFmtId="1" fontId="22" fillId="0" borderId="10" xfId="0" applyNumberFormat="1" applyFont="1" applyBorder="1"/>
    <xf numFmtId="0" fontId="18" fillId="0" borderId="6" xfId="0" applyFont="1" applyBorder="1"/>
    <xf numFmtId="0" fontId="18" fillId="14" borderId="5" xfId="0" applyFont="1" applyFill="1" applyBorder="1"/>
    <xf numFmtId="2" fontId="18" fillId="14" borderId="6" xfId="0" applyNumberFormat="1" applyFont="1" applyFill="1" applyBorder="1"/>
    <xf numFmtId="0" fontId="18" fillId="14" borderId="3" xfId="0" applyFont="1" applyFill="1" applyBorder="1"/>
    <xf numFmtId="2" fontId="18" fillId="14" borderId="2" xfId="0" applyNumberFormat="1" applyFont="1" applyFill="1" applyBorder="1"/>
    <xf numFmtId="2" fontId="18" fillId="14" borderId="4" xfId="0" applyNumberFormat="1" applyFont="1" applyFill="1" applyBorder="1"/>
    <xf numFmtId="0" fontId="0" fillId="31" borderId="16" xfId="0" applyFill="1" applyBorder="1"/>
    <xf numFmtId="0" fontId="0" fillId="31" borderId="14" xfId="0" applyFill="1" applyBorder="1"/>
    <xf numFmtId="0" fontId="0" fillId="0" borderId="14" xfId="0" applyBorder="1"/>
    <xf numFmtId="0" fontId="19" fillId="31" borderId="28" xfId="0" applyFont="1" applyFill="1" applyBorder="1"/>
    <xf numFmtId="0" fontId="24" fillId="32" borderId="29" xfId="0" applyFont="1" applyFill="1" applyBorder="1"/>
    <xf numFmtId="0" fontId="0" fillId="0" borderId="23" xfId="0" applyBorder="1"/>
    <xf numFmtId="165" fontId="25" fillId="32" borderId="29" xfId="0" applyNumberFormat="1" applyFont="1" applyFill="1" applyBorder="1" applyAlignment="1">
      <alignment horizontal="right"/>
    </xf>
    <xf numFmtId="165" fontId="31" fillId="32" borderId="29" xfId="0" applyNumberFormat="1" applyFont="1" applyFill="1" applyBorder="1" applyAlignment="1">
      <alignment horizontal="right"/>
    </xf>
    <xf numFmtId="0" fontId="0" fillId="0" borderId="24" xfId="0" applyBorder="1"/>
    <xf numFmtId="0" fontId="0" fillId="0" borderId="23" xfId="0" applyBorder="1" applyAlignment="1">
      <alignment horizontal="right"/>
    </xf>
    <xf numFmtId="0" fontId="15" fillId="0" borderId="13" xfId="0" applyFont="1" applyBorder="1"/>
    <xf numFmtId="0" fontId="0" fillId="0" borderId="19" xfId="0" applyBorder="1"/>
    <xf numFmtId="0" fontId="19" fillId="2" borderId="1" xfId="0" applyFont="1" applyFill="1" applyBorder="1" applyAlignment="1">
      <alignment horizontal="center"/>
    </xf>
    <xf numFmtId="0" fontId="0" fillId="33" borderId="0" xfId="0" applyFill="1"/>
    <xf numFmtId="0" fontId="4" fillId="33" borderId="0" xfId="0" applyFont="1" applyFill="1"/>
    <xf numFmtId="0" fontId="0" fillId="33" borderId="0" xfId="0" applyFill="1" applyAlignment="1">
      <alignment horizontal="right"/>
    </xf>
    <xf numFmtId="0" fontId="6" fillId="33" borderId="0" xfId="0" applyFont="1" applyFill="1"/>
    <xf numFmtId="0" fontId="5" fillId="33" borderId="0" xfId="0" applyFont="1" applyFill="1"/>
    <xf numFmtId="0" fontId="4" fillId="33" borderId="0" xfId="0" applyFont="1" applyFill="1" applyAlignment="1">
      <alignment horizontal="left"/>
    </xf>
    <xf numFmtId="43" fontId="3" fillId="0" borderId="0" xfId="0" applyNumberFormat="1" applyFont="1"/>
    <xf numFmtId="2" fontId="0" fillId="20" borderId="0" xfId="0" applyNumberFormat="1" applyFill="1"/>
    <xf numFmtId="2" fontId="33" fillId="0" borderId="0" xfId="0" applyNumberFormat="1" applyFont="1"/>
    <xf numFmtId="0" fontId="33" fillId="0" borderId="0" xfId="0" applyFont="1"/>
    <xf numFmtId="0" fontId="34" fillId="0" borderId="0" xfId="0" applyFont="1"/>
    <xf numFmtId="2" fontId="1" fillId="0" borderId="0" xfId="8" applyNumberFormat="1"/>
    <xf numFmtId="0" fontId="35" fillId="0" borderId="0" xfId="0" applyFont="1"/>
    <xf numFmtId="49" fontId="18" fillId="0" borderId="0" xfId="0" applyNumberFormat="1" applyFont="1"/>
    <xf numFmtId="49" fontId="18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right"/>
    </xf>
    <xf numFmtId="0" fontId="36" fillId="0" borderId="0" xfId="0" applyFont="1"/>
    <xf numFmtId="0" fontId="0" fillId="33" borderId="15" xfId="0" applyFill="1" applyBorder="1"/>
    <xf numFmtId="0" fontId="4" fillId="33" borderId="15" xfId="0" applyFont="1" applyFill="1" applyBorder="1"/>
    <xf numFmtId="0" fontId="0" fillId="25" borderId="15" xfId="0" applyFill="1" applyBorder="1" applyAlignment="1">
      <alignment horizontal="center"/>
    </xf>
    <xf numFmtId="165" fontId="4" fillId="25" borderId="15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0" fontId="0" fillId="33" borderId="15" xfId="0" applyFill="1" applyBorder="1" applyAlignment="1">
      <alignment horizontal="right"/>
    </xf>
    <xf numFmtId="9" fontId="0" fillId="25" borderId="15" xfId="0" applyNumberFormat="1" applyFill="1" applyBorder="1" applyAlignment="1">
      <alignment horizontal="center"/>
    </xf>
    <xf numFmtId="9" fontId="14" fillId="0" borderId="15" xfId="0" applyNumberFormat="1" applyFon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5" fillId="33" borderId="15" xfId="0" applyFont="1" applyFill="1" applyBorder="1"/>
    <xf numFmtId="0" fontId="6" fillId="33" borderId="15" xfId="0" applyFont="1" applyFill="1" applyBorder="1"/>
    <xf numFmtId="0" fontId="2" fillId="25" borderId="15" xfId="0" applyFont="1" applyFill="1" applyBorder="1" applyAlignment="1">
      <alignment horizontal="center"/>
    </xf>
    <xf numFmtId="0" fontId="4" fillId="33" borderId="15" xfId="0" applyFont="1" applyFill="1" applyBorder="1" applyAlignment="1">
      <alignment horizontal="left"/>
    </xf>
    <xf numFmtId="2" fontId="2" fillId="5" borderId="0" xfId="1" applyNumberFormat="1" applyFont="1" applyFill="1"/>
    <xf numFmtId="0" fontId="0" fillId="34" borderId="0" xfId="0" applyFill="1"/>
    <xf numFmtId="1" fontId="0" fillId="5" borderId="0" xfId="0" applyNumberFormat="1" applyFill="1"/>
    <xf numFmtId="1" fontId="0" fillId="0" borderId="0" xfId="0" applyNumberFormat="1"/>
    <xf numFmtId="0" fontId="0" fillId="0" borderId="0" xfId="0" applyAlignment="1">
      <alignment horizontal="left" wrapText="1"/>
    </xf>
    <xf numFmtId="173" fontId="3" fillId="0" borderId="0" xfId="10" applyNumberFormat="1" applyFont="1"/>
    <xf numFmtId="173" fontId="3" fillId="29" borderId="0" xfId="10" applyNumberFormat="1" applyFont="1" applyFill="1"/>
    <xf numFmtId="173" fontId="24" fillId="35" borderId="30" xfId="10" applyNumberFormat="1" applyFont="1" applyFill="1" applyBorder="1"/>
    <xf numFmtId="0" fontId="24" fillId="35" borderId="30" xfId="0" applyFont="1" applyFill="1" applyBorder="1"/>
    <xf numFmtId="0" fontId="24" fillId="35" borderId="30" xfId="0" applyFont="1" applyFill="1" applyBorder="1" applyAlignment="1">
      <alignment horizontal="left"/>
    </xf>
    <xf numFmtId="165" fontId="0" fillId="29" borderId="0" xfId="0" applyNumberFormat="1" applyFill="1"/>
    <xf numFmtId="1" fontId="37" fillId="0" borderId="0" xfId="0" applyNumberFormat="1" applyFont="1"/>
    <xf numFmtId="1" fontId="38" fillId="0" borderId="0" xfId="0" applyNumberFormat="1" applyFont="1"/>
    <xf numFmtId="1" fontId="25" fillId="0" borderId="0" xfId="0" applyNumberFormat="1" applyFont="1"/>
    <xf numFmtId="0" fontId="38" fillId="0" borderId="0" xfId="0" applyFont="1"/>
    <xf numFmtId="165" fontId="38" fillId="0" borderId="0" xfId="0" applyNumberFormat="1" applyFont="1"/>
    <xf numFmtId="0" fontId="25" fillId="36" borderId="0" xfId="0" applyFont="1" applyFill="1"/>
    <xf numFmtId="0" fontId="25" fillId="0" borderId="0" xfId="0" applyFont="1" applyAlignment="1">
      <alignment horizontal="left"/>
    </xf>
    <xf numFmtId="1" fontId="39" fillId="27" borderId="0" xfId="0" applyNumberFormat="1" applyFont="1" applyFill="1"/>
    <xf numFmtId="1" fontId="39" fillId="0" borderId="0" xfId="0" applyNumberFormat="1" applyFont="1"/>
    <xf numFmtId="1" fontId="0" fillId="18" borderId="0" xfId="0" applyNumberFormat="1" applyFill="1"/>
    <xf numFmtId="165" fontId="0" fillId="18" borderId="0" xfId="0" applyNumberFormat="1" applyFill="1"/>
    <xf numFmtId="1" fontId="37" fillId="18" borderId="0" xfId="0" applyNumberFormat="1" applyFont="1" applyFill="1"/>
    <xf numFmtId="1" fontId="38" fillId="18" borderId="0" xfId="0" applyNumberFormat="1" applyFont="1" applyFill="1"/>
    <xf numFmtId="1" fontId="25" fillId="18" borderId="0" xfId="0" applyNumberFormat="1" applyFont="1" applyFill="1"/>
    <xf numFmtId="0" fontId="25" fillId="18" borderId="0" xfId="0" applyFont="1" applyFill="1"/>
    <xf numFmtId="0" fontId="38" fillId="18" borderId="0" xfId="0" applyFont="1" applyFill="1"/>
    <xf numFmtId="165" fontId="38" fillId="18" borderId="0" xfId="0" applyNumberFormat="1" applyFont="1" applyFill="1"/>
    <xf numFmtId="0" fontId="25" fillId="18" borderId="0" xfId="0" applyFont="1" applyFill="1" applyAlignment="1">
      <alignment horizontal="left"/>
    </xf>
    <xf numFmtId="165" fontId="25" fillId="0" borderId="0" xfId="0" applyNumberFormat="1" applyFont="1"/>
    <xf numFmtId="0" fontId="0" fillId="5" borderId="0" xfId="0" applyFill="1" applyAlignment="1">
      <alignment wrapText="1"/>
    </xf>
    <xf numFmtId="0" fontId="0" fillId="29" borderId="0" xfId="0" applyFill="1" applyAlignment="1">
      <alignment wrapText="1"/>
    </xf>
    <xf numFmtId="0" fontId="24" fillId="35" borderId="0" xfId="0" applyFont="1" applyFill="1"/>
    <xf numFmtId="0" fontId="24" fillId="35" borderId="31" xfId="0" applyFont="1" applyFill="1" applyBorder="1"/>
    <xf numFmtId="0" fontId="24" fillId="36" borderId="31" xfId="0" applyFont="1" applyFill="1" applyBorder="1"/>
    <xf numFmtId="0" fontId="0" fillId="29" borderId="0" xfId="0" applyFill="1"/>
    <xf numFmtId="0" fontId="40" fillId="34" borderId="0" xfId="0" applyFont="1" applyFill="1" applyAlignment="1">
      <alignment horizontal="left" vertical="center" wrapText="1"/>
    </xf>
    <xf numFmtId="0" fontId="41" fillId="34" borderId="0" xfId="0" applyFont="1" applyFill="1" applyAlignment="1">
      <alignment horizontal="left" vertical="center" wrapText="1"/>
    </xf>
    <xf numFmtId="0" fontId="42" fillId="34" borderId="0" xfId="0" applyFont="1" applyFill="1" applyAlignment="1">
      <alignment horizontal="left" vertical="center" wrapText="1"/>
    </xf>
    <xf numFmtId="0" fontId="43" fillId="34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4" fillId="36" borderId="0" xfId="0" applyFont="1" applyFill="1"/>
    <xf numFmtId="0" fontId="40" fillId="34" borderId="32" xfId="0" applyFont="1" applyFill="1" applyBorder="1" applyAlignment="1">
      <alignment horizontal="left" vertical="center" wrapText="1"/>
    </xf>
    <xf numFmtId="0" fontId="41" fillId="34" borderId="7" xfId="0" applyFont="1" applyFill="1" applyBorder="1" applyAlignment="1">
      <alignment horizontal="left" vertical="center" wrapText="1"/>
    </xf>
    <xf numFmtId="0" fontId="42" fillId="34" borderId="7" xfId="0" applyFont="1" applyFill="1" applyBorder="1" applyAlignment="1">
      <alignment horizontal="left" vertical="center" wrapText="1"/>
    </xf>
    <xf numFmtId="0" fontId="43" fillId="34" borderId="7" xfId="0" applyFont="1" applyFill="1" applyBorder="1" applyAlignment="1">
      <alignment horizontal="left" vertical="center" wrapText="1"/>
    </xf>
    <xf numFmtId="0" fontId="41" fillId="34" borderId="32" xfId="0" applyFont="1" applyFill="1" applyBorder="1" applyAlignment="1">
      <alignment horizontal="left" vertical="center" wrapText="1"/>
    </xf>
    <xf numFmtId="0" fontId="42" fillId="0" borderId="33" xfId="0" applyFont="1" applyBorder="1" applyAlignment="1">
      <alignment horizontal="left" vertical="center" wrapText="1"/>
    </xf>
    <xf numFmtId="1" fontId="25" fillId="37" borderId="0" xfId="0" applyNumberFormat="1" applyFont="1" applyFill="1"/>
    <xf numFmtId="172" fontId="0" fillId="0" borderId="0" xfId="0" applyNumberFormat="1"/>
    <xf numFmtId="0" fontId="25" fillId="5" borderId="0" xfId="0" applyFont="1" applyFill="1" applyAlignment="1">
      <alignment horizontal="left"/>
    </xf>
    <xf numFmtId="1" fontId="37" fillId="5" borderId="0" xfId="0" applyNumberFormat="1" applyFont="1" applyFill="1"/>
    <xf numFmtId="1" fontId="38" fillId="5" borderId="0" xfId="0" applyNumberFormat="1" applyFont="1" applyFill="1"/>
    <xf numFmtId="0" fontId="25" fillId="5" borderId="0" xfId="0" applyFont="1" applyFill="1"/>
    <xf numFmtId="1" fontId="25" fillId="5" borderId="0" xfId="0" applyNumberFormat="1" applyFont="1" applyFill="1"/>
    <xf numFmtId="0" fontId="25" fillId="38" borderId="0" xfId="0" applyFont="1" applyFill="1"/>
    <xf numFmtId="0" fontId="38" fillId="5" borderId="0" xfId="0" applyFont="1" applyFill="1"/>
    <xf numFmtId="0" fontId="25" fillId="11" borderId="0" xfId="0" applyFont="1" applyFill="1" applyAlignment="1">
      <alignment horizontal="left"/>
    </xf>
    <xf numFmtId="1" fontId="0" fillId="11" borderId="0" xfId="0" applyNumberFormat="1" applyFill="1"/>
    <xf numFmtId="1" fontId="24" fillId="35" borderId="30" xfId="0" applyNumberFormat="1" applyFont="1" applyFill="1" applyBorder="1"/>
    <xf numFmtId="0" fontId="24" fillId="41" borderId="30" xfId="0" applyFont="1" applyFill="1" applyBorder="1" applyAlignment="1">
      <alignment horizontal="left"/>
    </xf>
    <xf numFmtId="173" fontId="24" fillId="41" borderId="30" xfId="10" applyNumberFormat="1" applyFont="1" applyFill="1" applyBorder="1"/>
    <xf numFmtId="0" fontId="0" fillId="40" borderId="0" xfId="0" applyFill="1"/>
    <xf numFmtId="173" fontId="3" fillId="40" borderId="0" xfId="10" applyNumberFormat="1" applyFont="1" applyFill="1"/>
    <xf numFmtId="43" fontId="24" fillId="41" borderId="30" xfId="7" applyFont="1" applyFill="1" applyBorder="1"/>
    <xf numFmtId="49" fontId="0" fillId="0" borderId="0" xfId="0" applyNumberFormat="1" applyAlignment="1">
      <alignment wrapText="1"/>
    </xf>
    <xf numFmtId="0" fontId="3" fillId="0" borderId="34" xfId="0" applyFont="1" applyBorder="1"/>
    <xf numFmtId="0" fontId="13" fillId="0" borderId="34" xfId="0" applyFont="1" applyBorder="1"/>
    <xf numFmtId="0" fontId="3" fillId="0" borderId="34" xfId="0" applyFont="1" applyBorder="1" applyAlignment="1">
      <alignment horizontal="center"/>
    </xf>
    <xf numFmtId="49" fontId="3" fillId="0" borderId="34" xfId="0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center" textRotation="90"/>
    </xf>
    <xf numFmtId="49" fontId="3" fillId="0" borderId="0" xfId="0" applyNumberFormat="1" applyFont="1" applyAlignment="1">
      <alignment wrapText="1"/>
    </xf>
    <xf numFmtId="0" fontId="19" fillId="0" borderId="0" xfId="0" applyFont="1" applyAlignment="1">
      <alignment horizontal="center" textRotation="90"/>
    </xf>
    <xf numFmtId="0" fontId="19" fillId="0" borderId="34" xfId="0" applyFont="1" applyBorder="1"/>
    <xf numFmtId="0" fontId="0" fillId="0" borderId="36" xfId="0" applyBorder="1"/>
    <xf numFmtId="0" fontId="26" fillId="0" borderId="36" xfId="0" applyFont="1" applyBorder="1"/>
    <xf numFmtId="0" fontId="0" fillId="9" borderId="36" xfId="0" applyFill="1" applyBorder="1"/>
    <xf numFmtId="0" fontId="0" fillId="34" borderId="36" xfId="0" applyFill="1" applyBorder="1"/>
    <xf numFmtId="0" fontId="0" fillId="14" borderId="36" xfId="0" applyFill="1" applyBorder="1"/>
    <xf numFmtId="0" fontId="4" fillId="0" borderId="36" xfId="0" applyFont="1" applyBorder="1"/>
    <xf numFmtId="0" fontId="0" fillId="16" borderId="36" xfId="0" applyFill="1" applyBorder="1"/>
    <xf numFmtId="0" fontId="26" fillId="16" borderId="36" xfId="0" applyFont="1" applyFill="1" applyBorder="1"/>
    <xf numFmtId="0" fontId="4" fillId="16" borderId="36" xfId="0" applyFont="1" applyFill="1" applyBorder="1"/>
    <xf numFmtId="0" fontId="0" fillId="0" borderId="36" xfId="0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0" borderId="36" xfId="0" applyBorder="1" applyAlignment="1">
      <alignment wrapText="1"/>
    </xf>
    <xf numFmtId="0" fontId="14" fillId="39" borderId="36" xfId="0" applyFont="1" applyFill="1" applyBorder="1" applyAlignment="1">
      <alignment wrapText="1"/>
    </xf>
    <xf numFmtId="0" fontId="14" fillId="42" borderId="36" xfId="0" applyFont="1" applyFill="1" applyBorder="1" applyAlignment="1">
      <alignment wrapText="1"/>
    </xf>
    <xf numFmtId="0" fontId="0" fillId="42" borderId="36" xfId="0" applyFill="1" applyBorder="1" applyAlignment="1">
      <alignment wrapText="1"/>
    </xf>
    <xf numFmtId="0" fontId="3" fillId="2" borderId="36" xfId="0" applyFont="1" applyFill="1" applyBorder="1" applyAlignment="1">
      <alignment horizontal="left"/>
    </xf>
    <xf numFmtId="0" fontId="3" fillId="2" borderId="36" xfId="0" applyFont="1" applyFill="1" applyBorder="1" applyAlignment="1">
      <alignment horizontal="center"/>
    </xf>
    <xf numFmtId="0" fontId="3" fillId="2" borderId="36" xfId="0" applyFont="1" applyFill="1" applyBorder="1"/>
    <xf numFmtId="0" fontId="3" fillId="31" borderId="36" xfId="0" applyFont="1" applyFill="1" applyBorder="1"/>
    <xf numFmtId="0" fontId="19" fillId="2" borderId="36" xfId="0" applyFont="1" applyFill="1" applyBorder="1"/>
    <xf numFmtId="0" fontId="3" fillId="0" borderId="36" xfId="0" applyFont="1" applyBorder="1"/>
    <xf numFmtId="0" fontId="3" fillId="9" borderId="36" xfId="0" applyFont="1" applyFill="1" applyBorder="1"/>
    <xf numFmtId="0" fontId="3" fillId="0" borderId="36" xfId="0" applyFont="1" applyBorder="1" applyAlignment="1">
      <alignment horizontal="center"/>
    </xf>
    <xf numFmtId="0" fontId="13" fillId="39" borderId="36" xfId="0" applyFont="1" applyFill="1" applyBorder="1" applyAlignment="1">
      <alignment horizontal="center"/>
    </xf>
    <xf numFmtId="0" fontId="13" fillId="42" borderId="36" xfId="0" applyFont="1" applyFill="1" applyBorder="1" applyAlignment="1">
      <alignment horizontal="center"/>
    </xf>
    <xf numFmtId="0" fontId="3" fillId="34" borderId="36" xfId="0" applyFont="1" applyFill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3" fillId="34" borderId="36" xfId="0" applyFont="1" applyFill="1" applyBorder="1"/>
    <xf numFmtId="165" fontId="19" fillId="28" borderId="36" xfId="1" applyNumberFormat="1" applyFont="1" applyFill="1" applyBorder="1"/>
    <xf numFmtId="165" fontId="19" fillId="14" borderId="36" xfId="1" applyNumberFormat="1" applyFont="1" applyFill="1" applyBorder="1"/>
    <xf numFmtId="0" fontId="4" fillId="9" borderId="36" xfId="0" applyFont="1" applyFill="1" applyBorder="1"/>
    <xf numFmtId="2" fontId="0" fillId="0" borderId="36" xfId="0" applyNumberFormat="1" applyBorder="1"/>
    <xf numFmtId="0" fontId="45" fillId="43" borderId="36" xfId="0" applyFont="1" applyFill="1" applyBorder="1"/>
    <xf numFmtId="2" fontId="4" fillId="34" borderId="36" xfId="1" applyNumberFormat="1" applyFont="1" applyFill="1" applyBorder="1"/>
    <xf numFmtId="2" fontId="19" fillId="34" borderId="36" xfId="1" applyNumberFormat="1" applyFont="1" applyFill="1" applyBorder="1"/>
    <xf numFmtId="165" fontId="19" fillId="4" borderId="36" xfId="1" applyNumberFormat="1" applyFont="1" applyFill="1" applyBorder="1"/>
    <xf numFmtId="165" fontId="4" fillId="4" borderId="36" xfId="1" applyNumberFormat="1" applyFont="1" applyFill="1" applyBorder="1"/>
    <xf numFmtId="165" fontId="4" fillId="14" borderId="36" xfId="1" applyNumberFormat="1" applyFont="1" applyFill="1" applyBorder="1"/>
    <xf numFmtId="2" fontId="4" fillId="0" borderId="36" xfId="0" applyNumberFormat="1" applyFont="1" applyBorder="1"/>
    <xf numFmtId="9" fontId="4" fillId="4" borderId="36" xfId="0" applyNumberFormat="1" applyFont="1" applyFill="1" applyBorder="1"/>
    <xf numFmtId="0" fontId="0" fillId="0" borderId="36" xfId="0" applyBorder="1" applyAlignment="1">
      <alignment horizontal="right"/>
    </xf>
    <xf numFmtId="9" fontId="0" fillId="0" borderId="36" xfId="0" applyNumberFormat="1" applyBorder="1"/>
    <xf numFmtId="165" fontId="4" fillId="0" borderId="36" xfId="0" applyNumberFormat="1" applyFont="1" applyBorder="1"/>
    <xf numFmtId="2" fontId="3" fillId="0" borderId="36" xfId="0" applyNumberFormat="1" applyFont="1" applyBorder="1"/>
    <xf numFmtId="2" fontId="0" fillId="34" borderId="36" xfId="0" applyNumberFormat="1" applyFill="1" applyBorder="1"/>
    <xf numFmtId="1" fontId="0" fillId="0" borderId="36" xfId="0" applyNumberFormat="1" applyBorder="1"/>
    <xf numFmtId="0" fontId="2" fillId="0" borderId="36" xfId="0" applyFont="1" applyBorder="1"/>
    <xf numFmtId="2" fontId="0" fillId="34" borderId="36" xfId="1" applyNumberFormat="1" applyFont="1" applyFill="1" applyBorder="1"/>
    <xf numFmtId="2" fontId="14" fillId="0" borderId="36" xfId="0" applyNumberFormat="1" applyFont="1" applyBorder="1"/>
    <xf numFmtId="0" fontId="4" fillId="0" borderId="36" xfId="0" applyFont="1" applyBorder="1" applyAlignment="1">
      <alignment horizontal="right"/>
    </xf>
    <xf numFmtId="0" fontId="14" fillId="0" borderId="36" xfId="0" applyFont="1" applyBorder="1" applyAlignment="1">
      <alignment horizontal="right"/>
    </xf>
    <xf numFmtId="0" fontId="45" fillId="0" borderId="36" xfId="0" applyFont="1" applyBorder="1" applyAlignment="1">
      <alignment vertical="center"/>
    </xf>
    <xf numFmtId="2" fontId="0" fillId="9" borderId="36" xfId="0" applyNumberFormat="1" applyFill="1" applyBorder="1"/>
    <xf numFmtId="49" fontId="0" fillId="0" borderId="36" xfId="0" applyNumberFormat="1" applyBorder="1" applyAlignment="1">
      <alignment vertical="top" wrapText="1"/>
    </xf>
    <xf numFmtId="0" fontId="5" fillId="0" borderId="36" xfId="0" applyFont="1" applyBorder="1"/>
    <xf numFmtId="0" fontId="5" fillId="9" borderId="36" xfId="0" applyFont="1" applyFill="1" applyBorder="1"/>
    <xf numFmtId="0" fontId="21" fillId="0" borderId="36" xfId="0" applyFont="1" applyBorder="1"/>
    <xf numFmtId="0" fontId="0" fillId="0" borderId="36" xfId="0" applyBorder="1" applyAlignment="1">
      <alignment vertical="top"/>
    </xf>
    <xf numFmtId="0" fontId="4" fillId="27" borderId="36" xfId="0" applyFont="1" applyFill="1" applyBorder="1" applyAlignment="1">
      <alignment vertical="center" wrapText="1"/>
    </xf>
    <xf numFmtId="2" fontId="0" fillId="27" borderId="36" xfId="0" applyNumberFormat="1" applyFill="1" applyBorder="1"/>
    <xf numFmtId="0" fontId="45" fillId="45" borderId="36" xfId="0" applyFont="1" applyFill="1" applyBorder="1" applyAlignment="1">
      <alignment vertical="center"/>
    </xf>
    <xf numFmtId="49" fontId="0" fillId="0" borderId="36" xfId="0" applyNumberFormat="1" applyBorder="1" applyAlignment="1">
      <alignment horizontal="left" vertical="top" wrapText="1"/>
    </xf>
    <xf numFmtId="0" fontId="45" fillId="44" borderId="36" xfId="0" applyFont="1" applyFill="1" applyBorder="1" applyAlignment="1">
      <alignment vertical="center"/>
    </xf>
    <xf numFmtId="2" fontId="0" fillId="0" borderId="36" xfId="7" applyNumberFormat="1" applyFont="1" applyFill="1" applyBorder="1"/>
    <xf numFmtId="0" fontId="4" fillId="0" borderId="36" xfId="0" applyFont="1" applyBorder="1" applyAlignment="1">
      <alignment vertical="top"/>
    </xf>
    <xf numFmtId="49" fontId="0" fillId="0" borderId="36" xfId="0" applyNumberFormat="1" applyBorder="1" applyAlignment="1">
      <alignment vertical="top"/>
    </xf>
    <xf numFmtId="0" fontId="21" fillId="0" borderId="36" xfId="0" applyFont="1" applyBorder="1" applyAlignment="1">
      <alignment vertical="top"/>
    </xf>
    <xf numFmtId="49" fontId="21" fillId="0" borderId="36" xfId="0" applyNumberFormat="1" applyFont="1" applyBorder="1" applyAlignment="1">
      <alignment vertical="top"/>
    </xf>
    <xf numFmtId="0" fontId="19" fillId="34" borderId="36" xfId="0" applyFont="1" applyFill="1" applyBorder="1"/>
    <xf numFmtId="0" fontId="19" fillId="9" borderId="36" xfId="0" applyFont="1" applyFill="1" applyBorder="1"/>
    <xf numFmtId="0" fontId="19" fillId="0" borderId="36" xfId="0" applyFont="1" applyBorder="1"/>
    <xf numFmtId="2" fontId="19" fillId="0" borderId="36" xfId="0" applyNumberFormat="1" applyFont="1" applyBorder="1"/>
    <xf numFmtId="0" fontId="3" fillId="14" borderId="36" xfId="0" applyFont="1" applyFill="1" applyBorder="1"/>
    <xf numFmtId="0" fontId="33" fillId="0" borderId="36" xfId="3" applyFont="1" applyFill="1" applyBorder="1" applyAlignment="1">
      <alignment vertical="top"/>
    </xf>
    <xf numFmtId="0" fontId="10" fillId="0" borderId="36" xfId="3" applyFill="1" applyBorder="1" applyAlignment="1">
      <alignment vertical="top"/>
    </xf>
    <xf numFmtId="0" fontId="4" fillId="34" borderId="36" xfId="0" applyFont="1" applyFill="1" applyBorder="1"/>
    <xf numFmtId="0" fontId="3" fillId="0" borderId="36" xfId="0" applyFont="1" applyBorder="1" applyAlignment="1">
      <alignment horizontal="right"/>
    </xf>
    <xf numFmtId="9" fontId="19" fillId="4" borderId="36" xfId="0" applyNumberFormat="1" applyFont="1" applyFill="1" applyBorder="1"/>
    <xf numFmtId="9" fontId="3" fillId="0" borderId="36" xfId="0" applyNumberFormat="1" applyFont="1" applyBorder="1" applyAlignment="1">
      <alignment horizontal="right"/>
    </xf>
    <xf numFmtId="9" fontId="0" fillId="0" borderId="36" xfId="0" applyNumberFormat="1" applyBorder="1" applyAlignment="1">
      <alignment horizontal="right"/>
    </xf>
    <xf numFmtId="0" fontId="33" fillId="0" borderId="36" xfId="0" applyFont="1" applyBorder="1" applyAlignment="1">
      <alignment vertical="top"/>
    </xf>
    <xf numFmtId="0" fontId="4" fillId="0" borderId="36" xfId="0" applyFont="1" applyBorder="1" applyAlignment="1">
      <alignment horizontal="left"/>
    </xf>
    <xf numFmtId="0" fontId="4" fillId="9" borderId="36" xfId="0" applyFont="1" applyFill="1" applyBorder="1" applyAlignment="1">
      <alignment horizontal="left"/>
    </xf>
    <xf numFmtId="0" fontId="19" fillId="9" borderId="36" xfId="0" applyFont="1" applyFill="1" applyBorder="1" applyAlignment="1">
      <alignment horizontal="left"/>
    </xf>
    <xf numFmtId="0" fontId="3" fillId="20" borderId="0" xfId="0" applyFont="1" applyFill="1" applyAlignment="1">
      <alignment horizontal="left"/>
    </xf>
    <xf numFmtId="2" fontId="26" fillId="34" borderId="36" xfId="1" applyNumberFormat="1" applyFont="1" applyFill="1" applyBorder="1"/>
    <xf numFmtId="2" fontId="2" fillId="34" borderId="36" xfId="1" applyNumberFormat="1" applyFont="1" applyFill="1" applyBorder="1"/>
    <xf numFmtId="0" fontId="13" fillId="34" borderId="36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165" fontId="47" fillId="34" borderId="37" xfId="0" applyNumberFormat="1" applyFont="1" applyFill="1" applyBorder="1" applyAlignment="1">
      <alignment vertical="top"/>
    </xf>
    <xf numFmtId="165" fontId="47" fillId="0" borderId="37" xfId="0" applyNumberFormat="1" applyFont="1" applyBorder="1" applyAlignment="1">
      <alignment vertical="top"/>
    </xf>
    <xf numFmtId="0" fontId="0" fillId="5" borderId="15" xfId="0" applyFill="1" applyBorder="1"/>
    <xf numFmtId="0" fontId="4" fillId="5" borderId="15" xfId="0" applyFont="1" applyFill="1" applyBorder="1"/>
    <xf numFmtId="2" fontId="0" fillId="5" borderId="15" xfId="0" applyNumberFormat="1" applyFill="1" applyBorder="1"/>
    <xf numFmtId="0" fontId="3" fillId="17" borderId="0" xfId="0" applyFont="1" applyFill="1" applyAlignment="1">
      <alignment horizontal="center"/>
    </xf>
    <xf numFmtId="0" fontId="3" fillId="17" borderId="0" xfId="0" applyFont="1" applyFill="1"/>
    <xf numFmtId="2" fontId="3" fillId="17" borderId="0" xfId="0" applyNumberFormat="1" applyFont="1" applyFill="1"/>
    <xf numFmtId="0" fontId="0" fillId="5" borderId="36" xfId="0" applyFill="1" applyBorder="1"/>
    <xf numFmtId="2" fontId="0" fillId="14" borderId="36" xfId="0" applyNumberFormat="1" applyFill="1" applyBorder="1"/>
    <xf numFmtId="2" fontId="3" fillId="9" borderId="36" xfId="0" applyNumberFormat="1" applyFont="1" applyFill="1" applyBorder="1"/>
    <xf numFmtId="2" fontId="19" fillId="9" borderId="36" xfId="1" applyNumberFormat="1" applyFont="1" applyFill="1" applyBorder="1"/>
    <xf numFmtId="165" fontId="19" fillId="9" borderId="36" xfId="1" applyNumberFormat="1" applyFont="1" applyFill="1" applyBorder="1"/>
    <xf numFmtId="2" fontId="19" fillId="9" borderId="36" xfId="0" applyNumberFormat="1" applyFont="1" applyFill="1" applyBorder="1"/>
    <xf numFmtId="9" fontId="19" fillId="9" borderId="36" xfId="0" applyNumberFormat="1" applyFont="1" applyFill="1" applyBorder="1"/>
    <xf numFmtId="0" fontId="3" fillId="9" borderId="36" xfId="0" applyFont="1" applyFill="1" applyBorder="1" applyAlignment="1">
      <alignment horizontal="right"/>
    </xf>
    <xf numFmtId="9" fontId="3" fillId="9" borderId="36" xfId="0" applyNumberFormat="1" applyFont="1" applyFill="1" applyBorder="1"/>
    <xf numFmtId="165" fontId="19" fillId="9" borderId="36" xfId="0" applyNumberFormat="1" applyFont="1" applyFill="1" applyBorder="1"/>
    <xf numFmtId="0" fontId="3" fillId="9" borderId="0" xfId="0" applyFont="1" applyFill="1"/>
    <xf numFmtId="0" fontId="19" fillId="9" borderId="36" xfId="0" applyFont="1" applyFill="1" applyBorder="1" applyAlignment="1">
      <alignment horizontal="right"/>
    </xf>
    <xf numFmtId="2" fontId="3" fillId="9" borderId="36" xfId="1" applyNumberFormat="1" applyFont="1" applyFill="1" applyBorder="1"/>
    <xf numFmtId="2" fontId="13" fillId="9" borderId="36" xfId="0" applyNumberFormat="1" applyFont="1" applyFill="1" applyBorder="1"/>
    <xf numFmtId="0" fontId="13" fillId="9" borderId="36" xfId="0" applyFont="1" applyFill="1" applyBorder="1" applyAlignment="1">
      <alignment horizontal="right"/>
    </xf>
    <xf numFmtId="0" fontId="21" fillId="9" borderId="36" xfId="0" applyFont="1" applyFill="1" applyBorder="1"/>
    <xf numFmtId="43" fontId="3" fillId="9" borderId="36" xfId="7" applyFont="1" applyFill="1" applyBorder="1"/>
    <xf numFmtId="165" fontId="3" fillId="9" borderId="36" xfId="0" applyNumberFormat="1" applyFont="1" applyFill="1" applyBorder="1"/>
    <xf numFmtId="0" fontId="19" fillId="9" borderId="36" xfId="0" applyFont="1" applyFill="1" applyBorder="1" applyAlignment="1">
      <alignment vertical="top"/>
    </xf>
    <xf numFmtId="49" fontId="21" fillId="9" borderId="36" xfId="0" applyNumberFormat="1" applyFont="1" applyFill="1" applyBorder="1" applyAlignment="1">
      <alignment vertical="top"/>
    </xf>
    <xf numFmtId="0" fontId="19" fillId="9" borderId="36" xfId="3" applyFont="1" applyFill="1" applyBorder="1" applyAlignment="1">
      <alignment vertical="top"/>
    </xf>
    <xf numFmtId="0" fontId="21" fillId="9" borderId="36" xfId="0" applyFont="1" applyFill="1" applyBorder="1" applyAlignment="1">
      <alignment vertical="top"/>
    </xf>
    <xf numFmtId="2" fontId="48" fillId="0" borderId="36" xfId="0" applyNumberFormat="1" applyFont="1" applyBorder="1"/>
    <xf numFmtId="0" fontId="48" fillId="0" borderId="0" xfId="0" applyFont="1"/>
    <xf numFmtId="0" fontId="48" fillId="0" borderId="36" xfId="0" applyFont="1" applyBorder="1"/>
    <xf numFmtId="0" fontId="48" fillId="9" borderId="36" xfId="0" applyFont="1" applyFill="1" applyBorder="1"/>
    <xf numFmtId="1" fontId="48" fillId="0" borderId="36" xfId="0" applyNumberFormat="1" applyFont="1" applyBorder="1"/>
    <xf numFmtId="1" fontId="48" fillId="27" borderId="36" xfId="0" applyNumberFormat="1" applyFont="1" applyFill="1" applyBorder="1"/>
    <xf numFmtId="2" fontId="48" fillId="34" borderId="36" xfId="1" applyNumberFormat="1" applyFont="1" applyFill="1" applyBorder="1"/>
    <xf numFmtId="165" fontId="48" fillId="4" borderId="36" xfId="1" applyNumberFormat="1" applyFont="1" applyFill="1" applyBorder="1"/>
    <xf numFmtId="165" fontId="50" fillId="4" borderId="36" xfId="1" applyNumberFormat="1" applyFont="1" applyFill="1" applyBorder="1"/>
    <xf numFmtId="165" fontId="48" fillId="14" borderId="36" xfId="1" applyNumberFormat="1" applyFont="1" applyFill="1" applyBorder="1"/>
    <xf numFmtId="165" fontId="50" fillId="28" borderId="36" xfId="1" applyNumberFormat="1" applyFont="1" applyFill="1" applyBorder="1"/>
    <xf numFmtId="9" fontId="48" fillId="4" borderId="36" xfId="0" applyNumberFormat="1" applyFont="1" applyFill="1" applyBorder="1"/>
    <xf numFmtId="0" fontId="48" fillId="0" borderId="36" xfId="0" applyFont="1" applyBorder="1" applyAlignment="1">
      <alignment horizontal="right"/>
    </xf>
    <xf numFmtId="9" fontId="48" fillId="0" borderId="36" xfId="0" applyNumberFormat="1" applyFont="1" applyBorder="1"/>
    <xf numFmtId="165" fontId="48" fillId="0" borderId="36" xfId="0" applyNumberFormat="1" applyFont="1" applyBorder="1"/>
    <xf numFmtId="2" fontId="3" fillId="9" borderId="0" xfId="0" applyNumberFormat="1" applyFont="1" applyFill="1"/>
    <xf numFmtId="2" fontId="19" fillId="5" borderId="36" xfId="1" applyNumberFormat="1" applyFont="1" applyFill="1" applyBorder="1"/>
    <xf numFmtId="165" fontId="4" fillId="28" borderId="36" xfId="1" applyNumberFormat="1" applyFont="1" applyFill="1" applyBorder="1"/>
    <xf numFmtId="167" fontId="4" fillId="28" borderId="36" xfId="1" applyNumberFormat="1" applyFont="1" applyFill="1" applyBorder="1"/>
    <xf numFmtId="168" fontId="3" fillId="0" borderId="0" xfId="0" applyNumberFormat="1" applyFont="1"/>
    <xf numFmtId="168" fontId="3" fillId="0" borderId="0" xfId="9" applyNumberFormat="1" applyFont="1"/>
    <xf numFmtId="0" fontId="1" fillId="0" borderId="0" xfId="0" applyFont="1"/>
    <xf numFmtId="43" fontId="0" fillId="0" borderId="0" xfId="9" applyFont="1"/>
    <xf numFmtId="0" fontId="4" fillId="46" borderId="0" xfId="0" applyFont="1" applyFill="1"/>
    <xf numFmtId="174" fontId="0" fillId="46" borderId="0" xfId="9" applyNumberFormat="1" applyFont="1" applyFill="1"/>
    <xf numFmtId="168" fontId="0" fillId="46" borderId="0" xfId="9" applyNumberFormat="1" applyFont="1" applyFill="1"/>
    <xf numFmtId="0" fontId="18" fillId="46" borderId="0" xfId="0" applyFont="1" applyFill="1"/>
    <xf numFmtId="168" fontId="18" fillId="46" borderId="0" xfId="9" applyNumberFormat="1" applyFont="1" applyFill="1"/>
    <xf numFmtId="0" fontId="4" fillId="17" borderId="0" xfId="0" applyFont="1" applyFill="1"/>
    <xf numFmtId="168" fontId="0" fillId="17" borderId="0" xfId="9" applyNumberFormat="1" applyFont="1" applyFill="1"/>
    <xf numFmtId="0" fontId="3" fillId="14" borderId="0" xfId="0" applyFont="1" applyFill="1"/>
    <xf numFmtId="168" fontId="3" fillId="14" borderId="0" xfId="9" applyNumberFormat="1" applyFont="1" applyFill="1"/>
    <xf numFmtId="168" fontId="0" fillId="14" borderId="0" xfId="9" applyNumberFormat="1" applyFont="1" applyFill="1"/>
    <xf numFmtId="0" fontId="0" fillId="47" borderId="0" xfId="0" applyFill="1"/>
    <xf numFmtId="0" fontId="52" fillId="0" borderId="36" xfId="0" applyFont="1" applyBorder="1"/>
    <xf numFmtId="0" fontId="52" fillId="9" borderId="36" xfId="0" applyFont="1" applyFill="1" applyBorder="1"/>
    <xf numFmtId="0" fontId="52" fillId="0" borderId="36" xfId="0" applyFont="1" applyBorder="1" applyAlignment="1">
      <alignment vertical="top"/>
    </xf>
    <xf numFmtId="49" fontId="52" fillId="0" borderId="36" xfId="0" applyNumberFormat="1" applyFont="1" applyBorder="1" applyAlignment="1">
      <alignment vertical="top"/>
    </xf>
    <xf numFmtId="2" fontId="52" fillId="0" borderId="36" xfId="0" applyNumberFormat="1" applyFont="1" applyBorder="1"/>
    <xf numFmtId="0" fontId="52" fillId="34" borderId="36" xfId="0" applyFont="1" applyFill="1" applyBorder="1"/>
    <xf numFmtId="165" fontId="52" fillId="4" borderId="36" xfId="1" applyNumberFormat="1" applyFont="1" applyFill="1" applyBorder="1"/>
    <xf numFmtId="2" fontId="52" fillId="14" borderId="36" xfId="0" applyNumberFormat="1" applyFont="1" applyFill="1" applyBorder="1"/>
    <xf numFmtId="49" fontId="19" fillId="27" borderId="36" xfId="0" applyNumberFormat="1" applyFont="1" applyFill="1" applyBorder="1" applyAlignment="1">
      <alignment vertical="top"/>
    </xf>
    <xf numFmtId="49" fontId="4" fillId="0" borderId="36" xfId="0" applyNumberFormat="1" applyFont="1" applyBorder="1" applyAlignment="1">
      <alignment vertical="top"/>
    </xf>
    <xf numFmtId="0" fontId="4" fillId="14" borderId="36" xfId="0" applyFont="1" applyFill="1" applyBorder="1"/>
    <xf numFmtId="2" fontId="4" fillId="5" borderId="36" xfId="1" applyNumberFormat="1" applyFont="1" applyFill="1" applyBorder="1"/>
    <xf numFmtId="0" fontId="0" fillId="18" borderId="36" xfId="0" applyFill="1" applyBorder="1"/>
    <xf numFmtId="0" fontId="13" fillId="34" borderId="36" xfId="0" applyFont="1" applyFill="1" applyBorder="1" applyAlignment="1">
      <alignment horizontal="left"/>
    </xf>
    <xf numFmtId="0" fontId="13" fillId="9" borderId="36" xfId="0" applyFont="1" applyFill="1" applyBorder="1" applyAlignment="1">
      <alignment horizontal="left"/>
    </xf>
    <xf numFmtId="0" fontId="13" fillId="34" borderId="36" xfId="0" applyFont="1" applyFill="1" applyBorder="1"/>
    <xf numFmtId="0" fontId="4" fillId="18" borderId="36" xfId="0" applyFont="1" applyFill="1" applyBorder="1"/>
    <xf numFmtId="0" fontId="14" fillId="18" borderId="36" xfId="0" applyFont="1" applyFill="1" applyBorder="1"/>
    <xf numFmtId="0" fontId="14" fillId="39" borderId="36" xfId="0" applyFont="1" applyFill="1" applyBorder="1"/>
    <xf numFmtId="0" fontId="14" fillId="42" borderId="36" xfId="0" applyFont="1" applyFill="1" applyBorder="1"/>
    <xf numFmtId="0" fontId="14" fillId="34" borderId="36" xfId="0" applyFont="1" applyFill="1" applyBorder="1" applyAlignment="1">
      <alignment horizontal="center"/>
    </xf>
    <xf numFmtId="167" fontId="3" fillId="9" borderId="36" xfId="0" applyNumberFormat="1" applyFont="1" applyFill="1" applyBorder="1"/>
    <xf numFmtId="2" fontId="52" fillId="34" borderId="36" xfId="1" applyNumberFormat="1" applyFont="1" applyFill="1" applyBorder="1"/>
    <xf numFmtId="2" fontId="0" fillId="5" borderId="36" xfId="0" applyNumberFormat="1" applyFill="1" applyBorder="1"/>
    <xf numFmtId="43" fontId="3" fillId="9" borderId="36" xfId="0" applyNumberFormat="1" applyFont="1" applyFill="1" applyBorder="1"/>
    <xf numFmtId="43" fontId="0" fillId="0" borderId="36" xfId="7" applyFont="1" applyBorder="1"/>
    <xf numFmtId="166" fontId="0" fillId="0" borderId="36" xfId="0" applyNumberFormat="1" applyBorder="1"/>
    <xf numFmtId="2" fontId="3" fillId="5" borderId="36" xfId="0" applyNumberFormat="1" applyFont="1" applyFill="1" applyBorder="1"/>
    <xf numFmtId="49" fontId="21" fillId="34" borderId="36" xfId="0" applyNumberFormat="1" applyFont="1" applyFill="1" applyBorder="1" applyAlignment="1">
      <alignment vertical="top"/>
    </xf>
    <xf numFmtId="0" fontId="27" fillId="9" borderId="36" xfId="0" applyFont="1" applyFill="1" applyBorder="1"/>
    <xf numFmtId="0" fontId="6" fillId="0" borderId="36" xfId="0" applyFont="1" applyBorder="1"/>
    <xf numFmtId="0" fontId="3" fillId="34" borderId="36" xfId="0" applyFont="1" applyFill="1" applyBorder="1" applyAlignment="1">
      <alignment horizontal="right"/>
    </xf>
    <xf numFmtId="2" fontId="3" fillId="34" borderId="36" xfId="0" applyNumberFormat="1" applyFont="1" applyFill="1" applyBorder="1"/>
    <xf numFmtId="0" fontId="0" fillId="34" borderId="36" xfId="0" applyFill="1" applyBorder="1" applyAlignment="1">
      <alignment horizontal="right"/>
    </xf>
    <xf numFmtId="165" fontId="0" fillId="0" borderId="36" xfId="0" applyNumberFormat="1" applyBorder="1"/>
    <xf numFmtId="2" fontId="20" fillId="0" borderId="36" xfId="0" applyNumberFormat="1" applyFont="1" applyBorder="1"/>
    <xf numFmtId="2" fontId="4" fillId="0" borderId="36" xfId="1" applyNumberFormat="1" applyFont="1" applyFill="1" applyBorder="1"/>
    <xf numFmtId="167" fontId="52" fillId="28" borderId="36" xfId="1" applyNumberFormat="1" applyFont="1" applyFill="1" applyBorder="1"/>
    <xf numFmtId="0" fontId="53" fillId="0" borderId="36" xfId="0" applyFont="1" applyBorder="1"/>
    <xf numFmtId="0" fontId="53" fillId="9" borderId="36" xfId="0" applyFont="1" applyFill="1" applyBorder="1"/>
    <xf numFmtId="2" fontId="53" fillId="34" borderId="36" xfId="1" applyNumberFormat="1" applyFont="1" applyFill="1" applyBorder="1"/>
    <xf numFmtId="0" fontId="53" fillId="14" borderId="36" xfId="0" applyFont="1" applyFill="1" applyBorder="1"/>
    <xf numFmtId="175" fontId="0" fillId="0" borderId="36" xfId="0" applyNumberFormat="1" applyBorder="1"/>
    <xf numFmtId="167" fontId="4" fillId="0" borderId="36" xfId="1" applyNumberFormat="1" applyFont="1" applyFill="1" applyBorder="1"/>
    <xf numFmtId="165" fontId="4" fillId="0" borderId="36" xfId="1" applyNumberFormat="1" applyFont="1" applyFill="1" applyBorder="1"/>
    <xf numFmtId="0" fontId="3" fillId="20" borderId="35" xfId="0" applyFont="1" applyFill="1" applyBorder="1" applyAlignment="1">
      <alignment horizontal="left"/>
    </xf>
    <xf numFmtId="2" fontId="0" fillId="0" borderId="39" xfId="0" applyNumberFormat="1" applyBorder="1"/>
    <xf numFmtId="0" fontId="0" fillId="0" borderId="39" xfId="0" applyBorder="1" applyAlignment="1">
      <alignment vertical="top"/>
    </xf>
    <xf numFmtId="0" fontId="0" fillId="0" borderId="40" xfId="0" applyBorder="1"/>
    <xf numFmtId="0" fontId="4" fillId="0" borderId="40" xfId="0" applyFont="1" applyBorder="1"/>
    <xf numFmtId="0" fontId="3" fillId="17" borderId="40" xfId="0" applyFont="1" applyFill="1" applyBorder="1"/>
    <xf numFmtId="2" fontId="0" fillId="0" borderId="40" xfId="0" applyNumberFormat="1" applyBorder="1"/>
    <xf numFmtId="165" fontId="47" fillId="34" borderId="40" xfId="0" applyNumberFormat="1" applyFont="1" applyFill="1" applyBorder="1" applyAlignment="1">
      <alignment vertical="top"/>
    </xf>
    <xf numFmtId="165" fontId="47" fillId="34" borderId="40" xfId="0" applyNumberFormat="1" applyFont="1" applyFill="1" applyBorder="1" applyAlignment="1">
      <alignment horizontal="right" vertical="top"/>
    </xf>
    <xf numFmtId="2" fontId="0" fillId="34" borderId="40" xfId="0" applyNumberFormat="1" applyFill="1" applyBorder="1"/>
    <xf numFmtId="2" fontId="3" fillId="17" borderId="40" xfId="0" applyNumberFormat="1" applyFont="1" applyFill="1" applyBorder="1"/>
    <xf numFmtId="2" fontId="46" fillId="34" borderId="40" xfId="0" applyNumberFormat="1" applyFont="1" applyFill="1" applyBorder="1" applyAlignment="1">
      <alignment vertical="top"/>
    </xf>
    <xf numFmtId="0" fontId="0" fillId="34" borderId="40" xfId="0" applyFill="1" applyBorder="1"/>
    <xf numFmtId="165" fontId="47" fillId="0" borderId="40" xfId="0" applyNumberFormat="1" applyFont="1" applyBorder="1" applyAlignment="1">
      <alignment horizontal="right" vertical="top"/>
    </xf>
    <xf numFmtId="0" fontId="48" fillId="0" borderId="40" xfId="0" applyFont="1" applyBorder="1"/>
    <xf numFmtId="2" fontId="48" fillId="0" borderId="40" xfId="0" applyNumberFormat="1" applyFont="1" applyBorder="1"/>
    <xf numFmtId="0" fontId="48" fillId="34" borderId="40" xfId="0" applyFont="1" applyFill="1" applyBorder="1"/>
    <xf numFmtId="165" fontId="49" fillId="0" borderId="40" xfId="0" applyNumberFormat="1" applyFont="1" applyBorder="1" applyAlignment="1">
      <alignment horizontal="right" vertical="top"/>
    </xf>
    <xf numFmtId="0" fontId="2" fillId="0" borderId="40" xfId="0" applyFont="1" applyBorder="1"/>
    <xf numFmtId="2" fontId="0" fillId="5" borderId="40" xfId="0" applyNumberFormat="1" applyFill="1" applyBorder="1"/>
    <xf numFmtId="0" fontId="0" fillId="5" borderId="40" xfId="0" applyFill="1" applyBorder="1"/>
    <xf numFmtId="166" fontId="51" fillId="0" borderId="40" xfId="0" applyNumberFormat="1" applyFont="1" applyBorder="1" applyAlignment="1">
      <alignment vertical="top"/>
    </xf>
    <xf numFmtId="165" fontId="49" fillId="0" borderId="40" xfId="0" applyNumberFormat="1" applyFont="1" applyBorder="1" applyAlignment="1">
      <alignment vertical="top"/>
    </xf>
    <xf numFmtId="166" fontId="46" fillId="34" borderId="40" xfId="0" applyNumberFormat="1" applyFont="1" applyFill="1" applyBorder="1" applyAlignment="1">
      <alignment vertical="top"/>
    </xf>
    <xf numFmtId="0" fontId="19" fillId="28" borderId="40" xfId="0" applyFont="1" applyFill="1" applyBorder="1"/>
    <xf numFmtId="2" fontId="46" fillId="0" borderId="40" xfId="0" applyNumberFormat="1" applyFont="1" applyBorder="1" applyAlignment="1">
      <alignment vertical="top"/>
    </xf>
    <xf numFmtId="165" fontId="47" fillId="0" borderId="40" xfId="0" applyNumberFormat="1" applyFont="1" applyBorder="1" applyAlignment="1">
      <alignment vertical="top"/>
    </xf>
    <xf numFmtId="0" fontId="5" fillId="0" borderId="40" xfId="0" applyFont="1" applyBorder="1"/>
    <xf numFmtId="0" fontId="21" fillId="0" borderId="40" xfId="0" applyFont="1" applyBorder="1"/>
    <xf numFmtId="0" fontId="3" fillId="0" borderId="40" xfId="0" applyFont="1" applyBorder="1"/>
    <xf numFmtId="0" fontId="19" fillId="0" borderId="40" xfId="0" applyFont="1" applyBorder="1"/>
    <xf numFmtId="0" fontId="0" fillId="0" borderId="40" xfId="0" applyBorder="1" applyAlignment="1">
      <alignment vertical="top"/>
    </xf>
    <xf numFmtId="2" fontId="3" fillId="0" borderId="40" xfId="0" applyNumberFormat="1" applyFont="1" applyBorder="1"/>
    <xf numFmtId="0" fontId="0" fillId="34" borderId="40" xfId="0" applyFill="1" applyBorder="1" applyAlignment="1">
      <alignment vertical="top"/>
    </xf>
    <xf numFmtId="0" fontId="2" fillId="0" borderId="40" xfId="0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21" fillId="0" borderId="40" xfId="0" applyFont="1" applyBorder="1" applyAlignment="1">
      <alignment vertical="top"/>
    </xf>
    <xf numFmtId="0" fontId="3" fillId="0" borderId="40" xfId="0" applyFont="1" applyBorder="1" applyAlignment="1">
      <alignment horizontal="right"/>
    </xf>
    <xf numFmtId="0" fontId="0" fillId="0" borderId="40" xfId="0" applyBorder="1" applyAlignment="1">
      <alignment horizontal="right"/>
    </xf>
    <xf numFmtId="2" fontId="0" fillId="20" borderId="40" xfId="0" applyNumberFormat="1" applyFill="1" applyBorder="1"/>
    <xf numFmtId="0" fontId="6" fillId="0" borderId="40" xfId="0" applyFont="1" applyBorder="1"/>
    <xf numFmtId="0" fontId="19" fillId="34" borderId="40" xfId="0" applyFont="1" applyFill="1" applyBorder="1"/>
    <xf numFmtId="0" fontId="19" fillId="30" borderId="40" xfId="0" applyFont="1" applyFill="1" applyBorder="1"/>
    <xf numFmtId="49" fontId="0" fillId="0" borderId="40" xfId="0" applyNumberFormat="1" applyBorder="1" applyAlignment="1">
      <alignment vertical="top" wrapText="1"/>
    </xf>
    <xf numFmtId="49" fontId="0" fillId="0" borderId="40" xfId="0" applyNumberFormat="1" applyBorder="1" applyAlignment="1">
      <alignment horizontal="left" vertical="top" wrapText="1"/>
    </xf>
    <xf numFmtId="49" fontId="0" fillId="0" borderId="40" xfId="0" applyNumberFormat="1" applyBorder="1" applyAlignment="1">
      <alignment vertical="top"/>
    </xf>
    <xf numFmtId="49" fontId="21" fillId="0" borderId="40" xfId="0" applyNumberFormat="1" applyFont="1" applyBorder="1" applyAlignment="1">
      <alignment vertical="top"/>
    </xf>
    <xf numFmtId="0" fontId="33" fillId="0" borderId="40" xfId="0" applyFont="1" applyBorder="1" applyAlignment="1">
      <alignment vertical="top"/>
    </xf>
    <xf numFmtId="0" fontId="4" fillId="0" borderId="40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166" fontId="3" fillId="9" borderId="36" xfId="0" applyNumberFormat="1" applyFont="1" applyFill="1" applyBorder="1"/>
    <xf numFmtId="168" fontId="3" fillId="0" borderId="0" xfId="9" applyNumberFormat="1" applyFont="1" applyFill="1"/>
    <xf numFmtId="168" fontId="0" fillId="0" borderId="0" xfId="9" applyNumberFormat="1" applyFont="1" applyFill="1"/>
    <xf numFmtId="43" fontId="0" fillId="0" borderId="0" xfId="9" applyFont="1" applyFill="1"/>
    <xf numFmtId="0" fontId="3" fillId="25" borderId="0" xfId="0" applyFont="1" applyFill="1"/>
    <xf numFmtId="168" fontId="3" fillId="25" borderId="0" xfId="9" applyNumberFormat="1" applyFont="1" applyFill="1"/>
    <xf numFmtId="168" fontId="0" fillId="25" borderId="0" xfId="9" applyNumberFormat="1" applyFont="1" applyFill="1"/>
    <xf numFmtId="0" fontId="3" fillId="15" borderId="0" xfId="0" applyFont="1" applyFill="1"/>
    <xf numFmtId="168" fontId="3" fillId="15" borderId="0" xfId="9" applyNumberFormat="1" applyFont="1" applyFill="1"/>
    <xf numFmtId="168" fontId="0" fillId="15" borderId="0" xfId="9" applyNumberFormat="1" applyFont="1" applyFill="1"/>
    <xf numFmtId="171" fontId="0" fillId="15" borderId="0" xfId="9" applyNumberFormat="1" applyFont="1" applyFill="1"/>
    <xf numFmtId="43" fontId="0" fillId="15" borderId="0" xfId="9" applyFont="1" applyFill="1"/>
    <xf numFmtId="171" fontId="3" fillId="25" borderId="0" xfId="9" applyNumberFormat="1" applyFont="1" applyFill="1"/>
    <xf numFmtId="43" fontId="18" fillId="46" borderId="0" xfId="9" applyFont="1" applyFill="1"/>
    <xf numFmtId="43" fontId="0" fillId="46" borderId="0" xfId="9" applyFont="1" applyFill="1"/>
    <xf numFmtId="168" fontId="1" fillId="0" borderId="0" xfId="9" applyNumberFormat="1" applyFont="1"/>
    <xf numFmtId="174" fontId="1" fillId="46" borderId="0" xfId="9" applyNumberFormat="1" applyFont="1" applyFill="1"/>
    <xf numFmtId="168" fontId="1" fillId="46" borderId="0" xfId="9" applyNumberFormat="1" applyFont="1" applyFill="1"/>
    <xf numFmtId="43" fontId="1" fillId="46" borderId="0" xfId="9" applyFont="1" applyFill="1"/>
    <xf numFmtId="43" fontId="0" fillId="27" borderId="0" xfId="9" applyFont="1" applyFill="1"/>
    <xf numFmtId="9" fontId="0" fillId="0" borderId="0" xfId="1" applyFont="1" applyFill="1"/>
    <xf numFmtId="0" fontId="0" fillId="31" borderId="0" xfId="0" applyFill="1"/>
    <xf numFmtId="168" fontId="3" fillId="31" borderId="0" xfId="9" applyNumberFormat="1" applyFont="1" applyFill="1"/>
    <xf numFmtId="168" fontId="0" fillId="31" borderId="0" xfId="9" applyNumberFormat="1" applyFont="1" applyFill="1"/>
    <xf numFmtId="43" fontId="0" fillId="31" borderId="0" xfId="0" applyNumberFormat="1" applyFill="1"/>
    <xf numFmtId="168" fontId="1" fillId="25" borderId="0" xfId="9" applyNumberFormat="1" applyFont="1" applyFill="1"/>
    <xf numFmtId="0" fontId="48" fillId="43" borderId="36" xfId="0" applyFont="1" applyFill="1" applyBorder="1"/>
    <xf numFmtId="165" fontId="48" fillId="28" borderId="36" xfId="1" applyNumberFormat="1" applyFont="1" applyFill="1" applyBorder="1"/>
    <xf numFmtId="2" fontId="48" fillId="0" borderId="0" xfId="0" applyNumberFormat="1" applyFont="1"/>
    <xf numFmtId="2" fontId="48" fillId="4" borderId="36" xfId="1" applyNumberFormat="1" applyFont="1" applyFill="1" applyBorder="1"/>
    <xf numFmtId="0" fontId="0" fillId="27" borderId="40" xfId="0" applyFill="1" applyBorder="1"/>
    <xf numFmtId="0" fontId="19" fillId="31" borderId="36" xfId="0" applyFont="1" applyFill="1" applyBorder="1" applyAlignment="1">
      <alignment horizontal="left"/>
    </xf>
    <xf numFmtId="0" fontId="19" fillId="31" borderId="36" xfId="0" applyFont="1" applyFill="1" applyBorder="1"/>
    <xf numFmtId="0" fontId="3" fillId="31" borderId="36" xfId="0" applyFont="1" applyFill="1" applyBorder="1" applyAlignment="1">
      <alignment horizontal="right"/>
    </xf>
    <xf numFmtId="2" fontId="3" fillId="31" borderId="36" xfId="0" applyNumberFormat="1" applyFont="1" applyFill="1" applyBorder="1"/>
    <xf numFmtId="2" fontId="19" fillId="31" borderId="36" xfId="1" applyNumberFormat="1" applyFont="1" applyFill="1" applyBorder="1"/>
    <xf numFmtId="9" fontId="19" fillId="14" borderId="36" xfId="0" applyNumberFormat="1" applyFont="1" applyFill="1" applyBorder="1"/>
    <xf numFmtId="0" fontId="13" fillId="14" borderId="36" xfId="0" applyFont="1" applyFill="1" applyBorder="1" applyAlignment="1">
      <alignment horizontal="right"/>
    </xf>
    <xf numFmtId="0" fontId="3" fillId="14" borderId="36" xfId="0" applyFont="1" applyFill="1" applyBorder="1" applyAlignment="1">
      <alignment horizontal="right"/>
    </xf>
    <xf numFmtId="9" fontId="3" fillId="14" borderId="36" xfId="0" applyNumberFormat="1" applyFont="1" applyFill="1" applyBorder="1"/>
    <xf numFmtId="0" fontId="19" fillId="14" borderId="36" xfId="0" applyFont="1" applyFill="1" applyBorder="1"/>
    <xf numFmtId="2" fontId="3" fillId="14" borderId="36" xfId="0" applyNumberFormat="1" applyFont="1" applyFill="1" applyBorder="1"/>
    <xf numFmtId="43" fontId="19" fillId="14" borderId="36" xfId="7" applyFont="1" applyFill="1" applyBorder="1"/>
    <xf numFmtId="43" fontId="3" fillId="14" borderId="36" xfId="7" applyFont="1" applyFill="1" applyBorder="1"/>
    <xf numFmtId="176" fontId="0" fillId="0" borderId="0" xfId="0" applyNumberFormat="1"/>
    <xf numFmtId="43" fontId="0" fillId="17" borderId="0" xfId="7" applyFont="1" applyFill="1"/>
    <xf numFmtId="43" fontId="0" fillId="9" borderId="0" xfId="0" applyNumberFormat="1" applyFill="1"/>
    <xf numFmtId="43" fontId="3" fillId="17" borderId="0" xfId="0" applyNumberFormat="1" applyFont="1" applyFill="1"/>
    <xf numFmtId="43" fontId="3" fillId="9" borderId="0" xfId="0" applyNumberFormat="1" applyFont="1" applyFill="1"/>
    <xf numFmtId="168" fontId="1" fillId="15" borderId="0" xfId="9" applyNumberFormat="1" applyFont="1" applyFill="1"/>
    <xf numFmtId="171" fontId="0" fillId="0" borderId="0" xfId="0" applyNumberFormat="1"/>
    <xf numFmtId="165" fontId="19" fillId="5" borderId="36" xfId="1" applyNumberFormat="1" applyFont="1" applyFill="1" applyBorder="1"/>
    <xf numFmtId="2" fontId="0" fillId="27" borderId="40" xfId="0" applyNumberFormat="1" applyFill="1" applyBorder="1"/>
    <xf numFmtId="165" fontId="52" fillId="14" borderId="36" xfId="1" applyNumberFormat="1" applyFont="1" applyFill="1" applyBorder="1"/>
    <xf numFmtId="0" fontId="3" fillId="0" borderId="36" xfId="0" applyFont="1" applyBorder="1" applyAlignment="1">
      <alignment horizontal="left"/>
    </xf>
    <xf numFmtId="0" fontId="3" fillId="14" borderId="36" xfId="0" applyFont="1" applyFill="1" applyBorder="1" applyAlignment="1">
      <alignment horizontal="left"/>
    </xf>
    <xf numFmtId="0" fontId="19" fillId="0" borderId="36" xfId="0" applyFont="1" applyBorder="1" applyAlignment="1">
      <alignment horizontal="left"/>
    </xf>
    <xf numFmtId="0" fontId="0" fillId="31" borderId="36" xfId="0" applyFill="1" applyBorder="1"/>
    <xf numFmtId="0" fontId="4" fillId="31" borderId="36" xfId="0" applyFont="1" applyFill="1" applyBorder="1"/>
    <xf numFmtId="166" fontId="19" fillId="14" borderId="36" xfId="1" applyNumberFormat="1" applyFont="1" applyFill="1" applyBorder="1"/>
    <xf numFmtId="166" fontId="4" fillId="14" borderId="36" xfId="1" applyNumberFormat="1" applyFont="1" applyFill="1" applyBorder="1"/>
    <xf numFmtId="0" fontId="0" fillId="14" borderId="0" xfId="0" applyFill="1" applyAlignment="1">
      <alignment horizontal="left"/>
    </xf>
    <xf numFmtId="166" fontId="0" fillId="31" borderId="0" xfId="0" applyNumberFormat="1" applyFill="1"/>
    <xf numFmtId="43" fontId="0" fillId="5" borderId="0" xfId="0" applyNumberFormat="1" applyFill="1"/>
    <xf numFmtId="0" fontId="0" fillId="48" borderId="0" xfId="0" applyFill="1"/>
    <xf numFmtId="43" fontId="0" fillId="48" borderId="0" xfId="0" applyNumberFormat="1" applyFill="1"/>
    <xf numFmtId="0" fontId="0" fillId="49" borderId="0" xfId="0" applyFill="1"/>
    <xf numFmtId="43" fontId="0" fillId="5" borderId="0" xfId="7" applyFont="1" applyFill="1"/>
    <xf numFmtId="43" fontId="0" fillId="50" borderId="0" xfId="7" applyFont="1" applyFill="1"/>
    <xf numFmtId="43" fontId="0" fillId="0" borderId="0" xfId="7" applyFont="1" applyFill="1"/>
    <xf numFmtId="165" fontId="4" fillId="5" borderId="36" xfId="1" applyNumberFormat="1" applyFont="1" applyFill="1" applyBorder="1"/>
    <xf numFmtId="43" fontId="4" fillId="5" borderId="36" xfId="7" applyFont="1" applyFill="1" applyBorder="1"/>
    <xf numFmtId="43" fontId="19" fillId="5" borderId="36" xfId="7" applyFont="1" applyFill="1" applyBorder="1"/>
    <xf numFmtId="166" fontId="4" fillId="5" borderId="36" xfId="1" applyNumberFormat="1" applyFont="1" applyFill="1" applyBorder="1"/>
    <xf numFmtId="166" fontId="19" fillId="5" borderId="36" xfId="1" applyNumberFormat="1" applyFont="1" applyFill="1" applyBorder="1"/>
    <xf numFmtId="0" fontId="19" fillId="9" borderId="0" xfId="0" applyFont="1" applyFill="1"/>
    <xf numFmtId="0" fontId="0" fillId="20" borderId="36" xfId="0" applyFill="1" applyBorder="1" applyAlignment="1">
      <alignment horizontal="left"/>
    </xf>
    <xf numFmtId="0" fontId="0" fillId="20" borderId="0" xfId="0" applyFill="1" applyAlignment="1">
      <alignment horizontal="left"/>
    </xf>
    <xf numFmtId="2" fontId="0" fillId="0" borderId="41" xfId="0" applyNumberFormat="1" applyBorder="1"/>
    <xf numFmtId="165" fontId="47" fillId="0" borderId="42" xfId="0" applyNumberFormat="1" applyFont="1" applyBorder="1" applyAlignment="1">
      <alignment horizontal="right" vertical="top"/>
    </xf>
    <xf numFmtId="2" fontId="0" fillId="34" borderId="43" xfId="0" applyNumberFormat="1" applyFill="1" applyBorder="1"/>
    <xf numFmtId="2" fontId="3" fillId="17" borderId="44" xfId="0" applyNumberFormat="1" applyFont="1" applyFill="1" applyBorder="1"/>
    <xf numFmtId="2" fontId="3" fillId="17" borderId="47" xfId="0" applyNumberFormat="1" applyFont="1" applyFill="1" applyBorder="1"/>
    <xf numFmtId="2" fontId="3" fillId="17" borderId="49" xfId="0" applyNumberFormat="1" applyFont="1" applyFill="1" applyBorder="1"/>
    <xf numFmtId="2" fontId="2" fillId="0" borderId="40" xfId="0" applyNumberFormat="1" applyFont="1" applyBorder="1"/>
    <xf numFmtId="2" fontId="54" fillId="34" borderId="40" xfId="0" applyNumberFormat="1" applyFont="1" applyFill="1" applyBorder="1" applyAlignment="1">
      <alignment vertical="top"/>
    </xf>
    <xf numFmtId="165" fontId="55" fillId="34" borderId="40" xfId="0" applyNumberFormat="1" applyFont="1" applyFill="1" applyBorder="1" applyAlignment="1">
      <alignment vertical="top"/>
    </xf>
    <xf numFmtId="165" fontId="55" fillId="0" borderId="45" xfId="0" applyNumberFormat="1" applyFont="1" applyBorder="1" applyAlignment="1">
      <alignment horizontal="right" vertical="top"/>
    </xf>
    <xf numFmtId="167" fontId="2" fillId="0" borderId="46" xfId="0" applyNumberFormat="1" applyFont="1" applyBorder="1"/>
    <xf numFmtId="2" fontId="54" fillId="0" borderId="40" xfId="0" applyNumberFormat="1" applyFont="1" applyBorder="1" applyAlignment="1">
      <alignment vertical="top"/>
    </xf>
    <xf numFmtId="165" fontId="55" fillId="0" borderId="40" xfId="0" applyNumberFormat="1" applyFont="1" applyBorder="1" applyAlignment="1">
      <alignment vertical="top"/>
    </xf>
    <xf numFmtId="165" fontId="55" fillId="0" borderId="48" xfId="0" applyNumberFormat="1" applyFont="1" applyBorder="1" applyAlignment="1">
      <alignment horizontal="right" vertical="top"/>
    </xf>
    <xf numFmtId="0" fontId="26" fillId="9" borderId="36" xfId="0" applyFont="1" applyFill="1" applyBorder="1"/>
    <xf numFmtId="167" fontId="19" fillId="9" borderId="36" xfId="1" applyNumberFormat="1" applyFont="1" applyFill="1" applyBorder="1"/>
    <xf numFmtId="2" fontId="4" fillId="28" borderId="36" xfId="1" applyNumberFormat="1" applyFont="1" applyFill="1" applyBorder="1"/>
    <xf numFmtId="0" fontId="0" fillId="0" borderId="36" xfId="0" applyBorder="1" applyAlignment="1">
      <alignment horizontal="center" wrapText="1"/>
    </xf>
    <xf numFmtId="0" fontId="56" fillId="0" borderId="36" xfId="0" applyFont="1" applyBorder="1"/>
    <xf numFmtId="0" fontId="56" fillId="9" borderId="36" xfId="0" applyFont="1" applyFill="1" applyBorder="1"/>
    <xf numFmtId="2" fontId="56" fillId="0" borderId="36" xfId="0" applyNumberFormat="1" applyFont="1" applyBorder="1"/>
    <xf numFmtId="2" fontId="56" fillId="34" borderId="36" xfId="1" applyNumberFormat="1" applyFont="1" applyFill="1" applyBorder="1"/>
    <xf numFmtId="167" fontId="56" fillId="28" borderId="36" xfId="1" applyNumberFormat="1" applyFont="1" applyFill="1" applyBorder="1"/>
    <xf numFmtId="165" fontId="56" fillId="4" borderId="36" xfId="1" applyNumberFormat="1" applyFont="1" applyFill="1" applyBorder="1"/>
    <xf numFmtId="2" fontId="56" fillId="14" borderId="36" xfId="0" applyNumberFormat="1" applyFont="1" applyFill="1" applyBorder="1"/>
    <xf numFmtId="165" fontId="56" fillId="14" borderId="36" xfId="1" applyNumberFormat="1" applyFont="1" applyFill="1" applyBorder="1"/>
    <xf numFmtId="10" fontId="56" fillId="0" borderId="36" xfId="0" applyNumberFormat="1" applyFont="1" applyBorder="1"/>
    <xf numFmtId="0" fontId="3" fillId="17" borderId="38" xfId="0" applyFont="1" applyFill="1" applyBorder="1" applyAlignment="1">
      <alignment horizontal="left"/>
    </xf>
    <xf numFmtId="2" fontId="2" fillId="5" borderId="40" xfId="0" applyNumberFormat="1" applyFont="1" applyFill="1" applyBorder="1"/>
    <xf numFmtId="0" fontId="2" fillId="5" borderId="40" xfId="0" applyFont="1" applyFill="1" applyBorder="1"/>
    <xf numFmtId="2" fontId="4" fillId="14" borderId="36" xfId="1" applyNumberFormat="1" applyFont="1" applyFill="1" applyBorder="1"/>
    <xf numFmtId="1" fontId="3" fillId="9" borderId="36" xfId="0" applyNumberFormat="1" applyFont="1" applyFill="1" applyBorder="1" applyAlignment="1">
      <alignment horizontal="center" vertical="center"/>
    </xf>
    <xf numFmtId="0" fontId="0" fillId="16" borderId="36" xfId="0" applyFill="1" applyBorder="1" applyAlignment="1">
      <alignment horizontal="center"/>
    </xf>
    <xf numFmtId="1" fontId="3" fillId="9" borderId="36" xfId="0" applyNumberFormat="1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48" fillId="0" borderId="36" xfId="0" applyNumberFormat="1" applyFon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48" fillId="0" borderId="36" xfId="0" applyNumberFormat="1" applyFont="1" applyBorder="1" applyAlignment="1">
      <alignment horizontal="center"/>
    </xf>
    <xf numFmtId="2" fontId="3" fillId="9" borderId="36" xfId="0" applyNumberFormat="1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/>
    </xf>
    <xf numFmtId="0" fontId="52" fillId="0" borderId="36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0" fillId="34" borderId="36" xfId="0" applyFill="1" applyBorder="1" applyAlignment="1">
      <alignment horizontal="center"/>
    </xf>
    <xf numFmtId="2" fontId="3" fillId="0" borderId="36" xfId="0" applyNumberFormat="1" applyFont="1" applyBorder="1" applyAlignment="1">
      <alignment horizontal="center"/>
    </xf>
    <xf numFmtId="2" fontId="3" fillId="31" borderId="36" xfId="0" applyNumberFormat="1" applyFont="1" applyFill="1" applyBorder="1" applyAlignment="1">
      <alignment horizontal="center"/>
    </xf>
    <xf numFmtId="0" fontId="0" fillId="18" borderId="36" xfId="0" applyFill="1" applyBorder="1" applyAlignment="1">
      <alignment horizontal="center"/>
    </xf>
    <xf numFmtId="2" fontId="56" fillId="0" borderId="36" xfId="0" applyNumberFormat="1" applyFont="1" applyBorder="1" applyAlignment="1">
      <alignment horizontal="center"/>
    </xf>
    <xf numFmtId="0" fontId="56" fillId="0" borderId="36" xfId="0" applyFont="1" applyBorder="1" applyAlignment="1">
      <alignment horizontal="center"/>
    </xf>
    <xf numFmtId="0" fontId="53" fillId="0" borderId="36" xfId="0" applyFont="1" applyBorder="1" applyAlignment="1">
      <alignment horizontal="center"/>
    </xf>
    <xf numFmtId="0" fontId="0" fillId="31" borderId="36" xfId="0" applyFill="1" applyBorder="1" applyAlignment="1">
      <alignment horizontal="center"/>
    </xf>
    <xf numFmtId="43" fontId="4" fillId="46" borderId="0" xfId="9" applyFont="1" applyFill="1"/>
    <xf numFmtId="0" fontId="3" fillId="5" borderId="0" xfId="0" applyFont="1" applyFill="1"/>
    <xf numFmtId="168" fontId="1" fillId="14" borderId="0" xfId="9" applyNumberFormat="1" applyFont="1" applyFill="1"/>
    <xf numFmtId="169" fontId="1" fillId="25" borderId="0" xfId="9" applyNumberFormat="1" applyFont="1" applyFill="1"/>
    <xf numFmtId="168" fontId="3" fillId="5" borderId="0" xfId="9" applyNumberFormat="1" applyFont="1" applyFill="1"/>
    <xf numFmtId="171" fontId="3" fillId="5" borderId="0" xfId="9" applyNumberFormat="1" applyFont="1" applyFill="1"/>
    <xf numFmtId="43" fontId="0" fillId="26" borderId="0" xfId="7" applyFont="1" applyFill="1"/>
    <xf numFmtId="171" fontId="0" fillId="26" borderId="0" xfId="0" applyNumberFormat="1" applyFill="1"/>
    <xf numFmtId="176" fontId="0" fillId="26" borderId="0" xfId="0" applyNumberFormat="1" applyFill="1"/>
    <xf numFmtId="0" fontId="0" fillId="49" borderId="0" xfId="0" applyFill="1" applyAlignment="1">
      <alignment horizontal="right"/>
    </xf>
    <xf numFmtId="171" fontId="0" fillId="5" borderId="0" xfId="9" applyNumberFormat="1" applyFont="1" applyFill="1"/>
    <xf numFmtId="0" fontId="14" fillId="51" borderId="0" xfId="0" applyFont="1" applyFill="1"/>
    <xf numFmtId="0" fontId="57" fillId="0" borderId="0" xfId="0" applyFont="1"/>
    <xf numFmtId="0" fontId="4" fillId="31" borderId="0" xfId="0" applyFont="1" applyFill="1"/>
    <xf numFmtId="0" fontId="57" fillId="5" borderId="0" xfId="0" applyFont="1" applyFill="1"/>
    <xf numFmtId="0" fontId="4" fillId="5" borderId="0" xfId="0" applyFont="1" applyFill="1"/>
    <xf numFmtId="0" fontId="0" fillId="19" borderId="0" xfId="0" applyFill="1"/>
    <xf numFmtId="43" fontId="0" fillId="19" borderId="0" xfId="7" applyFont="1" applyFill="1"/>
    <xf numFmtId="176" fontId="0" fillId="19" borderId="0" xfId="0" applyNumberFormat="1" applyFill="1"/>
    <xf numFmtId="0" fontId="0" fillId="2" borderId="0" xfId="0" applyFill="1"/>
    <xf numFmtId="43" fontId="3" fillId="0" borderId="0" xfId="7" applyFont="1" applyFill="1"/>
    <xf numFmtId="43" fontId="18" fillId="0" borderId="0" xfId="7" applyFont="1" applyFill="1"/>
    <xf numFmtId="43" fontId="22" fillId="0" borderId="0" xfId="0" applyNumberFormat="1" applyFont="1"/>
    <xf numFmtId="43" fontId="0" fillId="14" borderId="0" xfId="0" applyNumberFormat="1" applyFill="1"/>
    <xf numFmtId="43" fontId="0" fillId="21" borderId="0" xfId="7" applyFont="1" applyFill="1"/>
    <xf numFmtId="2" fontId="0" fillId="21" borderId="0" xfId="0" applyNumberFormat="1" applyFill="1"/>
    <xf numFmtId="0" fontId="50" fillId="0" borderId="0" xfId="0" applyFont="1"/>
    <xf numFmtId="0" fontId="28" fillId="5" borderId="0" xfId="0" applyFont="1" applyFill="1"/>
    <xf numFmtId="0" fontId="2" fillId="18" borderId="0" xfId="0" applyFont="1" applyFill="1"/>
    <xf numFmtId="0" fontId="4" fillId="18" borderId="0" xfId="0" applyFont="1" applyFill="1"/>
    <xf numFmtId="0" fontId="4" fillId="2" borderId="0" xfId="0" applyFont="1" applyFill="1"/>
    <xf numFmtId="43" fontId="4" fillId="2" borderId="0" xfId="0" applyNumberFormat="1" applyFont="1" applyFill="1"/>
    <xf numFmtId="43" fontId="2" fillId="2" borderId="0" xfId="0" applyNumberFormat="1" applyFont="1" applyFill="1"/>
    <xf numFmtId="0" fontId="4" fillId="48" borderId="0" xfId="0" applyFont="1" applyFill="1"/>
    <xf numFmtId="43" fontId="4" fillId="48" borderId="0" xfId="0" applyNumberFormat="1" applyFont="1" applyFill="1"/>
    <xf numFmtId="0" fontId="18" fillId="0" borderId="36" xfId="0" applyFont="1" applyBorder="1"/>
    <xf numFmtId="0" fontId="18" fillId="9" borderId="36" xfId="0" applyFont="1" applyFill="1" applyBorder="1"/>
    <xf numFmtId="2" fontId="18" fillId="0" borderId="36" xfId="0" applyNumberFormat="1" applyFont="1" applyBorder="1"/>
    <xf numFmtId="2" fontId="18" fillId="0" borderId="36" xfId="0" applyNumberFormat="1" applyFont="1" applyBorder="1" applyAlignment="1">
      <alignment horizontal="center"/>
    </xf>
    <xf numFmtId="0" fontId="18" fillId="43" borderId="36" xfId="0" applyFont="1" applyFill="1" applyBorder="1"/>
    <xf numFmtId="10" fontId="18" fillId="0" borderId="36" xfId="0" applyNumberFormat="1" applyFont="1" applyBorder="1"/>
    <xf numFmtId="2" fontId="18" fillId="0" borderId="36" xfId="7" applyNumberFormat="1" applyFont="1" applyBorder="1"/>
    <xf numFmtId="2" fontId="18" fillId="34" borderId="36" xfId="1" applyNumberFormat="1" applyFont="1" applyFill="1" applyBorder="1"/>
    <xf numFmtId="167" fontId="18" fillId="28" borderId="36" xfId="1" applyNumberFormat="1" applyFont="1" applyFill="1" applyBorder="1"/>
    <xf numFmtId="165" fontId="18" fillId="4" borderId="36" xfId="1" applyNumberFormat="1" applyFont="1" applyFill="1" applyBorder="1"/>
    <xf numFmtId="2" fontId="18" fillId="14" borderId="36" xfId="0" applyNumberFormat="1" applyFont="1" applyFill="1" applyBorder="1"/>
    <xf numFmtId="165" fontId="18" fillId="14" borderId="36" xfId="1" applyNumberFormat="1" applyFont="1" applyFill="1" applyBorder="1"/>
    <xf numFmtId="43" fontId="4" fillId="0" borderId="0" xfId="0" applyNumberFormat="1" applyFont="1"/>
    <xf numFmtId="2" fontId="4" fillId="5" borderId="0" xfId="0" applyNumberFormat="1" applyFont="1" applyFill="1"/>
    <xf numFmtId="0" fontId="0" fillId="52" borderId="0" xfId="0" applyFill="1"/>
    <xf numFmtId="0" fontId="18" fillId="52" borderId="0" xfId="0" applyFont="1" applyFill="1"/>
    <xf numFmtId="43" fontId="0" fillId="11" borderId="0" xfId="0" applyNumberFormat="1" applyFill="1"/>
    <xf numFmtId="0" fontId="58" fillId="0" borderId="36" xfId="0" applyFont="1" applyBorder="1"/>
    <xf numFmtId="0" fontId="58" fillId="0" borderId="36" xfId="0" applyFont="1" applyBorder="1" applyAlignment="1">
      <alignment vertical="top"/>
    </xf>
    <xf numFmtId="0" fontId="59" fillId="0" borderId="36" xfId="0" applyFont="1" applyBorder="1" applyAlignment="1">
      <alignment vertical="top"/>
    </xf>
    <xf numFmtId="2" fontId="58" fillId="0" borderId="36" xfId="0" applyNumberFormat="1" applyFont="1" applyBorder="1"/>
    <xf numFmtId="1" fontId="4" fillId="0" borderId="36" xfId="0" applyNumberFormat="1" applyFont="1" applyBorder="1"/>
    <xf numFmtId="2" fontId="4" fillId="0" borderId="40" xfId="0" applyNumberFormat="1" applyFont="1" applyBorder="1"/>
    <xf numFmtId="2" fontId="19" fillId="17" borderId="40" xfId="0" applyNumberFormat="1" applyFont="1" applyFill="1" applyBorder="1"/>
    <xf numFmtId="2" fontId="48" fillId="0" borderId="36" xfId="1" applyNumberFormat="1" applyFont="1" applyFill="1" applyBorder="1"/>
    <xf numFmtId="1" fontId="4" fillId="0" borderId="36" xfId="0" applyNumberFormat="1" applyFont="1" applyBorder="1" applyAlignment="1">
      <alignment horizontal="center"/>
    </xf>
    <xf numFmtId="165" fontId="19" fillId="0" borderId="36" xfId="1" applyNumberFormat="1" applyFont="1" applyFill="1" applyBorder="1"/>
    <xf numFmtId="9" fontId="4" fillId="0" borderId="36" xfId="0" applyNumberFormat="1" applyFont="1" applyBorder="1"/>
    <xf numFmtId="2" fontId="4" fillId="0" borderId="36" xfId="0" applyNumberFormat="1" applyFont="1" applyBorder="1" applyAlignment="1">
      <alignment horizontal="center"/>
    </xf>
    <xf numFmtId="1" fontId="4" fillId="27" borderId="36" xfId="0" applyNumberFormat="1" applyFont="1" applyFill="1" applyBorder="1"/>
    <xf numFmtId="0" fontId="2" fillId="9" borderId="36" xfId="0" applyFont="1" applyFill="1" applyBorder="1"/>
    <xf numFmtId="0" fontId="22" fillId="9" borderId="36" xfId="0" applyFont="1" applyFill="1" applyBorder="1"/>
    <xf numFmtId="0" fontId="22" fillId="9" borderId="36" xfId="0" applyFont="1" applyFill="1" applyBorder="1" applyAlignment="1">
      <alignment horizontal="right"/>
    </xf>
    <xf numFmtId="2" fontId="22" fillId="9" borderId="36" xfId="0" applyNumberFormat="1" applyFont="1" applyFill="1" applyBorder="1"/>
    <xf numFmtId="2" fontId="22" fillId="9" borderId="36" xfId="0" applyNumberFormat="1" applyFont="1" applyFill="1" applyBorder="1" applyAlignment="1">
      <alignment horizontal="center"/>
    </xf>
    <xf numFmtId="2" fontId="22" fillId="9" borderId="36" xfId="1" applyNumberFormat="1" applyFont="1" applyFill="1" applyBorder="1"/>
    <xf numFmtId="165" fontId="22" fillId="9" borderId="36" xfId="1" applyNumberFormat="1" applyFont="1" applyFill="1" applyBorder="1"/>
    <xf numFmtId="0" fontId="22" fillId="9" borderId="0" xfId="0" applyFont="1" applyFill="1"/>
    <xf numFmtId="0" fontId="18" fillId="0" borderId="36" xfId="0" applyFont="1" applyBorder="1" applyAlignment="1">
      <alignment horizontal="right"/>
    </xf>
    <xf numFmtId="0" fontId="18" fillId="0" borderId="36" xfId="0" applyFont="1" applyBorder="1" applyAlignment="1">
      <alignment vertical="center"/>
    </xf>
    <xf numFmtId="2" fontId="18" fillId="9" borderId="36" xfId="0" applyNumberFormat="1" applyFont="1" applyFill="1" applyBorder="1"/>
    <xf numFmtId="165" fontId="18" fillId="28" borderId="36" xfId="1" applyNumberFormat="1" applyFont="1" applyFill="1" applyBorder="1"/>
    <xf numFmtId="9" fontId="18" fillId="4" borderId="36" xfId="0" applyNumberFormat="1" applyFont="1" applyFill="1" applyBorder="1"/>
    <xf numFmtId="9" fontId="18" fillId="0" borderId="36" xfId="0" applyNumberFormat="1" applyFont="1" applyBorder="1"/>
    <xf numFmtId="165" fontId="18" fillId="0" borderId="36" xfId="0" applyNumberFormat="1" applyFont="1" applyBorder="1"/>
    <xf numFmtId="49" fontId="18" fillId="0" borderId="36" xfId="0" applyNumberFormat="1" applyFont="1" applyBorder="1" applyAlignment="1">
      <alignment vertical="top" wrapText="1"/>
    </xf>
    <xf numFmtId="2" fontId="26" fillId="9" borderId="36" xfId="0" applyNumberFormat="1" applyFont="1" applyFill="1" applyBorder="1"/>
    <xf numFmtId="0" fontId="26" fillId="9" borderId="36" xfId="0" applyFont="1" applyFill="1" applyBorder="1" applyAlignment="1">
      <alignment vertical="top"/>
    </xf>
    <xf numFmtId="166" fontId="2" fillId="0" borderId="36" xfId="0" applyNumberFormat="1" applyFont="1" applyBorder="1"/>
    <xf numFmtId="43" fontId="4" fillId="0" borderId="36" xfId="7" applyFont="1" applyBorder="1"/>
    <xf numFmtId="166" fontId="19" fillId="9" borderId="36" xfId="1" applyNumberFormat="1" applyFont="1" applyFill="1" applyBorder="1"/>
    <xf numFmtId="2" fontId="0" fillId="11" borderId="15" xfId="0" applyNumberFormat="1" applyFill="1" applyBorder="1"/>
    <xf numFmtId="2" fontId="4" fillId="27" borderId="36" xfId="1" applyNumberFormat="1" applyFont="1" applyFill="1" applyBorder="1"/>
    <xf numFmtId="49" fontId="0" fillId="19" borderId="0" xfId="0" applyNumberFormat="1" applyFill="1" applyAlignment="1">
      <alignment wrapText="1"/>
    </xf>
    <xf numFmtId="0" fontId="0" fillId="19" borderId="0" xfId="0" applyFill="1" applyAlignment="1">
      <alignment horizontal="center"/>
    </xf>
    <xf numFmtId="0" fontId="4" fillId="19" borderId="0" xfId="0" applyFont="1" applyFill="1"/>
    <xf numFmtId="2" fontId="19" fillId="0" borderId="36" xfId="1" applyNumberFormat="1" applyFont="1" applyFill="1" applyBorder="1"/>
    <xf numFmtId="166" fontId="19" fillId="0" borderId="36" xfId="1" applyNumberFormat="1" applyFont="1" applyFill="1" applyBorder="1"/>
    <xf numFmtId="0" fontId="0" fillId="17" borderId="36" xfId="0" applyFill="1" applyBorder="1"/>
    <xf numFmtId="0" fontId="3" fillId="17" borderId="36" xfId="0" applyFont="1" applyFill="1" applyBorder="1" applyAlignment="1">
      <alignment horizontal="center"/>
    </xf>
    <xf numFmtId="0" fontId="3" fillId="17" borderId="36" xfId="0" applyFont="1" applyFill="1" applyBorder="1"/>
    <xf numFmtId="2" fontId="48" fillId="17" borderId="36" xfId="1" applyNumberFormat="1" applyFont="1" applyFill="1" applyBorder="1"/>
    <xf numFmtId="0" fontId="48" fillId="17" borderId="36" xfId="0" applyFont="1" applyFill="1" applyBorder="1"/>
    <xf numFmtId="2" fontId="48" fillId="17" borderId="36" xfId="0" applyNumberFormat="1" applyFont="1" applyFill="1" applyBorder="1"/>
    <xf numFmtId="2" fontId="19" fillId="17" borderId="36" xfId="1" applyNumberFormat="1" applyFont="1" applyFill="1" applyBorder="1"/>
    <xf numFmtId="2" fontId="4" fillId="17" borderId="36" xfId="1" applyNumberFormat="1" applyFont="1" applyFill="1" applyBorder="1"/>
    <xf numFmtId="2" fontId="1" fillId="17" borderId="36" xfId="1" applyNumberFormat="1" applyFont="1" applyFill="1" applyBorder="1"/>
    <xf numFmtId="2" fontId="0" fillId="17" borderId="36" xfId="1" applyNumberFormat="1" applyFont="1" applyFill="1" applyBorder="1"/>
    <xf numFmtId="2" fontId="3" fillId="17" borderId="36" xfId="1" applyNumberFormat="1" applyFont="1" applyFill="1" applyBorder="1"/>
    <xf numFmtId="2" fontId="2" fillId="17" borderId="36" xfId="1" applyNumberFormat="1" applyFont="1" applyFill="1" applyBorder="1"/>
    <xf numFmtId="2" fontId="18" fillId="17" borderId="36" xfId="1" applyNumberFormat="1" applyFont="1" applyFill="1" applyBorder="1"/>
    <xf numFmtId="2" fontId="2" fillId="17" borderId="36" xfId="0" applyNumberFormat="1" applyFont="1" applyFill="1" applyBorder="1"/>
    <xf numFmtId="2" fontId="0" fillId="17" borderId="36" xfId="0" applyNumberFormat="1" applyFill="1" applyBorder="1"/>
    <xf numFmtId="0" fontId="2" fillId="17" borderId="36" xfId="0" applyFont="1" applyFill="1" applyBorder="1"/>
    <xf numFmtId="2" fontId="4" fillId="17" borderId="36" xfId="0" applyNumberFormat="1" applyFont="1" applyFill="1" applyBorder="1"/>
    <xf numFmtId="0" fontId="4" fillId="17" borderId="36" xfId="0" applyFont="1" applyFill="1" applyBorder="1"/>
    <xf numFmtId="2" fontId="3" fillId="17" borderId="36" xfId="0" applyNumberFormat="1" applyFont="1" applyFill="1" applyBorder="1"/>
    <xf numFmtId="0" fontId="13" fillId="17" borderId="36" xfId="0" applyFont="1" applyFill="1" applyBorder="1" applyAlignment="1">
      <alignment horizontal="center"/>
    </xf>
    <xf numFmtId="0" fontId="56" fillId="17" borderId="36" xfId="0" applyFont="1" applyFill="1" applyBorder="1"/>
    <xf numFmtId="2" fontId="56" fillId="17" borderId="36" xfId="0" applyNumberFormat="1" applyFont="1" applyFill="1" applyBorder="1"/>
    <xf numFmtId="2" fontId="52" fillId="17" borderId="36" xfId="1" applyNumberFormat="1" applyFont="1" applyFill="1" applyBorder="1"/>
    <xf numFmtId="0" fontId="52" fillId="17" borderId="36" xfId="0" applyFont="1" applyFill="1" applyBorder="1"/>
    <xf numFmtId="2" fontId="56" fillId="17" borderId="36" xfId="1" applyNumberFormat="1" applyFont="1" applyFill="1" applyBorder="1"/>
    <xf numFmtId="2" fontId="53" fillId="17" borderId="36" xfId="1" applyNumberFormat="1" applyFont="1" applyFill="1" applyBorder="1"/>
    <xf numFmtId="166" fontId="0" fillId="17" borderId="36" xfId="0" applyNumberFormat="1" applyFill="1" applyBorder="1"/>
    <xf numFmtId="0" fontId="18" fillId="0" borderId="38" xfId="0" applyFont="1" applyBorder="1" applyAlignment="1">
      <alignment horizontal="right"/>
    </xf>
    <xf numFmtId="0" fontId="18" fillId="0" borderId="38" xfId="0" applyFont="1" applyBorder="1"/>
    <xf numFmtId="2" fontId="18" fillId="0" borderId="38" xfId="0" applyNumberFormat="1" applyFont="1" applyBorder="1"/>
    <xf numFmtId="9" fontId="18" fillId="4" borderId="38" xfId="0" applyNumberFormat="1" applyFont="1" applyFill="1" applyBorder="1"/>
    <xf numFmtId="9" fontId="18" fillId="0" borderId="38" xfId="0" applyNumberFormat="1" applyFont="1" applyBorder="1"/>
    <xf numFmtId="165" fontId="18" fillId="0" borderId="38" xfId="0" applyNumberFormat="1" applyFont="1" applyBorder="1"/>
    <xf numFmtId="165" fontId="19" fillId="19" borderId="36" xfId="1" applyNumberFormat="1" applyFont="1" applyFill="1" applyBorder="1"/>
    <xf numFmtId="2" fontId="2" fillId="17" borderId="38" xfId="0" applyNumberFormat="1" applyFont="1" applyFill="1" applyBorder="1"/>
    <xf numFmtId="2" fontId="26" fillId="9" borderId="36" xfId="1" applyNumberFormat="1" applyFont="1" applyFill="1" applyBorder="1"/>
    <xf numFmtId="166" fontId="2" fillId="17" borderId="36" xfId="0" applyNumberFormat="1" applyFont="1" applyFill="1" applyBorder="1"/>
    <xf numFmtId="165" fontId="19" fillId="53" borderId="36" xfId="1" applyNumberFormat="1" applyFont="1" applyFill="1" applyBorder="1"/>
    <xf numFmtId="0" fontId="3" fillId="17" borderId="36" xfId="0" applyFont="1" applyFill="1" applyBorder="1" applyAlignment="1">
      <alignment horizontal="left"/>
    </xf>
    <xf numFmtId="0" fontId="4" fillId="19" borderId="36" xfId="0" applyFont="1" applyFill="1" applyBorder="1"/>
    <xf numFmtId="0" fontId="4" fillId="53" borderId="36" xfId="0" applyFont="1" applyFill="1" applyBorder="1"/>
    <xf numFmtId="0" fontId="19" fillId="19" borderId="36" xfId="0" applyFont="1" applyFill="1" applyBorder="1"/>
    <xf numFmtId="0" fontId="19" fillId="53" borderId="36" xfId="0" applyFont="1" applyFill="1" applyBorder="1"/>
    <xf numFmtId="165" fontId="4" fillId="19" borderId="36" xfId="1" applyNumberFormat="1" applyFont="1" applyFill="1" applyBorder="1"/>
    <xf numFmtId="165" fontId="4" fillId="53" borderId="36" xfId="1" applyNumberFormat="1" applyFont="1" applyFill="1" applyBorder="1"/>
    <xf numFmtId="165" fontId="19" fillId="19" borderId="36" xfId="0" applyNumberFormat="1" applyFont="1" applyFill="1" applyBorder="1"/>
    <xf numFmtId="2" fontId="48" fillId="34" borderId="0" xfId="1" applyNumberFormat="1" applyFont="1" applyFill="1" applyBorder="1"/>
    <xf numFmtId="2" fontId="4" fillId="53" borderId="36" xfId="1" applyNumberFormat="1" applyFont="1" applyFill="1" applyBorder="1"/>
    <xf numFmtId="43" fontId="0" fillId="34" borderId="36" xfId="0" applyNumberFormat="1" applyFill="1" applyBorder="1"/>
    <xf numFmtId="0" fontId="60" fillId="0" borderId="0" xfId="0" applyFont="1"/>
    <xf numFmtId="0" fontId="61" fillId="0" borderId="0" xfId="0" applyFont="1"/>
    <xf numFmtId="0" fontId="3" fillId="54" borderId="0" xfId="0" applyFont="1" applyFill="1"/>
    <xf numFmtId="4" fontId="62" fillId="0" borderId="0" xfId="0" applyNumberFormat="1" applyFont="1"/>
    <xf numFmtId="0" fontId="0" fillId="0" borderId="0" xfId="0" quotePrefix="1"/>
    <xf numFmtId="166" fontId="62" fillId="0" borderId="0" xfId="0" applyNumberFormat="1" applyFont="1"/>
    <xf numFmtId="167" fontId="62" fillId="0" borderId="0" xfId="0" applyNumberFormat="1" applyFont="1"/>
    <xf numFmtId="164" fontId="62" fillId="0" borderId="0" xfId="0" applyNumberFormat="1" applyFont="1"/>
    <xf numFmtId="177" fontId="63" fillId="0" borderId="0" xfId="0" applyNumberFormat="1" applyFont="1"/>
    <xf numFmtId="0" fontId="3" fillId="55" borderId="0" xfId="0" applyFont="1" applyFill="1"/>
    <xf numFmtId="4" fontId="3" fillId="5" borderId="0" xfId="0" applyNumberFormat="1" applyFont="1" applyFill="1"/>
    <xf numFmtId="4" fontId="0" fillId="0" borderId="0" xfId="0" applyNumberFormat="1"/>
    <xf numFmtId="177" fontId="62" fillId="0" borderId="0" xfId="0" applyNumberFormat="1" applyFont="1"/>
    <xf numFmtId="178" fontId="0" fillId="0" borderId="0" xfId="0" applyNumberFormat="1"/>
    <xf numFmtId="0" fontId="64" fillId="0" borderId="0" xfId="0" applyFont="1"/>
    <xf numFmtId="0" fontId="65" fillId="0" borderId="0" xfId="0" applyFont="1"/>
    <xf numFmtId="177" fontId="0" fillId="0" borderId="0" xfId="0" applyNumberFormat="1"/>
    <xf numFmtId="177" fontId="3" fillId="0" borderId="0" xfId="0" applyNumberFormat="1" applyFont="1"/>
    <xf numFmtId="177" fontId="3" fillId="5" borderId="0" xfId="0" applyNumberFormat="1" applyFont="1" applyFill="1"/>
    <xf numFmtId="4" fontId="63" fillId="55" borderId="0" xfId="0" applyNumberFormat="1" applyFont="1" applyFill="1"/>
    <xf numFmtId="0" fontId="66" fillId="0" borderId="0" xfId="0" applyFont="1"/>
    <xf numFmtId="4" fontId="3" fillId="0" borderId="0" xfId="0" applyNumberFormat="1" applyFont="1"/>
    <xf numFmtId="0" fontId="68" fillId="56" borderId="0" xfId="0" applyFont="1" applyFill="1"/>
    <xf numFmtId="0" fontId="67" fillId="57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70" fillId="0" borderId="0" xfId="11"/>
    <xf numFmtId="0" fontId="72" fillId="0" borderId="0" xfId="11" applyFont="1"/>
    <xf numFmtId="0" fontId="73" fillId="0" borderId="0" xfId="11" applyFont="1"/>
    <xf numFmtId="0" fontId="70" fillId="0" borderId="0" xfId="11" applyAlignment="1">
      <alignment wrapText="1"/>
    </xf>
    <xf numFmtId="0" fontId="75" fillId="59" borderId="0" xfId="11" applyFont="1" applyFill="1" applyAlignment="1">
      <alignment wrapText="1"/>
    </xf>
    <xf numFmtId="0" fontId="76" fillId="59" borderId="0" xfId="11" applyFont="1" applyFill="1" applyAlignment="1">
      <alignment wrapText="1"/>
    </xf>
    <xf numFmtId="0" fontId="0" fillId="0" borderId="0" xfId="11" applyFont="1" applyAlignment="1">
      <alignment vertical="center" wrapText="1"/>
    </xf>
    <xf numFmtId="0" fontId="73" fillId="0" borderId="0" xfId="11" applyFont="1" applyAlignment="1">
      <alignment vertical="center" wrapText="1"/>
    </xf>
    <xf numFmtId="0" fontId="73" fillId="0" borderId="0" xfId="11" applyFont="1" applyAlignment="1">
      <alignment horizontal="left" vertical="center" wrapText="1"/>
    </xf>
    <xf numFmtId="165" fontId="73" fillId="0" borderId="0" xfId="11" applyNumberFormat="1" applyFont="1" applyAlignment="1">
      <alignment horizontal="center" vertical="center" wrapText="1"/>
    </xf>
    <xf numFmtId="0" fontId="77" fillId="0" borderId="0" xfId="0" applyFont="1" applyAlignment="1">
      <alignment horizontal="left" vertical="center" wrapText="1"/>
    </xf>
    <xf numFmtId="165" fontId="77" fillId="0" borderId="0" xfId="0" applyNumberFormat="1" applyFont="1" applyAlignment="1">
      <alignment horizontal="center" vertical="center" wrapText="1"/>
    </xf>
    <xf numFmtId="165" fontId="78" fillId="0" borderId="0" xfId="0" applyNumberFormat="1" applyFont="1" applyAlignment="1">
      <alignment horizontal="center" vertical="center" wrapText="1"/>
    </xf>
    <xf numFmtId="0" fontId="70" fillId="0" borderId="0" xfId="11" applyAlignment="1">
      <alignment vertical="center" wrapText="1"/>
    </xf>
    <xf numFmtId="165" fontId="73" fillId="0" borderId="0" xfId="11" applyNumberFormat="1" applyFont="1" applyAlignment="1">
      <alignment horizontal="center" vertical="top" wrapText="1"/>
    </xf>
    <xf numFmtId="0" fontId="25" fillId="0" borderId="0" xfId="11" applyFont="1" applyAlignment="1">
      <alignment horizontal="left" vertical="center" wrapText="1"/>
    </xf>
    <xf numFmtId="165" fontId="25" fillId="0" borderId="0" xfId="11" applyNumberFormat="1" applyFont="1" applyAlignment="1">
      <alignment horizontal="center" vertical="center" wrapText="1"/>
    </xf>
    <xf numFmtId="0" fontId="4" fillId="0" borderId="7" xfId="8" applyFont="1" applyBorder="1" applyAlignment="1">
      <alignment horizontal="left" vertical="center" wrapText="1"/>
    </xf>
    <xf numFmtId="0" fontId="25" fillId="0" borderId="0" xfId="11" applyFont="1" applyAlignment="1">
      <alignment vertical="center" wrapText="1"/>
    </xf>
    <xf numFmtId="0" fontId="4" fillId="0" borderId="9" xfId="8" applyFont="1" applyBorder="1" applyAlignment="1">
      <alignment horizontal="left" vertical="center" wrapText="1"/>
    </xf>
    <xf numFmtId="0" fontId="70" fillId="0" borderId="0" xfId="0" applyFont="1"/>
    <xf numFmtId="165" fontId="70" fillId="0" borderId="0" xfId="0" applyNumberFormat="1" applyFont="1"/>
    <xf numFmtId="166" fontId="70" fillId="0" borderId="0" xfId="0" applyNumberFormat="1" applyFont="1"/>
    <xf numFmtId="164" fontId="70" fillId="0" borderId="0" xfId="0" applyNumberFormat="1" applyFont="1"/>
    <xf numFmtId="0" fontId="81" fillId="0" borderId="0" xfId="0" applyFont="1"/>
    <xf numFmtId="0" fontId="79" fillId="61" borderId="0" xfId="0" applyFont="1" applyFill="1" applyAlignment="1">
      <alignment wrapText="1"/>
    </xf>
    <xf numFmtId="0" fontId="79" fillId="61" borderId="37" xfId="0" applyFont="1" applyFill="1" applyBorder="1" applyAlignment="1">
      <alignment wrapText="1"/>
    </xf>
    <xf numFmtId="165" fontId="80" fillId="0" borderId="37" xfId="0" applyNumberFormat="1" applyFont="1" applyBorder="1"/>
    <xf numFmtId="0" fontId="70" fillId="0" borderId="0" xfId="0" applyFont="1" applyAlignment="1">
      <alignment wrapText="1"/>
    </xf>
    <xf numFmtId="0" fontId="71" fillId="58" borderId="0" xfId="11" applyFont="1" applyFill="1"/>
    <xf numFmtId="0" fontId="72" fillId="0" borderId="0" xfId="11" applyFont="1"/>
    <xf numFmtId="0" fontId="74" fillId="0" borderId="0" xfId="11" applyFont="1"/>
    <xf numFmtId="0" fontId="70" fillId="0" borderId="0" xfId="11"/>
    <xf numFmtId="0" fontId="0" fillId="0" borderId="2" xfId="0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28" borderId="15" xfId="0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82" fillId="56" borderId="0" xfId="0" applyFont="1" applyFill="1"/>
    <xf numFmtId="0" fontId="83" fillId="60" borderId="0" xfId="0" applyFont="1" applyFill="1" applyAlignment="1">
      <alignment wrapText="1"/>
    </xf>
    <xf numFmtId="0" fontId="80" fillId="60" borderId="0" xfId="0" applyFont="1" applyFill="1"/>
    <xf numFmtId="0" fontId="0" fillId="0" borderId="3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0" fillId="17" borderId="0" xfId="0" applyFill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20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31" borderId="14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2" fillId="10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0" borderId="8" xfId="0" applyFont="1" applyBorder="1"/>
    <xf numFmtId="0" fontId="22" fillId="0" borderId="8" xfId="0" applyFont="1" applyBorder="1"/>
    <xf numFmtId="2" fontId="32" fillId="0" borderId="0" xfId="0" applyNumberFormat="1" applyFont="1" applyAlignment="1">
      <alignment horizontal="center" vertical="center" wrapText="1"/>
    </xf>
    <xf numFmtId="2" fontId="32" fillId="0" borderId="6" xfId="0" applyNumberFormat="1" applyFont="1" applyBorder="1" applyAlignment="1">
      <alignment horizontal="center" vertical="center" wrapText="1"/>
    </xf>
    <xf numFmtId="0" fontId="24" fillId="32" borderId="25" xfId="0" applyFont="1" applyFill="1" applyBorder="1" applyAlignment="1">
      <alignment horizontal="center"/>
    </xf>
    <xf numFmtId="0" fontId="24" fillId="32" borderId="26" xfId="0" applyFont="1" applyFill="1" applyBorder="1" applyAlignment="1">
      <alignment horizontal="center"/>
    </xf>
    <xf numFmtId="0" fontId="24" fillId="32" borderId="27" xfId="0" applyFont="1" applyFill="1" applyBorder="1" applyAlignment="1">
      <alignment horizontal="center"/>
    </xf>
    <xf numFmtId="0" fontId="68" fillId="56" borderId="0" xfId="0" applyFont="1" applyFill="1"/>
    <xf numFmtId="0" fontId="69" fillId="0" borderId="0" xfId="0" applyFont="1"/>
    <xf numFmtId="0" fontId="84" fillId="62" borderId="0" xfId="0" applyFont="1" applyFill="1" applyAlignment="1">
      <alignment wrapText="1"/>
    </xf>
    <xf numFmtId="0" fontId="67" fillId="57" borderId="0" xfId="0" applyFont="1" applyFill="1" applyAlignment="1">
      <alignment horizontal="center" vertical="center" wrapText="1"/>
    </xf>
    <xf numFmtId="0" fontId="85" fillId="0" borderId="0" xfId="0" applyFont="1" applyBorder="1" applyAlignment="1">
      <alignment vertical="top" wrapText="1"/>
    </xf>
  </cellXfs>
  <cellStyles count="12">
    <cellStyle name="Gut" xfId="4" builtinId="26"/>
    <cellStyle name="Komma" xfId="7" builtinId="3"/>
    <cellStyle name="Komma 2" xfId="9" xr:uid="{C0025F0D-B114-4BA6-95D1-CACECBE6F71A}"/>
    <cellStyle name="Komma 3" xfId="10" xr:uid="{B7B897D8-742A-462D-B27F-6F5B048DC38E}"/>
    <cellStyle name="Link" xfId="6" builtinId="8"/>
    <cellStyle name="Neutral" xfId="5" builtinId="28"/>
    <cellStyle name="Prozent" xfId="1" builtinId="5"/>
    <cellStyle name="Schlecht" xfId="2" builtinId="27"/>
    <cellStyle name="Standard" xfId="0" builtinId="0"/>
    <cellStyle name="Standard 2" xfId="8" xr:uid="{019227B6-25D2-4147-A247-DF693FD88104}"/>
    <cellStyle name="Standard 3" xfId="11" xr:uid="{BBAF01AE-83B8-4387-9FA6-4C0526FC2F1B}"/>
    <cellStyle name="Überschrift 4" xfId="3" builtinId="19"/>
  </cellStyles>
  <dxfs count="9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</dxfs>
  <tableStyles count="0" defaultTableStyle="TableStyleMedium2" defaultPivotStyle="PivotStyleLight16"/>
  <colors>
    <mruColors>
      <color rgb="FFECDEE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151040</xdr:colOff>
      <xdr:row>0</xdr:row>
      <xdr:rowOff>114300</xdr:rowOff>
    </xdr:from>
    <xdr:to>
      <xdr:col>31</xdr:col>
      <xdr:colOff>335825</xdr:colOff>
      <xdr:row>17</xdr:row>
      <xdr:rowOff>133350</xdr:rowOff>
    </xdr:to>
    <xdr:pic>
      <xdr:nvPicPr>
        <xdr:cNvPr id="2" name="Picture 2" descr="image001">
          <a:extLst>
            <a:ext uri="{FF2B5EF4-FFF2-40B4-BE49-F238E27FC236}">
              <a16:creationId xmlns:a16="http://schemas.microsoft.com/office/drawing/2014/main" id="{83484DE9-FACF-4A9D-AA61-A12253D2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0540" y="114300"/>
          <a:ext cx="8965928" cy="310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104775</xdr:colOff>
      <xdr:row>24</xdr:row>
      <xdr:rowOff>180975</xdr:rowOff>
    </xdr:from>
    <xdr:ext cx="4731385" cy="4251960"/>
    <xdr:pic>
      <xdr:nvPicPr>
        <xdr:cNvPr id="2" name="Grafik 1">
          <a:extLst>
            <a:ext uri="{FF2B5EF4-FFF2-40B4-BE49-F238E27FC236}">
              <a16:creationId xmlns:a16="http://schemas.microsoft.com/office/drawing/2014/main" id="{B2D79502-77B0-48D0-BA00-736543BE659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0010775" y="4752975"/>
          <a:ext cx="4731385" cy="4251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13</xdr:row>
      <xdr:rowOff>85725</xdr:rowOff>
    </xdr:from>
    <xdr:ext cx="6123809" cy="4209524"/>
    <xdr:pic>
      <xdr:nvPicPr>
        <xdr:cNvPr id="2" name="Grafik 1">
          <a:extLst>
            <a:ext uri="{FF2B5EF4-FFF2-40B4-BE49-F238E27FC236}">
              <a16:creationId xmlns:a16="http://schemas.microsoft.com/office/drawing/2014/main" id="{E24180D8-0017-4A32-A196-50680358D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562225"/>
          <a:ext cx="6123809" cy="4209524"/>
        </a:xfrm>
        <a:prstGeom prst="rect">
          <a:avLst/>
        </a:prstGeom>
      </xdr:spPr>
    </xdr:pic>
    <xdr:clientData/>
  </xdr:oneCellAnchor>
  <xdr:oneCellAnchor>
    <xdr:from>
      <xdr:col>0</xdr:col>
      <xdr:colOff>447675</xdr:colOff>
      <xdr:row>36</xdr:row>
      <xdr:rowOff>76200</xdr:rowOff>
    </xdr:from>
    <xdr:ext cx="4810125" cy="3109448"/>
    <xdr:pic>
      <xdr:nvPicPr>
        <xdr:cNvPr id="3" name="Grafik 2" descr="https://ars.els-cdn.com/content/image/1-s2.0-S1385894724066051-gr1.jpg">
          <a:extLst>
            <a:ext uri="{FF2B5EF4-FFF2-40B4-BE49-F238E27FC236}">
              <a16:creationId xmlns:a16="http://schemas.microsoft.com/office/drawing/2014/main" id="{BCC54641-D0D4-4C68-BD2C-F31A4BFCB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934200"/>
          <a:ext cx="4810125" cy="3109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0</xdr:colOff>
      <xdr:row>6</xdr:row>
      <xdr:rowOff>0</xdr:rowOff>
    </xdr:from>
    <xdr:to>
      <xdr:col>27</xdr:col>
      <xdr:colOff>561975</xdr:colOff>
      <xdr:row>21</xdr:row>
      <xdr:rowOff>161925</xdr:rowOff>
    </xdr:to>
    <xdr:pic>
      <xdr:nvPicPr>
        <xdr:cNvPr id="4" name="Grafik 1" descr="image001">
          <a:extLst>
            <a:ext uri="{FF2B5EF4-FFF2-40B4-BE49-F238E27FC236}">
              <a16:creationId xmlns:a16="http://schemas.microsoft.com/office/drawing/2014/main" id="{B14D60BC-7FCD-412E-9548-BE5238EF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3000"/>
          <a:ext cx="11991975" cy="301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6534150" cy="4438650"/>
    <xdr:pic>
      <xdr:nvPicPr>
        <xdr:cNvPr id="2" name="Grafik 1" descr="img/files/flow_sheet/201/201_2009-04-22-095812_flow_sheet.jpg">
          <a:extLst>
            <a:ext uri="{FF2B5EF4-FFF2-40B4-BE49-F238E27FC236}">
              <a16:creationId xmlns:a16="http://schemas.microsoft.com/office/drawing/2014/main" id="{3CB69033-94E5-4638-A859-FDED8741A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6534150" cy="443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952381" cy="7552381"/>
    <xdr:pic>
      <xdr:nvPicPr>
        <xdr:cNvPr id="2" name="Grafik 1">
          <a:extLst>
            <a:ext uri="{FF2B5EF4-FFF2-40B4-BE49-F238E27FC236}">
              <a16:creationId xmlns:a16="http://schemas.microsoft.com/office/drawing/2014/main" id="{622CD6C4-6DFA-4140-AE0A-71C48464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8952381" cy="7552381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14</xdr:row>
      <xdr:rowOff>0</xdr:rowOff>
    </xdr:from>
    <xdr:ext cx="7761905" cy="6676190"/>
    <xdr:pic>
      <xdr:nvPicPr>
        <xdr:cNvPr id="3" name="Grafik 2">
          <a:extLst>
            <a:ext uri="{FF2B5EF4-FFF2-40B4-BE49-F238E27FC236}">
              <a16:creationId xmlns:a16="http://schemas.microsoft.com/office/drawing/2014/main" id="{310B6245-1FC5-49B7-820B-134FC683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0" y="2667000"/>
          <a:ext cx="7761905" cy="667619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15</xdr:row>
      <xdr:rowOff>38100</xdr:rowOff>
    </xdr:from>
    <xdr:ext cx="4914286" cy="3600000"/>
    <xdr:pic>
      <xdr:nvPicPr>
        <xdr:cNvPr id="2" name="Grafik 1">
          <a:extLst>
            <a:ext uri="{FF2B5EF4-FFF2-40B4-BE49-F238E27FC236}">
              <a16:creationId xmlns:a16="http://schemas.microsoft.com/office/drawing/2014/main" id="{29420C9A-BEE6-4BE5-B431-40F6D113F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2895600"/>
          <a:ext cx="4914286" cy="36000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0</xdr:rowOff>
    </xdr:from>
    <xdr:ext cx="6466667" cy="5923809"/>
    <xdr:pic>
      <xdr:nvPicPr>
        <xdr:cNvPr id="3" name="Grafik 2">
          <a:extLst>
            <a:ext uri="{FF2B5EF4-FFF2-40B4-BE49-F238E27FC236}">
              <a16:creationId xmlns:a16="http://schemas.microsoft.com/office/drawing/2014/main" id="{CB59EE1E-11A5-48B3-926D-28600FE1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048000"/>
          <a:ext cx="6466667" cy="592380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562475" cy="3676650"/>
    <xdr:pic>
      <xdr:nvPicPr>
        <xdr:cNvPr id="2" name="Grafik 1">
          <a:extLst>
            <a:ext uri="{FF2B5EF4-FFF2-40B4-BE49-F238E27FC236}">
              <a16:creationId xmlns:a16="http://schemas.microsoft.com/office/drawing/2014/main" id="{EB124E78-4A78-4F22-BCA5-166ACD48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4562475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JEC_WTTv5_excel_files\Biodiesel.xlsx" TargetMode="External"/><Relationship Id="rId1" Type="http://schemas.openxmlformats.org/officeDocument/2006/relationships/externalLinkPath" Target="JEC_WTTv5_excel_files/Biodies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BST-Projekte-laufende\CONCAWE_Euro-WTT-update\Pathways_v5\Workbooks\Common%20tables%20v5%200805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JEC_WTTv5_excel_files\Biomethane%20and%20Synthetic%20Methane.xlsx" TargetMode="External"/><Relationship Id="rId1" Type="http://schemas.openxmlformats.org/officeDocument/2006/relationships/externalLinkPath" Target="JEC_WTTv5_excel_files/Biomethane%20and%20Synthetic%20Methan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JEC_WTTv5_excel_files\Synfuels.xlsx" TargetMode="External"/><Relationship Id="rId1" Type="http://schemas.openxmlformats.org/officeDocument/2006/relationships/externalLinkPath" Target="JEC_WTTv5_excel_files/Synfuel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Projekte\Standort%20WB\N-31-535-0-ETIP-B_2026-2028\Daten\WP3%20Sector%20Monitoring%20and%20Analysis\Task%203.2%20Assessment%20of%20building%20capacity\Literatur\EC-Studien%201%20+%202\Studie%202%20Mobilisation\Dataset%20Task%201_final%20revision%202_2025-12-11.xlsx" TargetMode="External"/><Relationship Id="rId2" Type="http://schemas.microsoft.com/office/2019/04/relationships/externalLinkLongPath" Target="Literatur/EC-Studien%201%20+%202/Studie%202%20Mobilisation/Dataset%20Task%201_final%20revision%202_2025-12-11.xlsx?FFA9ECB0" TargetMode="External"/><Relationship Id="rId1" Type="http://schemas.openxmlformats.org/officeDocument/2006/relationships/externalLinkPath" Target="file:///\\FFA9ECB0\Dataset%20Task%201_final%20revision%202_2025-12-1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Providing%20sectors.xlsx" TargetMode="External"/><Relationship Id="rId1" Type="http://schemas.openxmlformats.org/officeDocument/2006/relationships/externalLinkPath" Target="Providing%20sector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estresearcheu-my.sharepoint.com/personal/cherpinl_best-research_eu/Documents/Scenarios%202040.xlsx" TargetMode="External"/><Relationship Id="rId1" Type="http://schemas.openxmlformats.org/officeDocument/2006/relationships/externalLinkPath" Target="https://bestresearcheu-my.sharepoint.com/personal/cherpinl_best-research_eu/Documents/Scenarios%202040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Scenario%201%20-%20Lucie.xlsx" TargetMode="External"/><Relationship Id="rId1" Type="http://schemas.openxmlformats.org/officeDocument/2006/relationships/externalLinkPath" Target="Scenario%201%20-%20Luci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kte\Standort%20WB\N-31-535-0-ETIP-B_2026-2028\Daten\WP3%20Sector%20Monitoring%20and%20Analysis\Task%203.2%20Assessment%20of%20building%20capacity\Szenarien%20&#220;bersicht.xlsx" TargetMode="External"/><Relationship Id="rId1" Type="http://schemas.openxmlformats.org/officeDocument/2006/relationships/externalLinkPath" Target="Szenarien%20&#220;bersic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General notes"/>
      <sheetName val="Summary"/>
      <sheetName val="ROFA"/>
      <sheetName val="ROFE"/>
      <sheetName val="SOFA"/>
      <sheetName val="SYFA"/>
      <sheetName val="POFA"/>
      <sheetName val="WOFA"/>
      <sheetName val="TOFA"/>
      <sheetName val="HVO"/>
      <sheetName val="Agri inputs"/>
      <sheetName val="Process chem"/>
      <sheetName val="Common"/>
    </sheetNames>
    <sheetDataSet>
      <sheetData sheetId="0"/>
      <sheetData sheetId="1"/>
      <sheetData sheetId="2"/>
      <sheetData sheetId="3">
        <row r="111">
          <cell r="E111">
            <v>0.99937297297297312</v>
          </cell>
        </row>
      </sheetData>
      <sheetData sheetId="4"/>
      <sheetData sheetId="5">
        <row r="107">
          <cell r="E107">
            <v>0.99937297297297312</v>
          </cell>
        </row>
      </sheetData>
      <sheetData sheetId="6">
        <row r="133">
          <cell r="E133">
            <v>0.99937297297297312</v>
          </cell>
        </row>
      </sheetData>
      <sheetData sheetId="7"/>
      <sheetData sheetId="8"/>
      <sheetData sheetId="9"/>
      <sheetData sheetId="10">
        <row r="94">
          <cell r="E94">
            <v>0.97670557210528897</v>
          </cell>
        </row>
        <row r="103">
          <cell r="E103">
            <v>1.0989010989010988</v>
          </cell>
        </row>
        <row r="109">
          <cell r="E109">
            <v>0.97670557210528897</v>
          </cell>
        </row>
        <row r="118">
          <cell r="E118">
            <v>0.97670557210528897</v>
          </cell>
        </row>
      </sheetData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  <sheetName val="Crude"/>
      <sheetName val="NG"/>
      <sheetName val="Chem-bio"/>
      <sheetName val="Bio-processes"/>
      <sheetName val="H&amp;P"/>
      <sheetName val="Synfuels"/>
      <sheetName val="Hydrogen"/>
      <sheetName val="Electrolysis"/>
      <sheetName val="Props"/>
      <sheetName val="Factors"/>
      <sheetName val="Fuels&amp;Resour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BG1.1</v>
          </cell>
        </row>
        <row r="541">
          <cell r="E541">
            <v>0.33560866048457977</v>
          </cell>
        </row>
        <row r="567">
          <cell r="E567">
            <v>0.28335080975387178</v>
          </cell>
        </row>
        <row r="888">
          <cell r="E888">
            <v>1.0389610389610389</v>
          </cell>
        </row>
        <row r="915">
          <cell r="E915">
            <v>0.96497153333976649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>
            <v>25</v>
          </cell>
        </row>
        <row r="16">
          <cell r="C16">
            <v>46.120970166270787</v>
          </cell>
        </row>
        <row r="31">
          <cell r="C31">
            <v>43.189869403726696</v>
          </cell>
        </row>
        <row r="32">
          <cell r="C32">
            <v>43.126330130588812</v>
          </cell>
        </row>
        <row r="47">
          <cell r="C47">
            <v>37</v>
          </cell>
        </row>
        <row r="48">
          <cell r="C48">
            <v>37.200000000000003</v>
          </cell>
        </row>
        <row r="50">
          <cell r="C50">
            <v>44</v>
          </cell>
        </row>
        <row r="64">
          <cell r="C64">
            <v>19</v>
          </cell>
        </row>
        <row r="75">
          <cell r="C75">
            <v>17.2</v>
          </cell>
        </row>
        <row r="89">
          <cell r="C89">
            <v>12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Summary_CBM_SNG"/>
      <sheetName val="Summary"/>
      <sheetName val="OWCG1"/>
      <sheetName val="OWCG2"/>
      <sheetName val="OWCG3"/>
      <sheetName val="OWCG4"/>
      <sheetName val="OWCG5"/>
      <sheetName val="WWCG2"/>
      <sheetName val="WFCG2"/>
      <sheetName val="RECG1"/>
      <sheetName val="OWLG1"/>
      <sheetName val="OWLG2"/>
      <sheetName val="OWLG3"/>
      <sheetName val="OWLG4"/>
      <sheetName val="OWLG5"/>
      <sheetName val="WWLG2"/>
      <sheetName val="WFLG2"/>
      <sheetName val="RELG1"/>
      <sheetName val="Agri inputs"/>
      <sheetName val="Common"/>
    </sheetNames>
    <sheetDataSet>
      <sheetData sheetId="0"/>
      <sheetData sheetId="1"/>
      <sheetData sheetId="2"/>
      <sheetData sheetId="3">
        <row r="52">
          <cell r="E52">
            <v>0.70724999999999982</v>
          </cell>
        </row>
        <row r="62">
          <cell r="E62">
            <v>0.97</v>
          </cell>
        </row>
      </sheetData>
      <sheetData sheetId="4">
        <row r="56">
          <cell r="E56">
            <v>0.46200000000000002</v>
          </cell>
        </row>
        <row r="70">
          <cell r="E70">
            <v>0.97</v>
          </cell>
        </row>
      </sheetData>
      <sheetData sheetId="5">
        <row r="52">
          <cell r="E52">
            <v>0.46200000000000002</v>
          </cell>
        </row>
        <row r="60">
          <cell r="E60">
            <v>0.97</v>
          </cell>
        </row>
      </sheetData>
      <sheetData sheetId="6"/>
      <sheetData sheetId="7">
        <row r="57">
          <cell r="E57">
            <v>1.3978194017332961</v>
          </cell>
        </row>
        <row r="61">
          <cell r="E61">
            <v>0.97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Summary"/>
      <sheetName val="GRSD"/>
      <sheetName val="KOxx"/>
      <sheetName val="GPME_DE"/>
      <sheetName val="GRME_DE"/>
      <sheetName val="GPOME"/>
      <sheetName val="Wxxx"/>
      <sheetName val="WxSD2"/>
      <sheetName val="WxPx"/>
      <sheetName val="WxOME"/>
      <sheetName val="RESD1"/>
      <sheetName val="REME1"/>
      <sheetName val="REDE1"/>
      <sheetName val="RESD2"/>
      <sheetName val="REOME"/>
      <sheetName val="Agri inputs"/>
      <sheetName val="Process chem"/>
      <sheetName val="Comm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80">
          <cell r="E180">
            <v>0.51056877361380582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VCs"/>
      <sheetName val="Feedstock categories per IVC"/>
      <sheetName val="DI codes"/>
      <sheetName val="Feedstock availability per IVC"/>
      <sheetName val="Product yields"/>
      <sheetName val="Process schemes"/>
      <sheetName val="Key processing materials"/>
      <sheetName val="Equipment"/>
      <sheetName val="Skills"/>
      <sheetName val="Gaps"/>
      <sheetName val="low TRL value chains"/>
    </sheetNames>
    <sheetDataSet>
      <sheetData sheetId="0" refreshError="1"/>
      <sheetData sheetId="1" refreshError="1"/>
      <sheetData sheetId="2" refreshError="1"/>
      <sheetData sheetId="3" refreshError="1">
        <row r="32">
          <cell r="F32">
            <v>0.64100000000000001</v>
          </cell>
          <cell r="M32">
            <v>0.64100000000000001</v>
          </cell>
        </row>
        <row r="62">
          <cell r="F62">
            <v>32.68</v>
          </cell>
          <cell r="M62">
            <v>64.39</v>
          </cell>
        </row>
      </sheetData>
      <sheetData sheetId="4" refreshError="1">
        <row r="11">
          <cell r="G11">
            <v>0.61622241329893945</v>
          </cell>
        </row>
        <row r="19">
          <cell r="G19">
            <v>0.28661507595299512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 per feedstock &amp; per IVC"/>
      <sheetName val="Tabelle1"/>
      <sheetName val="LCoP CONVENTIONAL"/>
      <sheetName val="2023 costs"/>
      <sheetName val="2030 costs Sc 1"/>
      <sheetName val="2030 costs Sc 2"/>
      <sheetName val="2030 costs Sc 3"/>
      <sheetName val="Feedstock MIX per IVC"/>
      <sheetName val="2035 costs Sc 1"/>
      <sheetName val="2035 costs Sc 2"/>
      <sheetName val="2035 costs Sc 3"/>
      <sheetName val="2040 Sc 1"/>
      <sheetName val="2040 Sc 2"/>
      <sheetName val="2040 costs Sc 3"/>
      <sheetName val="LCoP 2030 MEDIUM"/>
      <sheetName val="LCoP 2040 high"/>
      <sheetName val="LCoP 2030 HIGH"/>
      <sheetName val="LCoP 2040 medium-high"/>
      <sheetName val="LCoP 2050 high"/>
      <sheetName val="Feedtstocks only CONVENTIONAL"/>
      <sheetName val="CAPEX only"/>
      <sheetName val="OPEX only"/>
      <sheetName val="2030 S1 Feedstock Shares"/>
      <sheetName val="2030 S2 Feedstock Shares"/>
      <sheetName val="2030 S3 Feedstock Shares"/>
      <sheetName val="2035 S1 Feedstock Shares"/>
      <sheetName val="2035 S2 Feedstock Shares"/>
      <sheetName val="2035 S3 Feedstock Shares"/>
      <sheetName val="2040 S1 Feedstock Shares"/>
      <sheetName val="2040 S2 Feedstock Shares"/>
      <sheetName val="2040 S3 Feedstock Shares"/>
      <sheetName val="2023 Feedstock Shares"/>
      <sheetName val="S1 IVC Composition"/>
      <sheetName val="S2 IVC Composition"/>
      <sheetName val="S3 IVC Composition"/>
      <sheetName val="Emission intensities"/>
      <sheetName val="Weighetd emission intensities"/>
      <sheetName val="Emissions Summary"/>
      <sheetName val="IVC Production Overview"/>
    </sheetNames>
    <sheetDataSet>
      <sheetData sheetId="0"/>
      <sheetData sheetId="1"/>
      <sheetData sheetId="2"/>
      <sheetData sheetId="3"/>
      <sheetData sheetId="4"/>
      <sheetData sheetId="5">
        <row r="93">
          <cell r="D93">
            <v>1.7283950617283947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 3 2030"/>
      <sheetName val="Scenario 3 2035"/>
      <sheetName val="Scenaior 3 2040"/>
    </sheetNames>
    <sheetDataSet>
      <sheetData sheetId="0">
        <row r="14">
          <cell r="H14">
            <v>24.295002958833294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s SUMMARY trasnport sect"/>
      <sheetName val="GAP analysis Sc. 1"/>
      <sheetName val="GAP analysis Sc. 2"/>
      <sheetName val="GAP analysis Sc. 3"/>
      <sheetName val="DEMAND in FF55_RED"/>
      <sheetName val="Production 2030"/>
      <sheetName val="cmc-5_matching IVCs"/>
      <sheetName val="cmc-4_calculated sums"/>
      <sheetName val="cmc-3_conventional-capped"/>
      <sheetName val="cmc-2_cover crops"/>
      <sheetName val="cmc-1_biomethane"/>
      <sheetName val="current market conditions-0"/>
      <sheetName val="changes made"/>
      <sheetName val="Demand Split Bio+RFNBO"/>
    </sheetNames>
    <sheetDataSet>
      <sheetData sheetId="0"/>
      <sheetData sheetId="1">
        <row r="37">
          <cell r="C37">
            <v>0.25222126683863599</v>
          </cell>
        </row>
        <row r="75">
          <cell r="C75">
            <v>0.62304658177401118</v>
          </cell>
        </row>
        <row r="114">
          <cell r="C114">
            <v>0.82572438548362936</v>
          </cell>
        </row>
      </sheetData>
      <sheetData sheetId="2">
        <row r="105">
          <cell r="F105">
            <v>0.32413219826146089</v>
          </cell>
        </row>
      </sheetData>
      <sheetData sheetId="3">
        <row r="37">
          <cell r="K37">
            <v>9.4454232651776859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ötigte Mengen "/>
      <sheetName val=" Produktionsmengen disagg 2030"/>
      <sheetName val="Properties fuels"/>
    </sheetNames>
    <sheetDataSet>
      <sheetData sheetId="0"/>
      <sheetData sheetId="1"/>
      <sheetData sheetId="2">
        <row r="10">
          <cell r="C10">
            <v>43</v>
          </cell>
        </row>
        <row r="15">
          <cell r="C15">
            <v>43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ie Catalina Cherpin" id="{176C57B4-C9BA-4A0E-B3FF-C7C1465E8895}" userId="S::CherpinL@best-research.eu::a927ef08-32c0-4941-96b1-5a6dcfb3d6e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7362-B71E-4FB6-978E-9187E61728D7}" name="IVCOverviewEU" displayName="IVCOverviewEU" ref="A3:E18" totalsRowShown="0" headerRowDxfId="1" dataDxfId="2" tableBorderDxfId="8">
  <autoFilter ref="A3:E18" xr:uid="{B9597362-B71E-4FB6-978E-9187E61728D7}"/>
  <tableColumns count="5">
    <tableColumn id="1" xr3:uid="{D2999309-2594-4DEB-87F3-AA66FDBB79A4}" name="IVC No." dataDxfId="7"/>
    <tableColumn id="2" xr3:uid="{7F6D003F-737F-450D-BD86-CD3A48B25FF6}" name="Process / Refinement" dataDxfId="6"/>
    <tableColumn id="3" xr3:uid="{36319846-D154-4C1B-8D83-F043C90A0A5C}" name="Feedstocks Used" dataDxfId="5"/>
    <tableColumn id="4" xr3:uid="{3207D44B-8700-48BB-9749-C72A1A10FA02}" name="Resulting Product" dataDxfId="4"/>
    <tableColumn id="5" xr3:uid="{7B4D9656-DE25-47CE-94CB-07E72B3046E4}" name="Transport Secto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6-06-17T14:58:08.56" personId="{176C57B4-C9BA-4A0E-B3FF-C7C1465E8895}" id="{88F6927E-3828-4B67-B577-BD4065FDBA85}">
    <text>Source. Mail von Bert van de Beld, look up on „Projektwebseite von Fit4Micro“!</text>
  </threadedComment>
  <threadedComment ref="I10" dT="2026-06-17T14:49:50.36" personId="{176C57B4-C9BA-4A0E-B3FF-C7C1465E8895}" id="{D85D1152-C0C5-40B2-8516-E780D3266040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  <threadedComment ref="H15" dT="2026-06-17T14:58:08.56" personId="{176C57B4-C9BA-4A0E-B3FF-C7C1465E8895}" id="{A994C225-52CA-4EEA-B900-FAF2B8CA6919}">
    <text>Source. Mail von Bert van de Beld, look up on „Projektwebseite von Fit4Micro“!</text>
  </threadedComment>
  <threadedComment ref="I15" dT="2026-06-17T14:49:50.36" personId="{176C57B4-C9BA-4A0E-B3FF-C7C1465E8895}" id="{5A30166F-AB4C-4BE8-8395-D1BF37501BF1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  <threadedComment ref="H48" dT="2026-06-17T14:58:08.56" personId="{176C57B4-C9BA-4A0E-B3FF-C7C1465E8895}" id="{CF748F16-0139-4DAA-887F-4C8F49002A2D}">
    <text>Source. Mail von Bert van de Beld, look up on „Projektwebseite von Fit4Micro“!</text>
  </threadedComment>
  <threadedComment ref="I48" dT="2026-06-17T14:49:50.36" personId="{176C57B4-C9BA-4A0E-B3FF-C7C1465E8895}" id="{A84D589A-8D0A-4600-B1B1-15A10B2F7405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  <threadedComment ref="H61" dT="2026-06-17T14:58:08.56" personId="{176C57B4-C9BA-4A0E-B3FF-C7C1465E8895}" id="{75229F7E-1489-4D5B-82F6-36F0C34A32C6}">
    <text>Source. Mail von Bert van de Beld, look up on „Projektwebseite von Fit4Micro“!</text>
  </threadedComment>
  <threadedComment ref="I61" dT="2026-06-17T14:49:50.36" personId="{176C57B4-C9BA-4A0E-B3FF-C7C1465E8895}" id="{C92C6ED4-B7A1-4C70-82B3-E254EBB7C23E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  <threadedComment ref="H73" dT="2026-06-17T14:58:08.56" personId="{176C57B4-C9BA-4A0E-B3FF-C7C1465E8895}" id="{B640B7E4-5DC1-4BEE-A89B-395D4A9E12F0}">
    <text>Source. Mail von Bert van de Beld, look up on „Projektwebseite von Fit4Micro“!</text>
  </threadedComment>
  <threadedComment ref="I73" dT="2026-06-17T14:49:50.36" personId="{176C57B4-C9BA-4A0E-B3FF-C7C1465E8895}" id="{7C44D311-A999-488E-B278-8657F4C4F9A5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  <threadedComment ref="H84" dT="2026-06-17T14:58:08.56" personId="{176C57B4-C9BA-4A0E-B3FF-C7C1465E8895}" id="{957D2B9A-AD1C-4BD4-8ABA-79C9B52A1220}">
    <text>Source. Mail von Bert van de Beld, look up on „Projektwebseite von Fit4Micro“!</text>
  </threadedComment>
  <threadedComment ref="I84" dT="2026-06-17T14:49:50.36" personId="{176C57B4-C9BA-4A0E-B3FF-C7C1465E8895}" id="{3A96A6CA-FCEA-432B-B5DD-CF552460B133}">
    <text>Source: https://doi.org/10.1016/j.fuel.2026.138622 
(Email Doris 11.06.)</text>
    <extLst>
      <x:ext xmlns:xltc2="http://schemas.microsoft.com/office/spreadsheetml/2020/threadedcomments2" uri="{F7C98A9C-CBB3-438F-8F68-D28B6AF4A901}">
        <xltc2:checksum>942788678</xltc2:checksum>
        <xltc2:hyperlink startIndex="8" length="42" url="https://doi.org/10.1016/j.fuel.2026.138622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" dT="2026-07-08T11:47:34.10" personId="{176C57B4-C9BA-4A0E-B3FF-C7C1465E8895}" id="{FD6607B3-0B99-4E17-8D13-B4BD342C583F}">
    <text>Do not include!</text>
  </threadedComment>
  <threadedComment ref="K9" dT="2026-07-24T11:12:15.11" personId="{176C57B4-C9BA-4A0E-B3FF-C7C1465E8895}" id="{DA9DA71E-F6CE-4C48-992B-7FA70C2A8F34}">
    <text>Do not include!</text>
  </threadedComment>
  <threadedComment ref="AE10" dT="2026-08-04T18:16:06.90" personId="{176C57B4-C9BA-4A0E-B3FF-C7C1465E8895}" id="{18D4729B-72E7-47B0-96D1-61EDD03C5FB0}">
    <text>Since I am also dividing by 2 in the conversion factor (see other sheet)</text>
  </threadedComment>
  <threadedComment ref="K11" dT="2026-07-08T11:53:12.26" personId="{176C57B4-C9BA-4A0E-B3FF-C7C1465E8895}" id="{FD846F97-36E4-4654-A401-33A34B2DFB40}">
    <text>Do NOT include</text>
  </threadedComment>
  <threadedComment ref="AE21" dT="2026-07-08T11:46:00.27" personId="{176C57B4-C9BA-4A0E-B3FF-C7C1465E8895}" id="{8A55E81F-C6D0-44F9-B06C-0585A1DCADBE}">
    <text>Not shared with FAME anymore --&gt; change in essential value chains sheet</text>
  </threadedComment>
  <threadedComment ref="K49" dT="2026-07-28T12:27:56.45" personId="{176C57B4-C9BA-4A0E-B3FF-C7C1465E8895}" id="{1C9A133F-06BF-4BB3-8840-1885010B6DC7}">
    <text>Nebenprodukt von FAME</text>
  </threadedComment>
  <threadedComment ref="C80" dT="2026-06-11T08:02:25.19" personId="{176C57B4-C9BA-4A0E-B3FF-C7C1465E8895}" id="{F09434A1-079F-45D1-B89E-E2B906F0FBBD}">
    <text>Gleiches Produkt wie 9a., aber elektrisch produziert</text>
  </threadedComment>
  <threadedComment ref="AA81" dT="2026-06-01T20:01:07.60" personId="{176C57B4-C9BA-4A0E-B3FF-C7C1465E8895}" id="{7E4C8435-732D-4650-881B-FD93848702E5}">
    <text>Taken from „Dataset Task 1 Final revision“, sheet „product yields“</text>
  </threadedComment>
  <threadedComment ref="N116" dT="2026-08-08T08:01:10.07" personId="{176C57B4-C9BA-4A0E-B3FF-C7C1465E8895}" id="{3AED4D3F-208E-4004-A915-F5419DC56295}">
    <text>The  150000 coresponds to 0,15 Mtoe surplus of biomethane from IVC 9a in Scenario 1  // the 3,333 is the twisted conversion factor from biomethane to syngas (0,3 toe biomethane/ t syngas)</text>
  </threadedComment>
  <threadedComment ref="AA270" dT="2026-06-01T20:01:07.60" personId="{176C57B4-C9BA-4A0E-B3FF-C7C1465E8895}" id="{876C7F08-4DCC-4999-9B30-AF7B2196AECE}">
    <text>Taken from „Dataset Task 1 Final revision“, sheet „product yields“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9" dT="2026-06-03T10:27:24.61" personId="{176C57B4-C9BA-4A0E-B3FF-C7C1465E8895}" id="{E2DACA82-539A-4FBB-9B98-A94E3A1BC8D6}">
    <text xml:space="preserve">Aus Annex 1 Study 1, p. 37 </text>
  </threadedComment>
  <threadedComment ref="A12" dT="2026-07-07T13:53:34.16" personId="{176C57B4-C9BA-4A0E-B3FF-C7C1465E8895}" id="{3B0D5F1A-2205-4FF6-BE5F-E68C8AA7F28E}">
    <text>Source: Study 2</text>
  </threadedComment>
  <threadedComment ref="B22" dT="2026-07-07T14:23:47.84" personId="{176C57B4-C9BA-4A0E-B3FF-C7C1465E8895}" id="{E6BD1566-63DB-4105-B0FA-89B9F036A44F}">
    <text xml:space="preserve">What kind, Annex 9 Part A or B ? </text>
  </threadedComment>
  <threadedComment ref="A27" dT="2026-07-07T15:22:17.23" personId="{176C57B4-C9BA-4A0E-B3FF-C7C1465E8895}" id="{D1C64E84-91BB-420F-B641-E79B95788A1A}">
    <text>Source:  Annex 5 Study 1 - p. 59</text>
  </threadedComment>
  <threadedComment ref="B32" dT="2026-07-08T07:39:30.50" personId="{176C57B4-C9BA-4A0E-B3FF-C7C1465E8895}" id="{0A712C46-4D2B-49CD-BCC2-B9DD1428E373}">
    <text>Source: Annex 5 Study 1, p. 31</text>
  </threadedComment>
  <threadedComment ref="B40" dT="2026-07-08T07:39:39.12" personId="{176C57B4-C9BA-4A0E-B3FF-C7C1465E8895}" id="{4A1952E0-EC8A-435B-AEBA-0E5A55C1B5A3}">
    <text>Source: Annex 5 Study 1, p. 31</text>
  </threadedComment>
  <threadedComment ref="B45" dT="2026-07-08T07:39:46.92" personId="{176C57B4-C9BA-4A0E-B3FF-C7C1465E8895}" id="{A8AB1B6C-9F27-4CEF-B667-630C16446628}">
    <text>Source: Annex 5 Study 1, p. 31</text>
  </threadedComment>
  <threadedComment ref="B46" dT="2026-07-08T07:39:53.21" personId="{176C57B4-C9BA-4A0E-B3FF-C7C1465E8895}" id="{94393203-55B8-4CEF-9DD8-B7A5510F7C43}">
    <text>Source: Annex 5 Study 1, p. 31</text>
  </threadedComment>
  <threadedComment ref="B55" dT="2026-07-09T11:49:34.92" personId="{176C57B4-C9BA-4A0E-B3FF-C7C1465E8895}" id="{42AAFB8D-9E4B-421C-BD81-13B8CFC418A1}">
    <text>Spplit by 2 because shared with gasoline</text>
  </threadedComment>
  <threadedComment ref="J61" dT="2026-07-13T09:49:49.24" personId="{176C57B4-C9BA-4A0E-B3FF-C7C1465E8895}" id="{697B8F49-5DFB-47A2-BF5B-643E3CA493DD}">
    <text>Study 1, Annex 3, p. 33</text>
  </threadedComment>
  <threadedComment ref="A76" dT="2026-07-07T15:22:33.04" personId="{176C57B4-C9BA-4A0E-B3FF-C7C1465E8895}" id="{2D5F5AF0-51FE-455D-8386-B0FAC8CEF42B}">
    <text xml:space="preserve">Source: Decision making matrix excel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5" dT="2026-06-03T13:32:01.22" personId="{176C57B4-C9BA-4A0E-B3FF-C7C1465E8895}" id="{A7D5C30F-7B3E-4341-A512-90FBAB53E65A}">
    <text>Source: EEA Bericht Mail Doris</text>
  </threadedComment>
  <threadedComment ref="A30" dT="2026-06-03T10:18:23.74" personId="{176C57B4-C9BA-4A0E-B3FF-C7C1465E8895}" id="{A09A4750-36A7-4AC5-BA10-F0D006B585EC}">
    <text xml:space="preserve">Quelle: Annex 1 Study 1, page 37
</text>
  </threadedComment>
  <threadedComment ref="I42" dT="2026-06-03T09:36:21.58" personId="{176C57B4-C9BA-4A0E-B3FF-C7C1465E8895}" id="{048B37D3-C932-48C1-8B4F-F67901B339F7}">
    <text xml:space="preserve">Von Annex 1, Studie 1, p. 37
</text>
  </threadedComment>
  <threadedComment ref="L54" dT="2026-06-03T11:59:15.31" personId="{176C57B4-C9BA-4A0E-B3FF-C7C1465E8895}" id="{53875A4C-B42A-473F-86E0-683A425DB238}">
    <text>Source: EU Reference Scenario  p. 79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443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C3DA408-A43E-4A1C-99E9-E21E8C934AFD}">
  <we:reference id="wa200010215" version="2.0.0.0" store="de-DE" storeType="OMEX"/>
  <we:alternateReferences>
    <we:reference id="WA200010215" version="2.0.0.0" store="WA200010215" storeType="OMEX"/>
  </we:alternateReferences>
  <we:properties>
    <we:property name="bps.codex_control.document_id" value="&quot;e444f49e-7ee6-4c35-b9af-200dc31ba7a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9B980E7-5BAE-45EB-8DC7-04E22772ED3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d4bca42-ed7d-4bba-85db-57a5041212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20osti/76131.pdf" TargetMode="External"/><Relationship Id="rId2" Type="http://schemas.openxmlformats.org/officeDocument/2006/relationships/hyperlink" Target="https://doi.org/10.1016/j.cej.2024.155114" TargetMode="External"/><Relationship Id="rId1" Type="http://schemas.openxmlformats.org/officeDocument/2006/relationships/hyperlink" Target="https://renfuel.se/biofuels/technology/" TargetMode="External"/><Relationship Id="rId4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rsb.org/wp-content/uploads/2020/10/20-10-16-RSB-Summary-Report_Final.pdf" TargetMode="External"/><Relationship Id="rId2" Type="http://schemas.openxmlformats.org/officeDocument/2006/relationships/hyperlink" Target="https://doi.org/10.1016/j.rser.2023.114240" TargetMode="External"/><Relationship Id="rId1" Type="http://schemas.openxmlformats.org/officeDocument/2006/relationships/hyperlink" Target="https://ethanolproducer.com/articles/alcohol-to-jet-a-lifeline-for-corn-ethanol" TargetMode="External"/><Relationship Id="rId5" Type="http://schemas.openxmlformats.org/officeDocument/2006/relationships/hyperlink" Target="https://www.icao.int/environmental-protection/CORSIA/Documents/CORSIA_Eligible_Fuels/CORSIA_Supporting_Document_CORSIA%20Eligible%20Fuels_LCA_Methodology_V5.pdf" TargetMode="External"/><Relationship Id="rId4" Type="http://schemas.openxmlformats.org/officeDocument/2006/relationships/hyperlink" Target="https://doi.org/10.1016/j.enconman.2024.118947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methanol.org/wp-content/uploads/2019/01/MethanolReport.pdf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cepi.org/wp-content/uploads/2024/09/Key-Statistics-2023-FINAL-2.pdf" TargetMode="External"/><Relationship Id="rId1" Type="http://schemas.openxmlformats.org/officeDocument/2006/relationships/hyperlink" Target="https://www.sodra.com/en/global/Bioproducts/biomethanol/" TargetMode="External"/><Relationship Id="rId4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lanzatech.com/wp-content/uploads/2023/11/LCA-Ethanol-from-BOF-Gas-NXBZ-v1.3.pdf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hyperlink" Target="https://doi.org/10.1016/j.cej.2024.155114" TargetMode="External"/><Relationship Id="rId1" Type="http://schemas.openxmlformats.org/officeDocument/2006/relationships/hyperlink" Target="https://renfuel.se/biofuels/technology/" TargetMode="Externa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DA95-0901-4768-804D-6C37FBB49079}">
  <sheetPr codeName="Tabelle5">
    <tabColor theme="7"/>
  </sheetPr>
  <dimension ref="A1:U52"/>
  <sheetViews>
    <sheetView zoomScale="80" zoomScaleNormal="80" workbookViewId="0">
      <selection activeCell="D11" sqref="D11"/>
    </sheetView>
  </sheetViews>
  <sheetFormatPr baseColWidth="10" defaultColWidth="11.453125" defaultRowHeight="14.5"/>
  <cols>
    <col min="2" max="2" width="34" customWidth="1"/>
    <col min="4" max="4" width="34.7265625" bestFit="1" customWidth="1"/>
    <col min="7" max="7" width="65.7265625" bestFit="1" customWidth="1"/>
    <col min="8" max="8" width="3.54296875" customWidth="1"/>
    <col min="9" max="9" width="15.81640625" bestFit="1" customWidth="1"/>
    <col min="10" max="10" width="17" bestFit="1" customWidth="1"/>
    <col min="11" max="11" width="4.1796875" customWidth="1"/>
    <col min="20" max="20" width="48.81640625" bestFit="1" customWidth="1"/>
  </cols>
  <sheetData>
    <row r="1" spans="1:20">
      <c r="D1" s="1071" t="s">
        <v>477</v>
      </c>
      <c r="E1" s="1071"/>
      <c r="F1" s="1071"/>
      <c r="I1" s="1072" t="s">
        <v>478</v>
      </c>
      <c r="J1" s="1072"/>
      <c r="M1" s="1073" t="s">
        <v>479</v>
      </c>
      <c r="N1" s="1073"/>
      <c r="O1" s="1073"/>
      <c r="Q1" s="1074" t="s">
        <v>390</v>
      </c>
      <c r="R1" s="1074"/>
      <c r="S1" s="1074"/>
      <c r="T1" s="1074"/>
    </row>
    <row r="2" spans="1:20">
      <c r="A2" s="283" t="s">
        <v>0</v>
      </c>
      <c r="B2" s="283" t="s">
        <v>1</v>
      </c>
      <c r="C2" s="283" t="s">
        <v>42</v>
      </c>
      <c r="D2" s="284" t="s">
        <v>480</v>
      </c>
      <c r="E2" s="284" t="s">
        <v>375</v>
      </c>
      <c r="F2" s="284" t="s">
        <v>400</v>
      </c>
      <c r="G2" s="283" t="s">
        <v>376</v>
      </c>
      <c r="H2" s="46"/>
      <c r="I2" s="285" t="s">
        <v>481</v>
      </c>
      <c r="J2" s="285" t="s">
        <v>482</v>
      </c>
      <c r="K2" s="46"/>
      <c r="M2" s="286" t="s">
        <v>42</v>
      </c>
      <c r="N2" s="286" t="s">
        <v>375</v>
      </c>
      <c r="O2" s="287" t="s">
        <v>483</v>
      </c>
      <c r="Q2" s="288" t="s">
        <v>421</v>
      </c>
      <c r="R2" s="289" t="s">
        <v>392</v>
      </c>
      <c r="S2" s="289" t="s">
        <v>391</v>
      </c>
      <c r="T2" s="289" t="s">
        <v>393</v>
      </c>
    </row>
    <row r="3" spans="1:20">
      <c r="A3" s="290">
        <v>1</v>
      </c>
      <c r="B3" s="291" t="s">
        <v>2</v>
      </c>
      <c r="C3" s="291" t="s">
        <v>43</v>
      </c>
      <c r="D3" s="106">
        <v>0.96499999999999997</v>
      </c>
      <c r="E3" s="106">
        <v>0.88372981752173496</v>
      </c>
      <c r="F3" s="106">
        <f>D3*E3</f>
        <v>0.85279927390847421</v>
      </c>
      <c r="G3" s="290" t="s">
        <v>396</v>
      </c>
      <c r="I3" s="104">
        <v>1</v>
      </c>
      <c r="J3" s="292">
        <f>I3</f>
        <v>1</v>
      </c>
      <c r="M3" s="293" t="s">
        <v>47</v>
      </c>
      <c r="N3" s="294">
        <v>0.64488392089423896</v>
      </c>
      <c r="O3" s="287">
        <v>27</v>
      </c>
      <c r="Q3" s="288">
        <v>1</v>
      </c>
      <c r="R3" s="295" t="s">
        <v>121</v>
      </c>
      <c r="S3" s="106">
        <v>0.96499999999999997</v>
      </c>
      <c r="T3" s="585" t="s">
        <v>394</v>
      </c>
    </row>
    <row r="4" spans="1:20">
      <c r="A4" s="290">
        <v>2</v>
      </c>
      <c r="B4" s="291" t="s">
        <v>3</v>
      </c>
      <c r="C4" s="291" t="s">
        <v>44</v>
      </c>
      <c r="D4" s="106">
        <f>1.039/2</f>
        <v>0.51949999999999996</v>
      </c>
      <c r="E4" s="106">
        <v>1.0509219451609821</v>
      </c>
      <c r="F4" s="106">
        <f t="shared" ref="F4:F35" si="0">D4*E4</f>
        <v>0.54595395051113016</v>
      </c>
      <c r="G4" s="290" t="s">
        <v>625</v>
      </c>
      <c r="I4" s="104">
        <v>1</v>
      </c>
      <c r="J4" s="292">
        <f t="shared" ref="J4" si="1">I4</f>
        <v>1</v>
      </c>
      <c r="M4" s="293" t="s">
        <v>377</v>
      </c>
      <c r="N4" s="294">
        <v>0.85984522785898532</v>
      </c>
      <c r="O4" s="287">
        <v>36</v>
      </c>
      <c r="Q4" s="288">
        <v>2</v>
      </c>
      <c r="R4" s="295" t="s">
        <v>395</v>
      </c>
      <c r="S4" s="106">
        <v>1.0389999999999999</v>
      </c>
      <c r="T4" s="295" t="s">
        <v>394</v>
      </c>
    </row>
    <row r="5" spans="1:20">
      <c r="A5" s="290"/>
      <c r="B5" s="291"/>
      <c r="C5" s="291" t="s">
        <v>45</v>
      </c>
      <c r="D5" s="106">
        <f>1.039/2</f>
        <v>0.51949999999999996</v>
      </c>
      <c r="E5" s="106">
        <v>1.0270373554982324</v>
      </c>
      <c r="F5" s="106">
        <f t="shared" si="0"/>
        <v>0.53354590618133169</v>
      </c>
      <c r="G5" s="291" t="s">
        <v>626</v>
      </c>
      <c r="I5" s="104"/>
      <c r="J5" s="104"/>
      <c r="M5" s="293" t="s">
        <v>51</v>
      </c>
      <c r="N5" s="294">
        <v>0.47769179325499184</v>
      </c>
      <c r="O5" s="287">
        <v>20</v>
      </c>
      <c r="Q5" s="288">
        <v>4</v>
      </c>
      <c r="R5" s="295" t="s">
        <v>484</v>
      </c>
      <c r="S5" s="106">
        <v>7.7700000000000005E-2</v>
      </c>
      <c r="T5" s="295" t="s">
        <v>485</v>
      </c>
    </row>
    <row r="6" spans="1:20">
      <c r="A6" s="290">
        <v>3</v>
      </c>
      <c r="B6" s="291" t="s">
        <v>4</v>
      </c>
      <c r="C6" s="291" t="s">
        <v>46</v>
      </c>
      <c r="D6" s="106">
        <v>2</v>
      </c>
      <c r="E6" s="106">
        <v>1.0509219451609821</v>
      </c>
      <c r="F6" s="106">
        <f t="shared" si="0"/>
        <v>2.1018438903219643</v>
      </c>
      <c r="G6" s="290" t="s">
        <v>397</v>
      </c>
      <c r="I6" s="104"/>
      <c r="J6" s="104"/>
      <c r="M6" s="293" t="s">
        <v>378</v>
      </c>
      <c r="N6" s="294">
        <v>0.83596063819623578</v>
      </c>
      <c r="O6" s="287">
        <v>35</v>
      </c>
      <c r="Q6" s="288"/>
      <c r="R6" s="295" t="s">
        <v>484</v>
      </c>
      <c r="S6" s="106">
        <v>5.8000000000000003E-2</v>
      </c>
      <c r="T6" s="295" t="s">
        <v>486</v>
      </c>
    </row>
    <row r="7" spans="1:20">
      <c r="A7" s="290">
        <v>4</v>
      </c>
      <c r="B7" s="291" t="s">
        <v>5</v>
      </c>
      <c r="C7" s="291" t="s">
        <v>47</v>
      </c>
      <c r="D7" s="106">
        <f>1000/5500</f>
        <v>0.18181818181818182</v>
      </c>
      <c r="E7" s="106">
        <v>0.64488392089423896</v>
      </c>
      <c r="F7" s="106">
        <f t="shared" si="0"/>
        <v>0.11725162198077073</v>
      </c>
      <c r="G7" s="291" t="s">
        <v>487</v>
      </c>
      <c r="I7" s="104"/>
      <c r="J7" s="104"/>
      <c r="M7" s="293" t="s">
        <v>379</v>
      </c>
      <c r="N7" s="294">
        <v>0.6687685105569886</v>
      </c>
      <c r="O7" s="287">
        <v>28</v>
      </c>
      <c r="Q7" s="288"/>
      <c r="R7" s="295" t="s">
        <v>484</v>
      </c>
      <c r="S7" s="106">
        <f>S5/S6</f>
        <v>1.3396551724137931</v>
      </c>
      <c r="T7" s="295" t="s">
        <v>488</v>
      </c>
    </row>
    <row r="8" spans="1:20">
      <c r="A8" s="290"/>
      <c r="B8" s="291"/>
      <c r="C8" s="291" t="s">
        <v>49</v>
      </c>
      <c r="D8" s="106">
        <f>D11*D7</f>
        <v>0.10909090909090909</v>
      </c>
      <c r="E8" s="106">
        <v>0.64488392089423896</v>
      </c>
      <c r="F8" s="106">
        <f t="shared" si="0"/>
        <v>7.0350973188462423E-2</v>
      </c>
      <c r="G8" s="290"/>
      <c r="I8" s="104"/>
      <c r="J8" s="104"/>
      <c r="M8" s="293" t="s">
        <v>380</v>
      </c>
      <c r="N8" s="294">
        <v>0.9076144071844845</v>
      </c>
      <c r="O8" s="287">
        <v>38</v>
      </c>
      <c r="Q8" s="288">
        <v>5</v>
      </c>
      <c r="R8" s="295" t="s">
        <v>131</v>
      </c>
      <c r="S8" s="296">
        <v>0.28299999999999997</v>
      </c>
      <c r="T8" s="585" t="s">
        <v>398</v>
      </c>
    </row>
    <row r="9" spans="1:20">
      <c r="A9" s="585">
        <v>5</v>
      </c>
      <c r="B9" s="586" t="s">
        <v>6</v>
      </c>
      <c r="C9" s="586" t="s">
        <v>48</v>
      </c>
      <c r="D9" s="587">
        <v>0.182</v>
      </c>
      <c r="E9" s="587">
        <v>0.64488392089423896</v>
      </c>
      <c r="F9" s="587">
        <f t="shared" si="0"/>
        <v>0.11736887360275149</v>
      </c>
      <c r="G9" s="290"/>
      <c r="I9" s="104">
        <v>0.41</v>
      </c>
      <c r="J9" s="297">
        <f>I9/O3*O27</f>
        <v>0.26118518518518513</v>
      </c>
      <c r="M9" s="293" t="s">
        <v>381</v>
      </c>
      <c r="N9" s="294">
        <v>0.78819145887073661</v>
      </c>
      <c r="O9" s="287">
        <v>33</v>
      </c>
      <c r="Q9" s="288"/>
      <c r="R9" s="295" t="s">
        <v>131</v>
      </c>
      <c r="S9" s="106">
        <f>S8/26.8*17.2</f>
        <v>0.18162686567164177</v>
      </c>
      <c r="T9" s="295" t="s">
        <v>399</v>
      </c>
    </row>
    <row r="10" spans="1:20">
      <c r="A10" s="585"/>
      <c r="B10" s="586"/>
      <c r="C10" s="586" t="s">
        <v>49</v>
      </c>
      <c r="D10" s="587">
        <f>D11*D9</f>
        <v>0.10919999999999999</v>
      </c>
      <c r="E10" s="587">
        <v>0.64488392089423896</v>
      </c>
      <c r="F10" s="587">
        <f t="shared" si="0"/>
        <v>7.0421324161650894E-2</v>
      </c>
      <c r="G10" s="290"/>
      <c r="I10" s="104">
        <f>I9*0.4</f>
        <v>0.16400000000000001</v>
      </c>
      <c r="J10" s="104"/>
      <c r="M10" s="293" t="s">
        <v>382</v>
      </c>
      <c r="N10" s="294">
        <v>1.0270373554982324</v>
      </c>
      <c r="O10" s="287">
        <v>43</v>
      </c>
      <c r="Q10" s="288">
        <v>7</v>
      </c>
      <c r="R10" s="295" t="s">
        <v>401</v>
      </c>
      <c r="S10" s="295">
        <v>0.46200000000000002</v>
      </c>
      <c r="T10" s="295" t="s">
        <v>402</v>
      </c>
    </row>
    <row r="11" spans="1:20">
      <c r="A11" s="290">
        <v>6</v>
      </c>
      <c r="B11" s="298" t="s">
        <v>7</v>
      </c>
      <c r="C11" s="298" t="s">
        <v>49</v>
      </c>
      <c r="D11" s="299">
        <v>0.6</v>
      </c>
      <c r="E11" s="106">
        <v>1.0270373554982324</v>
      </c>
      <c r="F11" s="299">
        <f>D11*E11</f>
        <v>0.61622241329893945</v>
      </c>
      <c r="G11" s="290" t="s">
        <v>489</v>
      </c>
      <c r="I11" s="104">
        <v>0.4</v>
      </c>
      <c r="J11" s="297">
        <f>I11/O19*O3</f>
        <v>0.25116279069767444</v>
      </c>
      <c r="M11" s="293" t="s">
        <v>120</v>
      </c>
      <c r="N11" s="294">
        <v>0.88372981752173496</v>
      </c>
      <c r="O11" s="287">
        <v>37</v>
      </c>
      <c r="Q11" s="288"/>
      <c r="R11" s="295" t="s">
        <v>401</v>
      </c>
      <c r="S11" s="295">
        <v>0.97</v>
      </c>
      <c r="T11" s="295" t="s">
        <v>403</v>
      </c>
    </row>
    <row r="12" spans="1:20">
      <c r="A12" s="290">
        <v>7</v>
      </c>
      <c r="B12" s="291" t="s">
        <v>8</v>
      </c>
      <c r="C12" s="291" t="s">
        <v>50</v>
      </c>
      <c r="D12" s="106">
        <v>0.28000000000000003</v>
      </c>
      <c r="E12" s="106">
        <v>1.1951848667239895</v>
      </c>
      <c r="F12" s="106">
        <f t="shared" si="0"/>
        <v>0.33465176268271707</v>
      </c>
      <c r="G12" s="290" t="s">
        <v>490</v>
      </c>
      <c r="I12" s="104">
        <v>1</v>
      </c>
      <c r="J12" s="297">
        <f>I12/O16*O30</f>
        <v>0.36</v>
      </c>
      <c r="M12" s="293" t="s">
        <v>383</v>
      </c>
      <c r="N12" s="294">
        <v>1.0509219451609821</v>
      </c>
      <c r="O12" s="287">
        <v>44</v>
      </c>
      <c r="Q12" s="288"/>
      <c r="R12" s="295" t="s">
        <v>401</v>
      </c>
      <c r="S12" s="106">
        <f>S10*S11/46.1*12</f>
        <v>0.11665249457700649</v>
      </c>
      <c r="T12" s="295" t="s">
        <v>404</v>
      </c>
    </row>
    <row r="13" spans="1:20">
      <c r="A13" s="290"/>
      <c r="B13" s="291"/>
      <c r="C13" s="291" t="s">
        <v>50</v>
      </c>
      <c r="D13" s="106">
        <f>D12</f>
        <v>0.28000000000000003</v>
      </c>
      <c r="E13" s="106">
        <v>1.1951848667239895</v>
      </c>
      <c r="F13" s="106">
        <f t="shared" si="0"/>
        <v>0.33465176268271707</v>
      </c>
      <c r="G13" s="290"/>
      <c r="I13" s="104"/>
      <c r="J13" s="104"/>
      <c r="M13" s="293" t="s">
        <v>44</v>
      </c>
      <c r="N13" s="294">
        <v>1.0509219451609821</v>
      </c>
      <c r="O13" s="287">
        <v>44</v>
      </c>
      <c r="Q13" s="288">
        <v>7</v>
      </c>
      <c r="R13" s="295" t="s">
        <v>491</v>
      </c>
      <c r="S13" s="106">
        <v>1.3977999999999999</v>
      </c>
      <c r="T13" s="295" t="s">
        <v>492</v>
      </c>
    </row>
    <row r="14" spans="1:20">
      <c r="A14" s="300" t="s">
        <v>9</v>
      </c>
      <c r="B14" s="291" t="s">
        <v>10</v>
      </c>
      <c r="C14" s="291" t="s">
        <v>51</v>
      </c>
      <c r="D14" s="106">
        <v>0.48693467336683416</v>
      </c>
      <c r="E14" s="106">
        <v>0.47769179325499184</v>
      </c>
      <c r="F14" s="106">
        <f t="shared" si="0"/>
        <v>0.23260469731863673</v>
      </c>
      <c r="G14" s="290"/>
      <c r="I14" s="104">
        <v>0.57999999999999996</v>
      </c>
      <c r="J14" s="292">
        <f>I14/O5*O29</f>
        <v>0.55099999999999993</v>
      </c>
      <c r="M14" s="293" t="s">
        <v>384</v>
      </c>
      <c r="N14" s="294">
        <v>0.88372981752173496</v>
      </c>
      <c r="O14" s="287">
        <v>37</v>
      </c>
      <c r="Q14" s="288"/>
      <c r="R14" s="295" t="s">
        <v>491</v>
      </c>
      <c r="S14" s="106">
        <v>0.97</v>
      </c>
      <c r="T14" s="295" t="s">
        <v>403</v>
      </c>
    </row>
    <row r="15" spans="1:20">
      <c r="A15" s="300" t="s">
        <v>11</v>
      </c>
      <c r="B15" s="298" t="s">
        <v>12</v>
      </c>
      <c r="C15" s="298" t="s">
        <v>51</v>
      </c>
      <c r="D15" s="106">
        <v>1.6886231155778899</v>
      </c>
      <c r="E15" s="106">
        <v>0.47769179325499184</v>
      </c>
      <c r="F15" s="106">
        <f t="shared" si="0"/>
        <v>0.80664140421223363</v>
      </c>
      <c r="G15" s="290"/>
      <c r="I15" s="104"/>
      <c r="J15" s="104"/>
      <c r="M15" s="293" t="s">
        <v>61</v>
      </c>
      <c r="N15" s="294">
        <v>1.0270373554982324</v>
      </c>
      <c r="O15" s="287">
        <v>43</v>
      </c>
      <c r="Q15" s="288"/>
      <c r="R15" s="295" t="s">
        <v>491</v>
      </c>
      <c r="S15" s="106">
        <f>S13*S14/46.1*18</f>
        <v>0.52940537960954437</v>
      </c>
      <c r="T15" s="295" t="s">
        <v>493</v>
      </c>
    </row>
    <row r="16" spans="1:20">
      <c r="A16" s="300" t="s">
        <v>13</v>
      </c>
      <c r="B16" s="301" t="s">
        <v>14</v>
      </c>
      <c r="C16" s="301" t="s">
        <v>52</v>
      </c>
      <c r="D16" s="106">
        <v>0.67451350713298042</v>
      </c>
      <c r="E16" s="106">
        <v>0.47769179325499184</v>
      </c>
      <c r="F16" s="106">
        <f t="shared" si="0"/>
        <v>0.32220956679706714</v>
      </c>
      <c r="G16" s="290"/>
      <c r="I16" s="104"/>
      <c r="J16" s="104"/>
      <c r="M16" s="293" t="s">
        <v>50</v>
      </c>
      <c r="N16" s="294">
        <v>1.1951848667239895</v>
      </c>
      <c r="O16" s="287">
        <v>50</v>
      </c>
      <c r="Q16" s="288">
        <v>7</v>
      </c>
      <c r="R16" s="295" t="s">
        <v>494</v>
      </c>
      <c r="S16" s="106">
        <f>(67*S15+102*S12)/(67+102)</f>
        <v>0.28028825373191796</v>
      </c>
      <c r="T16" s="295" t="s">
        <v>495</v>
      </c>
    </row>
    <row r="17" spans="1:20">
      <c r="A17" s="300" t="s">
        <v>15</v>
      </c>
      <c r="B17" s="298" t="s">
        <v>16</v>
      </c>
      <c r="C17" s="298" t="s">
        <v>51</v>
      </c>
      <c r="D17" s="106">
        <v>0.01</v>
      </c>
      <c r="E17" s="106">
        <v>0.47769179325499184</v>
      </c>
      <c r="F17" s="106">
        <f t="shared" si="0"/>
        <v>4.7769179325499187E-3</v>
      </c>
      <c r="G17" s="290" t="s">
        <v>416</v>
      </c>
      <c r="I17" s="104"/>
      <c r="J17" s="104"/>
      <c r="M17" s="293" t="s">
        <v>385</v>
      </c>
      <c r="N17" s="294">
        <v>1.1951848667239895</v>
      </c>
      <c r="O17" s="287">
        <v>50</v>
      </c>
      <c r="Q17" s="288" t="s">
        <v>9</v>
      </c>
      <c r="R17" s="295" t="s">
        <v>410</v>
      </c>
      <c r="S17" s="295">
        <v>0.51</v>
      </c>
      <c r="T17" s="295" t="s">
        <v>412</v>
      </c>
    </row>
    <row r="18" spans="1:20">
      <c r="A18" s="300" t="s">
        <v>17</v>
      </c>
      <c r="B18" s="291" t="s">
        <v>18</v>
      </c>
      <c r="C18" s="291" t="s">
        <v>53</v>
      </c>
      <c r="D18" s="106">
        <v>0.27366594360086766</v>
      </c>
      <c r="E18" s="106">
        <v>1.1951848667239895</v>
      </c>
      <c r="F18" s="106">
        <f t="shared" si="0"/>
        <v>0.32708139432949784</v>
      </c>
      <c r="G18" s="290"/>
      <c r="I18" s="104">
        <v>0.71</v>
      </c>
      <c r="J18" s="292">
        <f>I18/O16*O29</f>
        <v>0.26979999999999998</v>
      </c>
      <c r="M18" s="293" t="s">
        <v>386</v>
      </c>
      <c r="N18" s="294"/>
      <c r="O18" s="287">
        <v>50</v>
      </c>
      <c r="Q18" s="288"/>
      <c r="R18" s="295" t="s">
        <v>410</v>
      </c>
      <c r="S18" s="295">
        <v>19.899999999999999</v>
      </c>
      <c r="T18" s="295" t="s">
        <v>408</v>
      </c>
    </row>
    <row r="19" spans="1:20">
      <c r="A19" s="300"/>
      <c r="B19" s="291"/>
      <c r="C19" s="291" t="s">
        <v>53</v>
      </c>
      <c r="D19" s="106">
        <v>0.27366594360086766</v>
      </c>
      <c r="E19" s="106">
        <v>1.1951848667239895</v>
      </c>
      <c r="F19" s="106">
        <f t="shared" si="0"/>
        <v>0.32708139432949784</v>
      </c>
      <c r="G19" s="290"/>
      <c r="I19" s="104"/>
      <c r="J19" s="104"/>
      <c r="M19" s="293" t="s">
        <v>387</v>
      </c>
      <c r="N19" s="294">
        <v>1.0270373554982324</v>
      </c>
      <c r="O19" s="287">
        <v>43</v>
      </c>
      <c r="Q19" s="288"/>
      <c r="R19" s="295" t="s">
        <v>410</v>
      </c>
      <c r="S19" s="295">
        <v>19</v>
      </c>
      <c r="T19" s="295" t="s">
        <v>411</v>
      </c>
    </row>
    <row r="20" spans="1:20">
      <c r="A20" s="300" t="s">
        <v>19</v>
      </c>
      <c r="B20" s="301" t="s">
        <v>20</v>
      </c>
      <c r="C20" s="301" t="s">
        <v>54</v>
      </c>
      <c r="D20" s="106">
        <v>0.36363636363636365</v>
      </c>
      <c r="E20" s="106">
        <v>1.1951848667239895</v>
      </c>
      <c r="F20" s="106">
        <f t="shared" si="0"/>
        <v>0.43461267880872345</v>
      </c>
      <c r="G20" s="290"/>
      <c r="I20" s="104"/>
      <c r="J20" s="104"/>
      <c r="M20" s="293" t="s">
        <v>57</v>
      </c>
      <c r="N20" s="294"/>
      <c r="O20" s="287">
        <v>43</v>
      </c>
      <c r="Q20" s="288"/>
      <c r="R20" s="295" t="s">
        <v>410</v>
      </c>
      <c r="S20" s="106">
        <f>S17/S18*S19</f>
        <v>0.48693467336683416</v>
      </c>
      <c r="T20" s="295" t="s">
        <v>414</v>
      </c>
    </row>
    <row r="21" spans="1:20">
      <c r="A21" s="300"/>
      <c r="B21" s="301"/>
      <c r="C21" s="301" t="s">
        <v>54</v>
      </c>
      <c r="D21" s="106">
        <v>0.36363636363636365</v>
      </c>
      <c r="E21" s="106">
        <v>1.1951848667239895</v>
      </c>
      <c r="F21" s="106">
        <f t="shared" si="0"/>
        <v>0.43461267880872345</v>
      </c>
      <c r="G21" s="290"/>
      <c r="I21" s="104"/>
      <c r="J21" s="104"/>
      <c r="M21" s="293" t="s">
        <v>388</v>
      </c>
      <c r="N21" s="294">
        <v>0.83596063819623578</v>
      </c>
      <c r="O21" s="287">
        <v>35</v>
      </c>
      <c r="Q21" s="288" t="s">
        <v>11</v>
      </c>
      <c r="R21" s="295" t="s">
        <v>407</v>
      </c>
      <c r="S21" s="295">
        <v>0.68300000000000005</v>
      </c>
      <c r="T21" s="295" t="s">
        <v>413</v>
      </c>
    </row>
    <row r="22" spans="1:20">
      <c r="A22" s="290">
        <v>10</v>
      </c>
      <c r="B22" s="291" t="s">
        <v>21</v>
      </c>
      <c r="C22" s="291" t="s">
        <v>55</v>
      </c>
      <c r="D22" s="299">
        <v>0.26</v>
      </c>
      <c r="E22" s="106">
        <v>2.8661507595299511</v>
      </c>
      <c r="F22" s="299">
        <f t="shared" si="0"/>
        <v>0.74519919747778729</v>
      </c>
      <c r="G22" s="290"/>
      <c r="I22" s="104"/>
      <c r="J22" s="104"/>
      <c r="M22" s="293" t="s">
        <v>389</v>
      </c>
      <c r="N22" s="294">
        <v>0.40603802426674307</v>
      </c>
      <c r="O22" s="287">
        <v>17</v>
      </c>
      <c r="Q22" s="288"/>
      <c r="R22" s="295" t="s">
        <v>407</v>
      </c>
      <c r="S22" s="302">
        <v>19.899999999999999</v>
      </c>
      <c r="T22" s="295" t="s">
        <v>408</v>
      </c>
    </row>
    <row r="23" spans="1:20">
      <c r="A23" s="300" t="s">
        <v>22</v>
      </c>
      <c r="B23" s="291" t="s">
        <v>23</v>
      </c>
      <c r="C23" s="291" t="s">
        <v>56</v>
      </c>
      <c r="D23" s="956">
        <v>0.19475000000000001</v>
      </c>
      <c r="E23" s="956">
        <v>1.0509219451609799</v>
      </c>
      <c r="F23" s="956">
        <f t="shared" si="0"/>
        <v>0.20466704882010084</v>
      </c>
      <c r="G23" s="290"/>
      <c r="I23" s="104">
        <v>0.4</v>
      </c>
      <c r="J23" s="292">
        <f>I23/O12*O29</f>
        <v>0.17272727272727276</v>
      </c>
      <c r="M23" s="287"/>
      <c r="N23" s="287"/>
      <c r="O23" s="287"/>
      <c r="Q23" s="288"/>
      <c r="R23" s="295" t="s">
        <v>407</v>
      </c>
      <c r="S23" s="295">
        <v>49.2</v>
      </c>
      <c r="T23" s="295" t="s">
        <v>409</v>
      </c>
    </row>
    <row r="24" spans="1:20">
      <c r="A24" s="300"/>
      <c r="B24" s="291"/>
      <c r="C24" s="291" t="s">
        <v>57</v>
      </c>
      <c r="D24" s="956">
        <f>D23/2</f>
        <v>9.7375000000000003E-2</v>
      </c>
      <c r="E24" s="956">
        <v>1.0270373554982324</v>
      </c>
      <c r="F24" s="956">
        <f t="shared" si="0"/>
        <v>0.10000776249164038</v>
      </c>
      <c r="G24" s="290" t="s">
        <v>438</v>
      </c>
      <c r="I24" s="104"/>
      <c r="J24" s="104"/>
      <c r="M24" s="293" t="s">
        <v>440</v>
      </c>
      <c r="N24" s="294">
        <f>120/41.868</f>
        <v>2.8661507595299511</v>
      </c>
      <c r="O24" s="287"/>
      <c r="Q24" s="288"/>
      <c r="R24" s="295" t="s">
        <v>407</v>
      </c>
      <c r="S24" s="106">
        <f>S21/S22*S23</f>
        <v>1.6886231155778899</v>
      </c>
      <c r="T24" s="295" t="s">
        <v>415</v>
      </c>
    </row>
    <row r="25" spans="1:20">
      <c r="A25" s="300" t="s">
        <v>24</v>
      </c>
      <c r="B25" s="301" t="s">
        <v>25</v>
      </c>
      <c r="C25" s="301" t="s">
        <v>58</v>
      </c>
      <c r="D25" s="299">
        <v>0.18</v>
      </c>
      <c r="E25" s="299">
        <v>1.0509219451609821</v>
      </c>
      <c r="F25" s="299">
        <f t="shared" si="0"/>
        <v>0.18916595012897677</v>
      </c>
      <c r="G25" s="290" t="s">
        <v>496</v>
      </c>
      <c r="I25" s="104"/>
      <c r="J25" s="104"/>
      <c r="M25" s="287"/>
      <c r="N25" s="287"/>
      <c r="O25" s="287"/>
      <c r="Q25" s="288" t="s">
        <v>13</v>
      </c>
      <c r="R25" s="295" t="s">
        <v>405</v>
      </c>
      <c r="S25" s="295">
        <v>7.4499999999999997E-2</v>
      </c>
      <c r="T25" s="295" t="s">
        <v>164</v>
      </c>
    </row>
    <row r="26" spans="1:20">
      <c r="A26" s="300"/>
      <c r="B26" s="301"/>
      <c r="C26" s="301" t="s">
        <v>59</v>
      </c>
      <c r="D26" s="106">
        <f>D25/2</f>
        <v>0.09</v>
      </c>
      <c r="E26" s="106">
        <v>1.0270373554982324</v>
      </c>
      <c r="F26" s="106">
        <f t="shared" si="0"/>
        <v>9.243336199484091E-2</v>
      </c>
      <c r="G26" s="290" t="s">
        <v>438</v>
      </c>
      <c r="I26" s="104"/>
      <c r="J26" s="104"/>
      <c r="M26" s="287" t="s">
        <v>260</v>
      </c>
      <c r="N26" s="287"/>
      <c r="O26" s="287" t="s">
        <v>483</v>
      </c>
      <c r="Q26" s="288"/>
      <c r="R26" s="295" t="s">
        <v>405</v>
      </c>
      <c r="S26" s="106">
        <f>1/S25/19.9</f>
        <v>0.67451350713298042</v>
      </c>
      <c r="T26" s="295" t="s">
        <v>406</v>
      </c>
    </row>
    <row r="27" spans="1:20">
      <c r="A27" s="290">
        <v>12</v>
      </c>
      <c r="B27" s="298" t="s">
        <v>26</v>
      </c>
      <c r="C27" s="298" t="s">
        <v>47</v>
      </c>
      <c r="D27" s="106">
        <f>1/2.12</f>
        <v>0.47169811320754712</v>
      </c>
      <c r="E27" s="106">
        <v>0.64488392089423896</v>
      </c>
      <c r="F27" s="106">
        <f t="shared" si="0"/>
        <v>0.30419052872369762</v>
      </c>
      <c r="G27" s="290" t="s">
        <v>433</v>
      </c>
      <c r="I27" s="104"/>
      <c r="J27" s="104"/>
      <c r="M27" s="287" t="s">
        <v>272</v>
      </c>
      <c r="N27" s="287"/>
      <c r="O27" s="287">
        <v>17.2</v>
      </c>
      <c r="Q27" s="288" t="s">
        <v>17</v>
      </c>
      <c r="R27" s="295" t="s">
        <v>145</v>
      </c>
      <c r="S27" s="295">
        <v>0.66400000000000003</v>
      </c>
      <c r="T27" s="295" t="s">
        <v>423</v>
      </c>
    </row>
    <row r="28" spans="1:20">
      <c r="A28" s="290"/>
      <c r="B28" s="298"/>
      <c r="C28" s="298" t="s">
        <v>49</v>
      </c>
      <c r="D28" s="106">
        <f>D11*D27</f>
        <v>0.28301886792452824</v>
      </c>
      <c r="E28" s="106">
        <v>0.64488392089423896</v>
      </c>
      <c r="F28" s="106">
        <f t="shared" si="0"/>
        <v>0.18251431723421854</v>
      </c>
      <c r="G28" s="290"/>
      <c r="I28" s="104"/>
      <c r="J28" s="104"/>
      <c r="M28" s="287" t="s">
        <v>497</v>
      </c>
      <c r="N28" s="287"/>
      <c r="O28" s="287">
        <v>12</v>
      </c>
      <c r="Q28" s="288"/>
      <c r="R28" s="295" t="s">
        <v>145</v>
      </c>
      <c r="S28" s="295">
        <v>46.1</v>
      </c>
      <c r="T28" s="295" t="s">
        <v>409</v>
      </c>
    </row>
    <row r="29" spans="1:20">
      <c r="A29" s="300" t="s">
        <v>27</v>
      </c>
      <c r="B29" s="291" t="s">
        <v>28</v>
      </c>
      <c r="C29" s="291" t="s">
        <v>99</v>
      </c>
      <c r="D29" s="106">
        <v>0.27123986095017383</v>
      </c>
      <c r="E29" s="106">
        <v>1</v>
      </c>
      <c r="F29" s="106">
        <f t="shared" si="0"/>
        <v>0.27123986095017383</v>
      </c>
      <c r="G29" s="291" t="s">
        <v>437</v>
      </c>
      <c r="I29" s="104">
        <v>0.65</v>
      </c>
      <c r="J29" s="292">
        <f>I29/O15*O27</f>
        <v>0.26</v>
      </c>
      <c r="M29" s="287" t="s">
        <v>498</v>
      </c>
      <c r="N29" s="287"/>
      <c r="O29" s="287">
        <v>19</v>
      </c>
      <c r="Q29" s="288"/>
      <c r="R29" s="295" t="s">
        <v>145</v>
      </c>
      <c r="S29" s="295">
        <v>19</v>
      </c>
      <c r="T29" s="295" t="s">
        <v>411</v>
      </c>
    </row>
    <row r="30" spans="1:20">
      <c r="A30" s="300"/>
      <c r="B30" s="291"/>
      <c r="C30" s="303" t="s">
        <v>100</v>
      </c>
      <c r="D30" s="106">
        <f>D29/3</f>
        <v>9.0413286983391281E-2</v>
      </c>
      <c r="E30" s="106">
        <v>1</v>
      </c>
      <c r="F30" s="106">
        <f>D30*E30</f>
        <v>9.0413286983391281E-2</v>
      </c>
      <c r="G30" s="290" t="s">
        <v>439</v>
      </c>
      <c r="I30" s="104"/>
      <c r="J30" s="104"/>
      <c r="M30" s="287" t="s">
        <v>499</v>
      </c>
      <c r="N30" s="287"/>
      <c r="O30" s="287">
        <v>18</v>
      </c>
      <c r="Q30" s="288"/>
      <c r="R30" s="295" t="s">
        <v>145</v>
      </c>
      <c r="S30" s="106">
        <f>S27/S28*S29</f>
        <v>0.27366594360086766</v>
      </c>
      <c r="T30" s="295" t="s">
        <v>424</v>
      </c>
    </row>
    <row r="31" spans="1:20">
      <c r="A31" s="300" t="s">
        <v>29</v>
      </c>
      <c r="B31" s="291" t="s">
        <v>30</v>
      </c>
      <c r="C31" s="291" t="s">
        <v>99</v>
      </c>
      <c r="D31" s="106">
        <v>0.27123986095017383</v>
      </c>
      <c r="E31" s="106">
        <v>1</v>
      </c>
      <c r="F31" s="106">
        <f t="shared" si="0"/>
        <v>0.27123986095017383</v>
      </c>
      <c r="G31" s="290" t="s">
        <v>437</v>
      </c>
      <c r="I31" s="104">
        <v>0.54</v>
      </c>
      <c r="J31" s="104"/>
      <c r="P31" s="1"/>
      <c r="Q31" s="288" t="s">
        <v>19</v>
      </c>
      <c r="R31" s="295" t="s">
        <v>422</v>
      </c>
      <c r="S31" s="295">
        <v>5.5E-2</v>
      </c>
      <c r="T31" s="295" t="s">
        <v>425</v>
      </c>
    </row>
    <row r="32" spans="1:20">
      <c r="A32" s="300"/>
      <c r="B32" s="291"/>
      <c r="C32" s="303" t="s">
        <v>230</v>
      </c>
      <c r="D32" s="106">
        <f>D31/3</f>
        <v>9.0413286983391281E-2</v>
      </c>
      <c r="E32" s="106">
        <v>1</v>
      </c>
      <c r="F32" s="106">
        <f t="shared" si="0"/>
        <v>9.0413286983391281E-2</v>
      </c>
      <c r="G32" s="290" t="s">
        <v>439</v>
      </c>
      <c r="I32" s="104"/>
      <c r="J32" s="104"/>
      <c r="P32" s="1"/>
      <c r="Q32" s="288"/>
      <c r="R32" s="295" t="s">
        <v>422</v>
      </c>
      <c r="S32" s="295">
        <v>50</v>
      </c>
      <c r="T32" s="295" t="s">
        <v>409</v>
      </c>
    </row>
    <row r="33" spans="1:21">
      <c r="A33" s="290">
        <v>14</v>
      </c>
      <c r="B33" s="303" t="s">
        <v>31</v>
      </c>
      <c r="C33" s="303" t="s">
        <v>61</v>
      </c>
      <c r="D33" s="106">
        <v>0.36986078886310902</v>
      </c>
      <c r="E33" s="106">
        <v>1</v>
      </c>
      <c r="F33" s="106">
        <f t="shared" si="0"/>
        <v>0.36986078886310902</v>
      </c>
      <c r="G33" s="290" t="s">
        <v>437</v>
      </c>
      <c r="I33" s="104">
        <v>0.7</v>
      </c>
      <c r="J33" s="292">
        <f>I33/O21*O27</f>
        <v>0.34399999999999997</v>
      </c>
      <c r="P33" s="1"/>
      <c r="Q33" s="288"/>
      <c r="R33" s="295" t="s">
        <v>422</v>
      </c>
      <c r="S33" s="106">
        <f>1/S31/S32</f>
        <v>0.36363636363636365</v>
      </c>
      <c r="T33" s="295" t="s">
        <v>426</v>
      </c>
    </row>
    <row r="34" spans="1:21">
      <c r="A34" s="290"/>
      <c r="B34" s="290"/>
      <c r="C34" s="303" t="s">
        <v>100</v>
      </c>
      <c r="D34" s="106">
        <f>D33/3</f>
        <v>0.12328692962103634</v>
      </c>
      <c r="E34" s="106">
        <v>1.0270373554982324</v>
      </c>
      <c r="F34" s="106">
        <f t="shared" si="0"/>
        <v>0.12662028216548585</v>
      </c>
      <c r="G34" s="290" t="s">
        <v>627</v>
      </c>
      <c r="I34" s="104"/>
      <c r="J34" s="104"/>
      <c r="M34" s="1075" t="s">
        <v>500</v>
      </c>
      <c r="N34" s="1075"/>
      <c r="O34" s="1075"/>
      <c r="Q34" s="288" t="s">
        <v>22</v>
      </c>
      <c r="R34" s="295" t="s">
        <v>417</v>
      </c>
      <c r="S34" s="295">
        <v>0.45100000000000001</v>
      </c>
      <c r="T34" s="295" t="s">
        <v>418</v>
      </c>
      <c r="U34" s="304" t="s">
        <v>501</v>
      </c>
    </row>
    <row r="35" spans="1:21">
      <c r="A35" s="290"/>
      <c r="B35" s="290"/>
      <c r="C35" s="303" t="s">
        <v>230</v>
      </c>
      <c r="D35" s="106">
        <f>D33/3*2</f>
        <v>0.24657385924207267</v>
      </c>
      <c r="E35" s="106">
        <v>1</v>
      </c>
      <c r="F35" s="106">
        <f t="shared" si="0"/>
        <v>0.24657385924207267</v>
      </c>
      <c r="G35" s="290" t="s">
        <v>627</v>
      </c>
      <c r="I35" s="104"/>
      <c r="J35" s="292"/>
      <c r="L35" s="305" t="s">
        <v>24</v>
      </c>
      <c r="M35" s="306" t="s">
        <v>427</v>
      </c>
      <c r="N35" s="306">
        <v>0.34079999999999999</v>
      </c>
      <c r="O35" s="307" t="s">
        <v>502</v>
      </c>
      <c r="Q35" s="288"/>
      <c r="R35" s="295" t="s">
        <v>417</v>
      </c>
      <c r="S35" s="295">
        <v>44</v>
      </c>
      <c r="T35" s="295" t="s">
        <v>419</v>
      </c>
    </row>
    <row r="36" spans="1:21">
      <c r="D36" s="9"/>
      <c r="E36" s="9"/>
      <c r="F36" s="9"/>
      <c r="L36" s="305"/>
      <c r="M36" s="306" t="s">
        <v>427</v>
      </c>
      <c r="N36" s="306">
        <v>44</v>
      </c>
      <c r="O36" s="307" t="s">
        <v>419</v>
      </c>
      <c r="Q36" s="288"/>
      <c r="R36" s="295" t="s">
        <v>417</v>
      </c>
      <c r="S36" s="295">
        <v>19</v>
      </c>
      <c r="T36" s="295" t="s">
        <v>411</v>
      </c>
    </row>
    <row r="37" spans="1:21">
      <c r="L37" s="305"/>
      <c r="M37" s="306" t="s">
        <v>427</v>
      </c>
      <c r="N37" s="306"/>
      <c r="O37" s="307"/>
      <c r="Q37" s="288"/>
      <c r="R37" s="295" t="s">
        <v>417</v>
      </c>
      <c r="S37" s="106">
        <f>S34/S35*S36</f>
        <v>0.19475000000000001</v>
      </c>
      <c r="T37" s="295" t="s">
        <v>420</v>
      </c>
    </row>
    <row r="38" spans="1:21">
      <c r="L38" s="305"/>
      <c r="M38" s="306" t="s">
        <v>427</v>
      </c>
      <c r="N38" s="308">
        <f>1/N35/N36</f>
        <v>6.6688006828851898E-2</v>
      </c>
      <c r="O38" s="307" t="s">
        <v>430</v>
      </c>
      <c r="Q38" s="305" t="s">
        <v>24</v>
      </c>
      <c r="R38" s="306" t="s">
        <v>427</v>
      </c>
      <c r="S38" s="306">
        <v>0.34079999999999999</v>
      </c>
      <c r="T38" s="306" t="s">
        <v>428</v>
      </c>
    </row>
    <row r="39" spans="1:21">
      <c r="Q39" s="305"/>
      <c r="R39" s="306" t="s">
        <v>427</v>
      </c>
      <c r="S39" s="306">
        <v>44</v>
      </c>
      <c r="T39" s="306" t="s">
        <v>419</v>
      </c>
    </row>
    <row r="40" spans="1:21">
      <c r="Q40" s="305"/>
      <c r="R40" s="306" t="s">
        <v>427</v>
      </c>
      <c r="S40" s="306"/>
      <c r="T40" s="306" t="s">
        <v>429</v>
      </c>
    </row>
    <row r="41" spans="1:21">
      <c r="Q41" s="305"/>
      <c r="R41" s="306" t="s">
        <v>427</v>
      </c>
      <c r="S41" s="308">
        <f>1/S38/S39*S40</f>
        <v>0</v>
      </c>
      <c r="T41" s="306" t="s">
        <v>430</v>
      </c>
    </row>
    <row r="42" spans="1:21">
      <c r="Q42" s="288" t="s">
        <v>27</v>
      </c>
      <c r="R42" s="295" t="s">
        <v>431</v>
      </c>
      <c r="S42" s="295">
        <v>0.61599999999999999</v>
      </c>
      <c r="T42" s="295" t="s">
        <v>435</v>
      </c>
    </row>
    <row r="43" spans="1:21">
      <c r="Q43" s="288" t="s">
        <v>29</v>
      </c>
      <c r="R43" s="295" t="s">
        <v>431</v>
      </c>
      <c r="S43" s="295">
        <v>43.15</v>
      </c>
      <c r="T43" s="295" t="s">
        <v>434</v>
      </c>
    </row>
    <row r="44" spans="1:21">
      <c r="Q44" s="288"/>
      <c r="R44" s="295" t="s">
        <v>431</v>
      </c>
      <c r="S44" s="295">
        <v>19</v>
      </c>
      <c r="T44" s="295" t="s">
        <v>411</v>
      </c>
    </row>
    <row r="45" spans="1:21">
      <c r="Q45" s="288"/>
      <c r="R45" s="295" t="s">
        <v>431</v>
      </c>
      <c r="S45" s="106">
        <f>S42/S43*S44</f>
        <v>0.27123986095017383</v>
      </c>
      <c r="T45" s="295" t="s">
        <v>436</v>
      </c>
    </row>
    <row r="46" spans="1:21">
      <c r="Q46" s="288">
        <v>14</v>
      </c>
      <c r="R46" s="295" t="s">
        <v>432</v>
      </c>
      <c r="S46" s="295">
        <v>0.83899999999999997</v>
      </c>
      <c r="T46" s="295" t="s">
        <v>418</v>
      </c>
    </row>
    <row r="47" spans="1:21">
      <c r="Q47" s="288"/>
      <c r="R47" s="295" t="s">
        <v>432</v>
      </c>
      <c r="S47" s="295">
        <v>43.1</v>
      </c>
      <c r="T47" s="295" t="s">
        <v>419</v>
      </c>
    </row>
    <row r="48" spans="1:21">
      <c r="Q48" s="288"/>
      <c r="R48" s="295" t="s">
        <v>432</v>
      </c>
      <c r="S48" s="295">
        <v>19</v>
      </c>
      <c r="T48" s="295" t="s">
        <v>411</v>
      </c>
    </row>
    <row r="49" spans="17:20">
      <c r="Q49" s="288"/>
      <c r="R49" s="295" t="s">
        <v>432</v>
      </c>
      <c r="S49" s="106">
        <f>S46/S47*S48</f>
        <v>0.36986078886310902</v>
      </c>
      <c r="T49" s="295" t="s">
        <v>420</v>
      </c>
    </row>
    <row r="50" spans="17:20">
      <c r="Q50" s="288">
        <v>10</v>
      </c>
      <c r="R50" s="295" t="s">
        <v>148</v>
      </c>
      <c r="S50" s="295">
        <v>1.6553</v>
      </c>
      <c r="T50" s="295" t="s">
        <v>177</v>
      </c>
    </row>
    <row r="51" spans="17:20">
      <c r="Q51" s="288"/>
      <c r="R51" s="295" t="s">
        <v>148</v>
      </c>
      <c r="S51" s="295">
        <v>119.96</v>
      </c>
      <c r="T51" s="295" t="s">
        <v>503</v>
      </c>
    </row>
    <row r="52" spans="17:20">
      <c r="Q52" s="288"/>
      <c r="R52" s="295" t="s">
        <v>148</v>
      </c>
      <c r="S52" s="106">
        <f>S50/S51*S48</f>
        <v>0.26217655885295099</v>
      </c>
      <c r="T52" s="295" t="s">
        <v>504</v>
      </c>
    </row>
  </sheetData>
  <mergeCells count="5">
    <mergeCell ref="D1:F1"/>
    <mergeCell ref="I1:J1"/>
    <mergeCell ref="M1:O1"/>
    <mergeCell ref="Q1:T1"/>
    <mergeCell ref="M34:O3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F71B-1489-4204-AE3E-322578B459CF}">
  <sheetPr codeName="Tabelle3"/>
  <dimension ref="A1:P141"/>
  <sheetViews>
    <sheetView zoomScale="80" zoomScaleNormal="80" workbookViewId="0">
      <pane ySplit="2" topLeftCell="A51" activePane="bottomLeft" state="frozen"/>
      <selection pane="bottomLeft" activeCell="L18" sqref="L18"/>
    </sheetView>
  </sheetViews>
  <sheetFormatPr baseColWidth="10" defaultRowHeight="14.5"/>
  <cols>
    <col min="3" max="3" width="15.26953125" customWidth="1"/>
    <col min="4" max="4" width="26.81640625" customWidth="1"/>
    <col min="5" max="5" width="24.7265625" customWidth="1"/>
    <col min="6" max="6" width="15.81640625" customWidth="1"/>
    <col min="7" max="7" width="22.453125" customWidth="1"/>
    <col min="8" max="10" width="16.1796875" customWidth="1"/>
    <col min="11" max="11" width="16.26953125" customWidth="1"/>
    <col min="12" max="12" width="21.1796875" style="589" customWidth="1"/>
  </cols>
  <sheetData>
    <row r="1" spans="1:15">
      <c r="A1" s="72"/>
      <c r="B1" s="72"/>
      <c r="C1" s="72"/>
      <c r="D1" s="72"/>
      <c r="E1" s="72"/>
      <c r="F1" s="72"/>
      <c r="G1" s="819" t="s">
        <v>160</v>
      </c>
      <c r="H1" s="582"/>
      <c r="I1" s="819" t="s">
        <v>1044</v>
      </c>
      <c r="J1" s="819" t="s">
        <v>1045</v>
      </c>
      <c r="K1" s="582"/>
      <c r="L1" s="588"/>
    </row>
    <row r="2" spans="1:15">
      <c r="A2" s="72" t="s">
        <v>105</v>
      </c>
      <c r="B2" s="72" t="s">
        <v>1050</v>
      </c>
      <c r="C2" s="72" t="s">
        <v>260</v>
      </c>
      <c r="D2" s="72" t="s">
        <v>260</v>
      </c>
      <c r="E2" s="72" t="s">
        <v>392</v>
      </c>
      <c r="F2" s="72" t="s">
        <v>1059</v>
      </c>
      <c r="G2" s="692" t="s">
        <v>480</v>
      </c>
      <c r="H2" s="578" t="s">
        <v>1046</v>
      </c>
      <c r="I2" s="578" t="s">
        <v>1047</v>
      </c>
      <c r="J2" s="578" t="s">
        <v>1047</v>
      </c>
      <c r="K2" s="578" t="s">
        <v>375</v>
      </c>
      <c r="L2" s="847" t="s">
        <v>1043</v>
      </c>
      <c r="M2" s="578" t="s">
        <v>1361</v>
      </c>
      <c r="O2" s="34" t="s">
        <v>1338</v>
      </c>
    </row>
    <row r="3" spans="1:15" s="695" customFormat="1">
      <c r="A3" s="695">
        <v>1</v>
      </c>
      <c r="C3" s="696" t="s">
        <v>43</v>
      </c>
      <c r="D3" s="696"/>
      <c r="E3" s="696"/>
      <c r="F3" s="696"/>
      <c r="L3" s="697"/>
    </row>
    <row r="4" spans="1:15" s="695" customFormat="1">
      <c r="C4" s="696"/>
      <c r="D4" s="698" t="s">
        <v>264</v>
      </c>
      <c r="F4" s="698" t="s">
        <v>1056</v>
      </c>
      <c r="G4" s="698">
        <f>H4/J4*I4</f>
        <v>0.99399999999999999</v>
      </c>
      <c r="H4" s="698">
        <f>([1]ROFA!$E$111+[1]SOFA!$E$107+[1]SYFA!$E$133)/3</f>
        <v>0.99937297297297312</v>
      </c>
      <c r="I4" s="699">
        <f>[2]Props!$C$47</f>
        <v>37</v>
      </c>
      <c r="J4" s="700">
        <f>[2]Props!$C$48</f>
        <v>37.200000000000003</v>
      </c>
      <c r="K4" s="701">
        <v>0.88372981752173496</v>
      </c>
      <c r="L4" s="702">
        <f>G4*K4</f>
        <v>0.87842743861660455</v>
      </c>
      <c r="O4" s="695">
        <f>1/K4</f>
        <v>1.1315675675675676</v>
      </c>
    </row>
    <row r="5" spans="1:15" s="695" customFormat="1">
      <c r="C5" s="696"/>
      <c r="D5" s="698" t="s">
        <v>266</v>
      </c>
      <c r="E5" s="698" t="s">
        <v>1055</v>
      </c>
      <c r="F5" s="698"/>
      <c r="G5" s="698">
        <f>H5/J5*I5</f>
        <v>0.95978351434331599</v>
      </c>
      <c r="H5" s="703">
        <f>'[2]Bio-processes'!$E$915</f>
        <v>0.96497153333976649</v>
      </c>
      <c r="I5" s="699">
        <f>[2]Props!$C$47</f>
        <v>37</v>
      </c>
      <c r="J5" s="700">
        <f>[2]Props!$C$48</f>
        <v>37.200000000000003</v>
      </c>
      <c r="K5" s="701">
        <v>0.88372981752173496</v>
      </c>
      <c r="L5" s="702">
        <f>G5*K5</f>
        <v>0.84818930999098818</v>
      </c>
      <c r="O5" s="695">
        <f>1/K5</f>
        <v>1.1315675675675676</v>
      </c>
    </row>
    <row r="6" spans="1:15" s="695" customFormat="1">
      <c r="A6" s="695">
        <v>2</v>
      </c>
      <c r="C6" s="696" t="s">
        <v>44</v>
      </c>
      <c r="D6" s="696"/>
      <c r="E6" s="696"/>
      <c r="F6" s="696"/>
      <c r="G6" s="698"/>
      <c r="K6" s="704"/>
      <c r="L6" s="702"/>
    </row>
    <row r="7" spans="1:15" s="695" customFormat="1">
      <c r="C7" s="696"/>
      <c r="D7" s="698" t="s">
        <v>264</v>
      </c>
      <c r="E7" s="698" t="s">
        <v>1057</v>
      </c>
      <c r="F7" s="698"/>
      <c r="G7" s="698">
        <f>H7/J7*I7/2</f>
        <v>0.42350471353132874</v>
      </c>
      <c r="H7" s="698">
        <f>([1]HVO!$E$94+[1]HVO!$E$103+[1]HVO!$E$109+[1]HVO!$E$118)/4</f>
        <v>1.0072544538042414</v>
      </c>
      <c r="I7" s="699">
        <f>[2]Props!$C$47</f>
        <v>37</v>
      </c>
      <c r="J7" s="705">
        <f>[2]Props!$C$50</f>
        <v>44</v>
      </c>
      <c r="K7" s="701">
        <f>'conversion factors'!$E$4</f>
        <v>1.0509219451609821</v>
      </c>
      <c r="L7" s="702">
        <f>G7*K7</f>
        <v>0.44507039732918852</v>
      </c>
      <c r="O7" s="695">
        <f t="shared" ref="O7:O78" si="0">1/K7</f>
        <v>0.95154545454545458</v>
      </c>
    </row>
    <row r="8" spans="1:15" s="695" customFormat="1">
      <c r="C8" s="696"/>
      <c r="D8" s="696" t="s">
        <v>266</v>
      </c>
      <c r="E8" s="698" t="s">
        <v>1057</v>
      </c>
      <c r="F8" s="698">
        <f>G8*2</f>
        <v>0.87367178276269175</v>
      </c>
      <c r="G8" s="698">
        <f>H8/J8*I8/2</f>
        <v>0.43683589138134588</v>
      </c>
      <c r="H8" s="703">
        <f>'[2]Bio-processes'!E$888</f>
        <v>1.0389610389610389</v>
      </c>
      <c r="I8" s="699">
        <f>[2]Props!$C$47</f>
        <v>37</v>
      </c>
      <c r="J8" s="705">
        <f>[2]Props!$C$50</f>
        <v>44</v>
      </c>
      <c r="K8" s="701">
        <f>'conversion factors'!$E$4</f>
        <v>1.0509219451609821</v>
      </c>
      <c r="L8" s="702">
        <f>G8*K8</f>
        <v>0.45908042468661553</v>
      </c>
      <c r="O8" s="695">
        <f t="shared" si="0"/>
        <v>0.95154545454545458</v>
      </c>
    </row>
    <row r="9" spans="1:15" s="706" customFormat="1">
      <c r="D9" s="927" t="s">
        <v>1333</v>
      </c>
      <c r="E9" s="707"/>
      <c r="F9" s="707"/>
      <c r="G9" s="708"/>
      <c r="H9" s="707"/>
      <c r="J9" s="709"/>
      <c r="K9" s="701">
        <f>'conversion factors'!$E$4</f>
        <v>1.0509219451609821</v>
      </c>
      <c r="L9" s="928">
        <v>0.69</v>
      </c>
      <c r="M9" s="695" t="s">
        <v>1332</v>
      </c>
      <c r="O9" s="695">
        <f t="shared" si="0"/>
        <v>0.95154545454545458</v>
      </c>
    </row>
    <row r="10" spans="1:15" s="695" customFormat="1">
      <c r="C10" s="696"/>
      <c r="D10" s="696" t="s">
        <v>269</v>
      </c>
      <c r="E10" s="710"/>
      <c r="F10" s="710"/>
      <c r="G10" s="698">
        <f>H10/J10*I10/2</f>
        <v>0.15387272727272727</v>
      </c>
      <c r="H10" s="711">
        <v>0.78</v>
      </c>
      <c r="I10" s="712">
        <v>17.36</v>
      </c>
      <c r="J10" s="705">
        <f>[2]Props!$C$50</f>
        <v>44</v>
      </c>
      <c r="K10" s="701">
        <f>'conversion factors'!$E$4</f>
        <v>1.0509219451609821</v>
      </c>
      <c r="L10" s="702">
        <f>G10*K10</f>
        <v>0.16170822585267985</v>
      </c>
      <c r="O10" s="695">
        <f t="shared" si="0"/>
        <v>0.95154545454545458</v>
      </c>
    </row>
    <row r="11" spans="1:15" s="695" customFormat="1">
      <c r="C11" s="696" t="s">
        <v>45</v>
      </c>
      <c r="D11" s="696"/>
      <c r="E11" s="696"/>
      <c r="F11" s="696"/>
      <c r="H11" s="703"/>
      <c r="I11" s="699"/>
      <c r="J11" s="700"/>
      <c r="K11" s="704"/>
      <c r="L11" s="702"/>
    </row>
    <row r="12" spans="1:15" s="695" customFormat="1">
      <c r="C12" s="696"/>
      <c r="D12" s="927" t="s">
        <v>264</v>
      </c>
      <c r="E12" s="696"/>
      <c r="F12" s="696"/>
      <c r="G12" s="698">
        <f>H12/J12*I12/2</f>
        <v>0.42350471353132874</v>
      </c>
      <c r="H12" s="698">
        <f>([1]HVO!$E$94+[1]HVO!$E$103+[1]HVO!$E$109+[1]HVO!$E$118)/4</f>
        <v>1.0072544538042414</v>
      </c>
      <c r="I12" s="699">
        <f>[2]Props!$C$47</f>
        <v>37</v>
      </c>
      <c r="J12" s="705">
        <f>[2]Props!$C$50</f>
        <v>44</v>
      </c>
      <c r="K12" s="701">
        <f>'conversion factors'!$E$5</f>
        <v>1.0270373554982324</v>
      </c>
      <c r="L12" s="702">
        <f>G12*K12</f>
        <v>0.43495516102625231</v>
      </c>
      <c r="O12" s="695">
        <f t="shared" si="0"/>
        <v>0.97367441860465131</v>
      </c>
    </row>
    <row r="13" spans="1:15" s="695" customFormat="1">
      <c r="C13" s="696"/>
      <c r="D13" s="696" t="s">
        <v>266</v>
      </c>
      <c r="E13" s="696"/>
      <c r="F13" s="696"/>
      <c r="G13" s="698">
        <f>H13/J13*I13/2</f>
        <v>0.43683589138134588</v>
      </c>
      <c r="H13" s="703">
        <f>'[2]Bio-processes'!E$888</f>
        <v>1.0389610389610389</v>
      </c>
      <c r="I13" s="699">
        <f>[2]Props!$C$47</f>
        <v>37</v>
      </c>
      <c r="J13" s="705">
        <f>[2]Props!$C$50</f>
        <v>44</v>
      </c>
      <c r="K13" s="701">
        <f>'conversion factors'!$E$5</f>
        <v>1.0270373554982324</v>
      </c>
      <c r="L13" s="702">
        <f>G13*K13</f>
        <v>0.44864677867101055</v>
      </c>
      <c r="O13" s="695">
        <f t="shared" si="0"/>
        <v>0.97367441860465131</v>
      </c>
    </row>
    <row r="14" spans="1:15" s="706" customFormat="1">
      <c r="D14" s="927" t="s">
        <v>1333</v>
      </c>
      <c r="H14" s="713"/>
      <c r="I14" s="714"/>
      <c r="J14" s="705">
        <f>[2]Props!$C$50</f>
        <v>44</v>
      </c>
      <c r="K14" s="701">
        <f>'conversion factors'!$E$5</f>
        <v>1.0270373554982324</v>
      </c>
      <c r="L14" s="928">
        <v>0.68</v>
      </c>
      <c r="M14" s="695" t="s">
        <v>1332</v>
      </c>
      <c r="O14" s="695">
        <f t="shared" si="0"/>
        <v>0.97367441860465131</v>
      </c>
    </row>
    <row r="15" spans="1:15" s="695" customFormat="1">
      <c r="C15" s="696"/>
      <c r="D15" s="696" t="s">
        <v>269</v>
      </c>
      <c r="E15" s="696"/>
      <c r="F15" s="696"/>
      <c r="G15" s="698">
        <f>H15/J15*I15/2</f>
        <v>0.15387272727272727</v>
      </c>
      <c r="H15" s="711">
        <v>0.78</v>
      </c>
      <c r="I15" s="712">
        <v>17.36</v>
      </c>
      <c r="J15" s="705">
        <f>[2]Props!$C$50</f>
        <v>44</v>
      </c>
      <c r="K15" s="701">
        <f>'conversion factors'!$E$5</f>
        <v>1.0270373554982324</v>
      </c>
      <c r="L15" s="702">
        <f>G15*K15</f>
        <v>0.15803303890148257</v>
      </c>
      <c r="O15" s="695">
        <f t="shared" si="0"/>
        <v>0.97367441860465131</v>
      </c>
    </row>
    <row r="16" spans="1:15" s="695" customFormat="1">
      <c r="A16" s="695">
        <v>5</v>
      </c>
      <c r="B16" s="716" t="s">
        <v>6</v>
      </c>
      <c r="C16" s="696" t="s">
        <v>48</v>
      </c>
      <c r="D16" s="710"/>
      <c r="E16" s="696"/>
      <c r="F16" s="696"/>
      <c r="G16" s="698"/>
      <c r="H16" s="711"/>
      <c r="I16" s="712"/>
      <c r="J16" s="821"/>
      <c r="K16" s="822"/>
      <c r="L16" s="823"/>
    </row>
    <row r="17" spans="1:16" s="695" customFormat="1">
      <c r="C17" s="696"/>
      <c r="D17" s="695" t="s">
        <v>272</v>
      </c>
      <c r="E17" s="696"/>
      <c r="F17" s="696"/>
      <c r="G17" s="698">
        <f>H17/J17*I17</f>
        <v>0.18050496028765164</v>
      </c>
      <c r="H17" s="827">
        <f>'[2]Bio-processes'!$E$567</f>
        <v>0.28335080975387178</v>
      </c>
      <c r="I17" s="828">
        <f>[2]Props!$C$75</f>
        <v>17.2</v>
      </c>
      <c r="J17" s="829">
        <v>27</v>
      </c>
      <c r="K17" s="830">
        <v>0.64488392089423896</v>
      </c>
      <c r="L17" s="824">
        <f>G17*K17</f>
        <v>0.11640474653115969</v>
      </c>
      <c r="O17" s="695">
        <f t="shared" si="0"/>
        <v>1.5506666666666669</v>
      </c>
    </row>
    <row r="18" spans="1:16" s="695" customFormat="1">
      <c r="C18" s="696"/>
      <c r="D18" s="695" t="s">
        <v>274</v>
      </c>
      <c r="E18" s="696"/>
      <c r="F18" s="696"/>
      <c r="G18" s="698">
        <f>H18/J18*I18</f>
        <v>0.18050496028765164</v>
      </c>
      <c r="H18" s="827">
        <f>'[2]Bio-processes'!$E$567</f>
        <v>0.28335080975387178</v>
      </c>
      <c r="I18" s="828">
        <f>[2]Props!$C$75</f>
        <v>17.2</v>
      </c>
      <c r="J18" s="829">
        <v>27</v>
      </c>
      <c r="K18" s="830">
        <v>0.64488392089423896</v>
      </c>
      <c r="L18" s="824">
        <f t="shared" ref="L18:L20" si="1">G18*K18</f>
        <v>0.11640474653115969</v>
      </c>
      <c r="O18" s="695">
        <f t="shared" si="0"/>
        <v>1.5506666666666669</v>
      </c>
    </row>
    <row r="19" spans="1:16" s="695" customFormat="1">
      <c r="C19" s="696"/>
      <c r="D19" s="695" t="s">
        <v>276</v>
      </c>
      <c r="E19" s="696"/>
      <c r="F19" s="696"/>
      <c r="G19" s="698">
        <f>H19/J19*I19</f>
        <v>0.18050496028765164</v>
      </c>
      <c r="H19" s="827">
        <f>'[2]Bio-processes'!$E$567</f>
        <v>0.28335080975387178</v>
      </c>
      <c r="I19" s="828">
        <f>[2]Props!$C$75</f>
        <v>17.2</v>
      </c>
      <c r="J19" s="829">
        <v>27</v>
      </c>
      <c r="K19" s="830">
        <v>0.64488392089423896</v>
      </c>
      <c r="L19" s="824">
        <f t="shared" si="1"/>
        <v>0.11640474653115969</v>
      </c>
      <c r="O19" s="695">
        <f t="shared" si="0"/>
        <v>1.5506666666666669</v>
      </c>
    </row>
    <row r="20" spans="1:16" s="695" customFormat="1">
      <c r="C20" s="696"/>
      <c r="D20" s="695" t="s">
        <v>270</v>
      </c>
      <c r="E20" s="696"/>
      <c r="F20" s="696"/>
      <c r="G20" s="698">
        <f>H20/J20*I20</f>
        <v>0.23616905737803762</v>
      </c>
      <c r="H20" s="831">
        <f>'[2]Bio-processes'!$E$541</f>
        <v>0.33560866048457977</v>
      </c>
      <c r="I20" s="832">
        <f>[2]Props!$C$64</f>
        <v>19</v>
      </c>
      <c r="J20" s="833">
        <v>27</v>
      </c>
      <c r="K20" s="830">
        <v>0.64488392089423896</v>
      </c>
      <c r="L20" s="825">
        <f t="shared" si="1"/>
        <v>0.15230162771584541</v>
      </c>
      <c r="O20" s="695">
        <f t="shared" si="0"/>
        <v>1.5506666666666669</v>
      </c>
    </row>
    <row r="21" spans="1:16" s="695" customFormat="1">
      <c r="A21" s="695">
        <v>5</v>
      </c>
      <c r="B21" s="716" t="s">
        <v>6</v>
      </c>
      <c r="C21" s="716" t="s">
        <v>49</v>
      </c>
      <c r="D21" s="696"/>
      <c r="E21" s="696"/>
      <c r="F21" s="696"/>
      <c r="H21" s="715"/>
      <c r="I21" s="699"/>
      <c r="J21" s="700"/>
      <c r="K21" s="820"/>
      <c r="L21" s="702"/>
    </row>
    <row r="22" spans="1:16" s="695" customFormat="1">
      <c r="C22" s="696"/>
      <c r="D22" s="695" t="s">
        <v>272</v>
      </c>
      <c r="E22" s="695" t="s">
        <v>1052</v>
      </c>
      <c r="F22" s="695" t="s">
        <v>1362</v>
      </c>
      <c r="G22" s="794">
        <f>H22/J22*I22*0.47</f>
        <v>5.3146356056851488E-2</v>
      </c>
      <c r="H22" s="703">
        <f>'[2]Bio-processes'!$E$567</f>
        <v>0.28335080975387178</v>
      </c>
      <c r="I22" s="699">
        <f>[2]Props!$C$75</f>
        <v>17.2</v>
      </c>
      <c r="J22" s="700">
        <v>43.1</v>
      </c>
      <c r="K22" s="701">
        <v>0.64488392089423896</v>
      </c>
      <c r="L22" s="702">
        <f>G22*K22</f>
        <v>3.4273230475183672E-2</v>
      </c>
      <c r="O22" s="695">
        <f t="shared" si="0"/>
        <v>1.5506666666666669</v>
      </c>
    </row>
    <row r="23" spans="1:16" s="695" customFormat="1">
      <c r="C23" s="696"/>
      <c r="D23" s="695" t="s">
        <v>274</v>
      </c>
      <c r="E23" s="695" t="s">
        <v>1052</v>
      </c>
      <c r="F23" s="695" t="s">
        <v>1073</v>
      </c>
      <c r="G23" s="794">
        <f>H23/J23*I23*0.47</f>
        <v>5.3146356056851488E-2</v>
      </c>
      <c r="H23" s="703">
        <f>'[2]Bio-processes'!$E$567</f>
        <v>0.28335080975387178</v>
      </c>
      <c r="I23" s="699">
        <f>[2]Props!$C$75</f>
        <v>17.2</v>
      </c>
      <c r="J23" s="700">
        <v>43.1</v>
      </c>
      <c r="K23" s="701">
        <v>0.64488392089423896</v>
      </c>
      <c r="L23" s="702">
        <f>G23*K23</f>
        <v>3.4273230475183672E-2</v>
      </c>
      <c r="O23" s="695">
        <f>1/K23</f>
        <v>1.5506666666666669</v>
      </c>
    </row>
    <row r="24" spans="1:16" s="695" customFormat="1">
      <c r="C24" s="696"/>
      <c r="D24" s="695" t="s">
        <v>276</v>
      </c>
      <c r="E24" s="695" t="s">
        <v>1052</v>
      </c>
      <c r="F24" s="695" t="s">
        <v>1073</v>
      </c>
      <c r="G24" s="794">
        <f>H24/J24*I24*0.47</f>
        <v>5.3146356056851488E-2</v>
      </c>
      <c r="H24" s="703">
        <f>'[2]Bio-processes'!$E$567</f>
        <v>0.28335080975387178</v>
      </c>
      <c r="I24" s="699">
        <f>[2]Props!$C$75</f>
        <v>17.2</v>
      </c>
      <c r="J24" s="700">
        <v>43.1</v>
      </c>
      <c r="K24" s="701">
        <v>0.64488392089423896</v>
      </c>
      <c r="L24" s="702">
        <f>G24*K24</f>
        <v>3.4273230475183672E-2</v>
      </c>
      <c r="O24" s="695">
        <f t="shared" si="0"/>
        <v>1.5506666666666669</v>
      </c>
    </row>
    <row r="25" spans="1:16" s="695" customFormat="1">
      <c r="C25" s="696"/>
      <c r="D25" s="695" t="s">
        <v>270</v>
      </c>
      <c r="E25" s="695" t="s">
        <v>1051</v>
      </c>
      <c r="G25" s="698">
        <f>H25/J25*I25*0.47</f>
        <v>6.9535622694368845E-2</v>
      </c>
      <c r="H25" s="717">
        <f>'[2]Bio-processes'!$E$541</f>
        <v>0.33560866048457977</v>
      </c>
      <c r="I25" s="718">
        <f>[2]Props!$C$64</f>
        <v>19</v>
      </c>
      <c r="J25" s="700">
        <v>43.1</v>
      </c>
      <c r="K25" s="701">
        <v>0.64488392089423896</v>
      </c>
      <c r="L25" s="702">
        <f>G25*K25</f>
        <v>4.4842405004967008E-2</v>
      </c>
      <c r="O25" s="695">
        <f t="shared" si="0"/>
        <v>1.5506666666666669</v>
      </c>
    </row>
    <row r="26" spans="1:16" s="695" customFormat="1">
      <c r="A26" s="695">
        <v>6</v>
      </c>
      <c r="C26" s="719" t="s">
        <v>49</v>
      </c>
      <c r="D26" s="719"/>
      <c r="E26" s="719"/>
      <c r="H26" s="698"/>
      <c r="L26" s="702"/>
    </row>
    <row r="27" spans="1:16" s="695" customFormat="1">
      <c r="C27" s="719"/>
      <c r="D27" s="720" t="s">
        <v>278</v>
      </c>
      <c r="E27" s="719"/>
      <c r="F27" s="719" t="s">
        <v>1072</v>
      </c>
      <c r="G27" s="698">
        <v>0.47</v>
      </c>
      <c r="H27" s="711"/>
      <c r="I27" s="712"/>
      <c r="J27" s="700">
        <v>43.1</v>
      </c>
      <c r="K27" s="698">
        <f>'conversion factors'!E11</f>
        <v>1.0270373554982324</v>
      </c>
      <c r="L27" s="702">
        <f>'conversion factors'!F11</f>
        <v>0.61622241329893945</v>
      </c>
      <c r="O27" s="695">
        <f t="shared" si="0"/>
        <v>0.97367441860465131</v>
      </c>
    </row>
    <row r="28" spans="1:16" s="721" customFormat="1">
      <c r="A28" s="721">
        <v>7</v>
      </c>
      <c r="B28" s="716" t="s">
        <v>8</v>
      </c>
      <c r="C28" s="722" t="s">
        <v>1363</v>
      </c>
      <c r="D28" s="722"/>
      <c r="E28" s="722"/>
      <c r="F28" s="723"/>
      <c r="G28" s="724"/>
      <c r="H28" s="724"/>
      <c r="L28" s="702"/>
      <c r="O28" s="695"/>
      <c r="P28" s="721" t="s">
        <v>1364</v>
      </c>
    </row>
    <row r="29" spans="1:16" s="695" customFormat="1">
      <c r="C29" s="696"/>
      <c r="D29" s="723" t="s">
        <v>279</v>
      </c>
      <c r="E29" s="725" t="s">
        <v>1061</v>
      </c>
      <c r="F29" s="723" t="s">
        <v>1060</v>
      </c>
      <c r="G29" s="698">
        <f>H29/J29*I29</f>
        <v>0.50565325955726736</v>
      </c>
      <c r="H29" s="698">
        <f>[3]OWCG5!$E$57*[3]OWCG5!$E$61</f>
        <v>1.3558848196812971</v>
      </c>
      <c r="I29" s="699">
        <f>[2]Props!$C$75</f>
        <v>17.2</v>
      </c>
      <c r="J29" s="718">
        <f>[2]Props!$C$16</f>
        <v>46.120970166270787</v>
      </c>
      <c r="K29" s="698">
        <f>'conversion factors'!$E$12</f>
        <v>1.1951848667239895</v>
      </c>
      <c r="L29" s="702">
        <f t="shared" ref="L29:L36" si="2">G29*K29</f>
        <v>0.60434912363250348</v>
      </c>
      <c r="O29" s="695">
        <f t="shared" si="0"/>
        <v>0.83669064748201449</v>
      </c>
    </row>
    <row r="30" spans="1:16" s="695" customFormat="1">
      <c r="C30" s="696"/>
      <c r="D30" s="723" t="s">
        <v>274</v>
      </c>
      <c r="E30" s="725" t="s">
        <v>1061</v>
      </c>
      <c r="F30" s="725"/>
      <c r="G30" s="698">
        <f>H30/J30*I30</f>
        <v>0.50565325955726736</v>
      </c>
      <c r="H30" s="698">
        <f>[3]OWCG5!$E$57*[3]OWCG5!$E$61</f>
        <v>1.3558848196812971</v>
      </c>
      <c r="I30" s="699">
        <f>[2]Props!$C$75</f>
        <v>17.2</v>
      </c>
      <c r="J30" s="718">
        <f>[2]Props!$C$16</f>
        <v>46.120970166270787</v>
      </c>
      <c r="K30" s="698">
        <f>'conversion factors'!$E$12</f>
        <v>1.1951848667239895</v>
      </c>
      <c r="L30" s="702">
        <f>G30*K30</f>
        <v>0.60434912363250348</v>
      </c>
      <c r="O30" s="695">
        <f t="shared" si="0"/>
        <v>0.83669064748201449</v>
      </c>
    </row>
    <row r="31" spans="1:16" s="695" customFormat="1">
      <c r="C31" s="696"/>
      <c r="D31" s="723" t="s">
        <v>276</v>
      </c>
      <c r="E31" s="725" t="s">
        <v>1061</v>
      </c>
      <c r="F31" s="725"/>
      <c r="G31" s="698">
        <f t="shared" ref="G31:G33" si="3">H31/J31*I31</f>
        <v>0.50565325955726736</v>
      </c>
      <c r="H31" s="698">
        <f>[3]OWCG5!$E$57*[3]OWCG5!$E$61</f>
        <v>1.3558848196812971</v>
      </c>
      <c r="I31" s="699">
        <f>[2]Props!$C$75</f>
        <v>17.2</v>
      </c>
      <c r="J31" s="718">
        <f>[2]Props!$C$16</f>
        <v>46.120970166270787</v>
      </c>
      <c r="K31" s="698">
        <f>'conversion factors'!$E$12</f>
        <v>1.1951848667239895</v>
      </c>
      <c r="L31" s="702">
        <f t="shared" si="2"/>
        <v>0.60434912363250348</v>
      </c>
      <c r="O31" s="695">
        <f t="shared" si="0"/>
        <v>0.83669064748201449</v>
      </c>
    </row>
    <row r="32" spans="1:16" s="695" customFormat="1">
      <c r="C32" s="696"/>
      <c r="D32" s="723" t="s">
        <v>281</v>
      </c>
      <c r="E32" s="725" t="s">
        <v>1061</v>
      </c>
      <c r="F32" s="725"/>
      <c r="G32" s="698">
        <f>H32/J32*I32</f>
        <v>0.50565325955726736</v>
      </c>
      <c r="H32" s="698">
        <f>[3]OWCG5!$E$57*[3]OWCG5!$E$61</f>
        <v>1.3558848196812971</v>
      </c>
      <c r="I32" s="699">
        <f>[2]Props!$C$75</f>
        <v>17.2</v>
      </c>
      <c r="J32" s="718">
        <f>[2]Props!$C$16</f>
        <v>46.120970166270787</v>
      </c>
      <c r="K32" s="698">
        <f>'conversion factors'!$E$12</f>
        <v>1.1951848667239895</v>
      </c>
      <c r="L32" s="702">
        <f t="shared" si="2"/>
        <v>0.60434912363250348</v>
      </c>
      <c r="O32" s="695">
        <f t="shared" si="0"/>
        <v>0.83669064748201449</v>
      </c>
    </row>
    <row r="33" spans="1:15" s="695" customFormat="1">
      <c r="C33" s="696"/>
      <c r="D33" s="723" t="s">
        <v>272</v>
      </c>
      <c r="E33" s="723" t="s">
        <v>1048</v>
      </c>
      <c r="F33" s="726"/>
      <c r="G33" s="698">
        <f t="shared" si="3"/>
        <v>0.50565325955726736</v>
      </c>
      <c r="H33" s="698">
        <f>[3]OWCG5!$E$57*[3]OWCG5!$E$61</f>
        <v>1.3558848196812971</v>
      </c>
      <c r="I33" s="699">
        <f>[2]Props!$C$75</f>
        <v>17.2</v>
      </c>
      <c r="J33" s="718">
        <f>[2]Props!$C$16</f>
        <v>46.120970166270787</v>
      </c>
      <c r="K33" s="698">
        <f>'conversion factors'!$E$12</f>
        <v>1.1951848667239895</v>
      </c>
      <c r="L33" s="702">
        <f t="shared" si="2"/>
        <v>0.60434912363250348</v>
      </c>
      <c r="O33" s="695">
        <f t="shared" si="0"/>
        <v>0.83669064748201449</v>
      </c>
    </row>
    <row r="34" spans="1:15" s="695" customFormat="1">
      <c r="C34" s="696"/>
      <c r="D34" s="723" t="s">
        <v>283</v>
      </c>
      <c r="E34" s="723" t="s">
        <v>401</v>
      </c>
      <c r="F34" s="723"/>
      <c r="G34" s="698">
        <f>H34/J34*I34</f>
        <v>0.11659945531529187</v>
      </c>
      <c r="H34" s="717">
        <f>[3]OWCG2!$E$56*[3]OWCG2!$E$70</f>
        <v>0.44813999999999998</v>
      </c>
      <c r="I34" s="718">
        <f>[2]Props!$C$89</f>
        <v>12</v>
      </c>
      <c r="J34" s="718">
        <f>[2]Props!$C$16</f>
        <v>46.120970166270787</v>
      </c>
      <c r="K34" s="698">
        <f>'conversion factors'!$E$12</f>
        <v>1.1951848667239895</v>
      </c>
      <c r="L34" s="702">
        <f t="shared" si="2"/>
        <v>0.13935790446109689</v>
      </c>
      <c r="O34" s="695">
        <f t="shared" si="0"/>
        <v>0.83669064748201449</v>
      </c>
    </row>
    <row r="35" spans="1:15" s="695" customFormat="1">
      <c r="C35" s="696"/>
      <c r="D35" s="723" t="s">
        <v>285</v>
      </c>
      <c r="E35" s="727" t="s">
        <v>1054</v>
      </c>
      <c r="F35" s="727"/>
      <c r="G35" s="698">
        <f>H35/J35*I35</f>
        <v>0.11659945531529187</v>
      </c>
      <c r="H35" s="717">
        <f>[3]OWCG3!$E$52*[3]OWCG3!$E$60</f>
        <v>0.44813999999999998</v>
      </c>
      <c r="I35" s="718">
        <v>12</v>
      </c>
      <c r="J35" s="718">
        <f>[2]Props!$C$16</f>
        <v>46.120970166270787</v>
      </c>
      <c r="K35" s="698">
        <f>'conversion factors'!$E$12</f>
        <v>1.1951848667239895</v>
      </c>
      <c r="L35" s="702">
        <f t="shared" si="2"/>
        <v>0.13935790446109689</v>
      </c>
      <c r="O35" s="695">
        <f t="shared" si="0"/>
        <v>0.83669064748201449</v>
      </c>
    </row>
    <row r="36" spans="1:15" s="695" customFormat="1">
      <c r="C36" s="696"/>
      <c r="D36" s="727" t="s">
        <v>286</v>
      </c>
      <c r="E36" s="723" t="s">
        <v>1058</v>
      </c>
      <c r="F36" s="723"/>
      <c r="G36" s="698">
        <f>H36/J36*I36</f>
        <v>0.18593291119169406</v>
      </c>
      <c r="H36" s="698">
        <f>[3]OWCG1!$E$52*[3]OWCG1!$E$62</f>
        <v>0.68603249999999982</v>
      </c>
      <c r="I36" s="712">
        <v>12.5</v>
      </c>
      <c r="J36" s="718">
        <f>[2]Props!$C$16</f>
        <v>46.120970166270787</v>
      </c>
      <c r="K36" s="698">
        <f>'conversion factors'!$E$12</f>
        <v>1.1951848667239895</v>
      </c>
      <c r="L36" s="702">
        <f t="shared" si="2"/>
        <v>0.22222420168224824</v>
      </c>
      <c r="O36" s="695">
        <f t="shared" si="0"/>
        <v>0.83669064748201449</v>
      </c>
    </row>
    <row r="37" spans="1:15" s="695" customFormat="1">
      <c r="C37" s="696"/>
      <c r="D37" s="728" t="s">
        <v>289</v>
      </c>
      <c r="E37" s="728"/>
      <c r="F37" s="728"/>
      <c r="G37" s="794"/>
      <c r="H37" s="772"/>
      <c r="I37" s="772"/>
      <c r="L37" s="697">
        <v>0.27500000000000002</v>
      </c>
    </row>
    <row r="38" spans="1:15" s="721" customFormat="1">
      <c r="A38" s="729" t="s">
        <v>9</v>
      </c>
      <c r="B38" s="722" t="s">
        <v>774</v>
      </c>
      <c r="C38" s="722" t="s">
        <v>51</v>
      </c>
      <c r="D38" s="722"/>
      <c r="E38" s="722"/>
      <c r="F38" s="722"/>
      <c r="G38" s="698"/>
      <c r="L38" s="697"/>
      <c r="O38" s="695"/>
    </row>
    <row r="39" spans="1:15" s="695" customFormat="1">
      <c r="A39" s="730"/>
      <c r="B39" s="722"/>
      <c r="C39" s="696"/>
      <c r="D39" s="723" t="s">
        <v>272</v>
      </c>
      <c r="E39" s="696"/>
      <c r="F39" s="696"/>
      <c r="G39" s="698">
        <f>H39/J39*I39</f>
        <v>0.44129562342499795</v>
      </c>
      <c r="H39" s="711">
        <f>[4]Wxxx!$E$180</f>
        <v>0.51056877361380582</v>
      </c>
      <c r="I39" s="699">
        <f>[2]Props!$C$75</f>
        <v>17.2</v>
      </c>
      <c r="J39" s="695">
        <v>19.899999999999999</v>
      </c>
      <c r="K39" s="731">
        <v>0.47769179325499184</v>
      </c>
      <c r="L39" s="702">
        <f t="shared" ref="L39:L44" si="4">G39*K39</f>
        <v>0.21080329770946685</v>
      </c>
      <c r="O39" s="695">
        <f t="shared" si="0"/>
        <v>2.0934000000000004</v>
      </c>
    </row>
    <row r="40" spans="1:15" s="695" customFormat="1">
      <c r="A40" s="730"/>
      <c r="B40" s="722"/>
      <c r="C40" s="696"/>
      <c r="D40" s="723" t="s">
        <v>290</v>
      </c>
      <c r="E40" s="710" t="s">
        <v>1049</v>
      </c>
      <c r="F40" s="696"/>
      <c r="G40" s="698">
        <f t="shared" ref="G40:G44" si="5">H40/J40*I40</f>
        <v>0.44129562342499795</v>
      </c>
      <c r="H40" s="711">
        <f>[4]Wxxx!$E$180</f>
        <v>0.51056877361380582</v>
      </c>
      <c r="I40" s="699">
        <f>[2]Props!$C$75</f>
        <v>17.2</v>
      </c>
      <c r="J40" s="695">
        <v>19.899999999999999</v>
      </c>
      <c r="K40" s="731">
        <v>0.47769179325499184</v>
      </c>
      <c r="L40" s="702">
        <f t="shared" si="4"/>
        <v>0.21080329770946685</v>
      </c>
      <c r="O40" s="695">
        <f t="shared" si="0"/>
        <v>2.0934000000000004</v>
      </c>
    </row>
    <row r="41" spans="1:15" s="695" customFormat="1">
      <c r="A41" s="730"/>
      <c r="B41" s="722"/>
      <c r="C41" s="696"/>
      <c r="D41" s="723" t="s">
        <v>285</v>
      </c>
      <c r="E41" s="710" t="s">
        <v>1049</v>
      </c>
      <c r="F41" s="696"/>
      <c r="G41" s="698">
        <f t="shared" si="5"/>
        <v>0.30788066750581256</v>
      </c>
      <c r="H41" s="711">
        <f>[4]Wxxx!$E$180</f>
        <v>0.51056877361380582</v>
      </c>
      <c r="I41" s="699">
        <v>12</v>
      </c>
      <c r="J41" s="695">
        <v>19.899999999999999</v>
      </c>
      <c r="K41" s="731">
        <v>0.47769179325499184</v>
      </c>
      <c r="L41" s="702">
        <f t="shared" si="4"/>
        <v>0.1470720681693955</v>
      </c>
      <c r="O41" s="695">
        <f t="shared" si="0"/>
        <v>2.0934000000000004</v>
      </c>
    </row>
    <row r="42" spans="1:15" s="695" customFormat="1">
      <c r="A42" s="730"/>
      <c r="B42" s="722"/>
      <c r="C42" s="696"/>
      <c r="D42" s="723" t="s">
        <v>292</v>
      </c>
      <c r="E42" s="710" t="s">
        <v>1049</v>
      </c>
      <c r="F42" s="696"/>
      <c r="G42" s="698">
        <f t="shared" si="5"/>
        <v>0.44129562342499795</v>
      </c>
      <c r="H42" s="711">
        <f>[4]Wxxx!$E$180</f>
        <v>0.51056877361380582</v>
      </c>
      <c r="I42" s="699">
        <f>[2]Props!$C$75</f>
        <v>17.2</v>
      </c>
      <c r="J42" s="695">
        <v>19.899999999999999</v>
      </c>
      <c r="K42" s="731">
        <v>0.477691793254992</v>
      </c>
      <c r="L42" s="702">
        <f t="shared" si="4"/>
        <v>0.21080329770946693</v>
      </c>
      <c r="O42" s="695">
        <f t="shared" si="0"/>
        <v>2.0933999999999995</v>
      </c>
    </row>
    <row r="43" spans="1:15" s="695" customFormat="1">
      <c r="A43" s="730"/>
      <c r="B43" s="722"/>
      <c r="C43" s="696"/>
      <c r="D43" s="723" t="s">
        <v>274</v>
      </c>
      <c r="E43" s="710" t="s">
        <v>1049</v>
      </c>
      <c r="F43" s="696"/>
      <c r="G43" s="698">
        <f t="shared" si="5"/>
        <v>0.44129562342499795</v>
      </c>
      <c r="H43" s="711">
        <f>[4]Wxxx!$E$180</f>
        <v>0.51056877361380582</v>
      </c>
      <c r="I43" s="699">
        <f>[2]Props!$C$75</f>
        <v>17.2</v>
      </c>
      <c r="J43" s="695">
        <v>19.899999999999999</v>
      </c>
      <c r="K43" s="731">
        <v>0.47769179325499184</v>
      </c>
      <c r="L43" s="702">
        <f t="shared" si="4"/>
        <v>0.21080329770946685</v>
      </c>
      <c r="O43" s="695">
        <f t="shared" si="0"/>
        <v>2.0934000000000004</v>
      </c>
    </row>
    <row r="44" spans="1:15" s="695" customFormat="1">
      <c r="A44" s="730"/>
      <c r="B44" s="722"/>
      <c r="C44" s="696"/>
      <c r="D44" s="723" t="s">
        <v>276</v>
      </c>
      <c r="E44" s="710" t="s">
        <v>1049</v>
      </c>
      <c r="F44" s="696"/>
      <c r="G44" s="698">
        <f t="shared" si="5"/>
        <v>0.44129562342499795</v>
      </c>
      <c r="H44" s="711">
        <f>[4]Wxxx!$E$180</f>
        <v>0.51056877361380582</v>
      </c>
      <c r="I44" s="699">
        <f>[2]Props!$C$75</f>
        <v>17.2</v>
      </c>
      <c r="J44" s="695">
        <v>19.899999999999999</v>
      </c>
      <c r="K44" s="731">
        <v>0.47769179325499184</v>
      </c>
      <c r="L44" s="702">
        <f t="shared" si="4"/>
        <v>0.21080329770946685</v>
      </c>
      <c r="O44" s="695">
        <f t="shared" si="0"/>
        <v>2.0934000000000004</v>
      </c>
    </row>
    <row r="45" spans="1:15" s="695" customFormat="1">
      <c r="A45" s="730"/>
      <c r="B45" s="722"/>
      <c r="C45" s="696"/>
      <c r="D45" s="723" t="s">
        <v>293</v>
      </c>
      <c r="E45" s="696" t="s">
        <v>1053</v>
      </c>
      <c r="F45" s="696" t="s">
        <v>1076</v>
      </c>
      <c r="G45" s="698">
        <f>H45/J45*I45</f>
        <v>0.48747772355086988</v>
      </c>
      <c r="H45" s="698">
        <f>[4]Wxxx!$E$180</f>
        <v>0.51056877361380582</v>
      </c>
      <c r="I45" s="718">
        <f>[2]Props!$C$64</f>
        <v>19</v>
      </c>
      <c r="J45" s="695">
        <v>19.899999999999999</v>
      </c>
      <c r="K45" s="731">
        <v>0.47769179325499184</v>
      </c>
      <c r="L45" s="702">
        <f>G45*K45</f>
        <v>0.23286410793487619</v>
      </c>
      <c r="O45" s="695">
        <f t="shared" si="0"/>
        <v>2.0934000000000004</v>
      </c>
    </row>
    <row r="46" spans="1:15" s="695" customFormat="1">
      <c r="A46" s="730"/>
      <c r="B46" s="722"/>
      <c r="C46" s="696"/>
      <c r="D46" s="723" t="s">
        <v>270</v>
      </c>
      <c r="E46" s="696" t="s">
        <v>1062</v>
      </c>
      <c r="F46" s="696"/>
      <c r="G46" s="698">
        <f>H46/J46*I46</f>
        <v>0.48747772355086988</v>
      </c>
      <c r="H46" s="698">
        <f>[4]Wxxx!$E$180</f>
        <v>0.51056877361380582</v>
      </c>
      <c r="I46" s="718">
        <f>[2]Props!$C$64</f>
        <v>19</v>
      </c>
      <c r="J46" s="695">
        <v>19.899999999999999</v>
      </c>
      <c r="K46" s="731">
        <v>0.47769179325499184</v>
      </c>
      <c r="L46" s="702">
        <f>G46*K46</f>
        <v>0.23286410793487619</v>
      </c>
      <c r="O46" s="695">
        <f t="shared" si="0"/>
        <v>2.0934000000000004</v>
      </c>
    </row>
    <row r="47" spans="1:15" s="695" customFormat="1">
      <c r="A47" s="730"/>
      <c r="B47" s="722"/>
      <c r="C47" s="696"/>
      <c r="D47" s="723" t="s">
        <v>295</v>
      </c>
      <c r="E47" s="696" t="s">
        <v>1053</v>
      </c>
      <c r="F47" s="696"/>
      <c r="G47" s="698">
        <f>H47/J47*I47</f>
        <v>0.41050755667441674</v>
      </c>
      <c r="H47" s="698">
        <f>[4]Wxxx!$E$180</f>
        <v>0.51056877361380582</v>
      </c>
      <c r="I47" s="718">
        <v>16</v>
      </c>
      <c r="J47" s="695">
        <v>19.899999999999999</v>
      </c>
      <c r="K47" s="731">
        <v>0.47769179325499184</v>
      </c>
      <c r="L47" s="702">
        <f>G47*K47</f>
        <v>0.19609609089252733</v>
      </c>
      <c r="O47" s="695">
        <f t="shared" si="0"/>
        <v>2.0934000000000004</v>
      </c>
    </row>
    <row r="48" spans="1:15" s="695" customFormat="1">
      <c r="A48" s="730"/>
      <c r="B48" s="722"/>
      <c r="C48" s="696"/>
      <c r="D48" s="728" t="s">
        <v>297</v>
      </c>
      <c r="E48" s="710" t="s">
        <v>1224</v>
      </c>
      <c r="F48" s="696"/>
      <c r="G48" s="826">
        <f>H48/J48*I48</f>
        <v>0.79651764705882355</v>
      </c>
      <c r="H48" s="848">
        <v>0.78</v>
      </c>
      <c r="I48" s="849">
        <v>17.36</v>
      </c>
      <c r="J48" s="772">
        <f>'conversion factors'!O22</f>
        <v>17</v>
      </c>
      <c r="K48" s="731">
        <v>0.47769179325499184</v>
      </c>
      <c r="L48" s="702">
        <f>G48*K48</f>
        <v>0.38048994318277612</v>
      </c>
      <c r="O48" s="695">
        <f t="shared" si="0"/>
        <v>2.0934000000000004</v>
      </c>
    </row>
    <row r="49" spans="1:15" s="695" customFormat="1">
      <c r="A49" s="730" t="s">
        <v>11</v>
      </c>
      <c r="B49" s="730"/>
      <c r="C49" s="719" t="s">
        <v>51</v>
      </c>
      <c r="D49" s="719"/>
      <c r="E49" s="719"/>
      <c r="F49" s="719"/>
      <c r="K49" s="731">
        <f>'conversion factors'!E15</f>
        <v>0.47769179325499184</v>
      </c>
      <c r="L49" s="697">
        <v>0.81</v>
      </c>
      <c r="M49" s="695" t="s">
        <v>1332</v>
      </c>
      <c r="O49" s="695">
        <f t="shared" si="0"/>
        <v>2.0934000000000004</v>
      </c>
    </row>
    <row r="50" spans="1:15" s="695" customFormat="1">
      <c r="A50" s="730" t="s">
        <v>13</v>
      </c>
      <c r="B50" s="730"/>
      <c r="C50" s="732" t="s">
        <v>52</v>
      </c>
      <c r="D50" s="732"/>
      <c r="E50" s="732"/>
      <c r="F50" s="732"/>
      <c r="K50" s="698">
        <f>'conversion factors'!E16</f>
        <v>0.47769179325499184</v>
      </c>
      <c r="L50" s="697">
        <v>0.32</v>
      </c>
      <c r="M50" s="695" t="s">
        <v>1332</v>
      </c>
      <c r="O50" s="695">
        <f>1/K50</f>
        <v>2.0934000000000004</v>
      </c>
    </row>
    <row r="51" spans="1:15" s="695" customFormat="1">
      <c r="A51" s="730" t="s">
        <v>17</v>
      </c>
      <c r="B51" s="733" t="s">
        <v>18</v>
      </c>
      <c r="C51" s="696" t="s">
        <v>53</v>
      </c>
      <c r="D51" s="696"/>
      <c r="E51" s="696"/>
      <c r="F51" s="696"/>
      <c r="L51" s="697"/>
    </row>
    <row r="52" spans="1:15" s="695" customFormat="1">
      <c r="A52" s="730"/>
      <c r="B52" s="730"/>
      <c r="C52" s="696"/>
      <c r="D52" s="723" t="s">
        <v>272</v>
      </c>
      <c r="E52" s="696"/>
      <c r="F52" s="696"/>
      <c r="G52" s="698">
        <f>H52/J52*I52</f>
        <v>0.24762705465272858</v>
      </c>
      <c r="H52" s="704">
        <v>0.66400000000000003</v>
      </c>
      <c r="I52" s="699">
        <f>[2]Props!$C$75</f>
        <v>17.2</v>
      </c>
      <c r="J52" s="718">
        <f>[2]Props!$C$16</f>
        <v>46.120970166270787</v>
      </c>
      <c r="K52" s="731">
        <v>1.1951848667239895</v>
      </c>
      <c r="L52" s="702">
        <f>G52*K52</f>
        <v>0.29596010831237546</v>
      </c>
      <c r="O52" s="695">
        <f t="shared" si="0"/>
        <v>0.83669064748201449</v>
      </c>
    </row>
    <row r="53" spans="1:15" s="695" customFormat="1">
      <c r="A53" s="730"/>
      <c r="B53" s="730"/>
      <c r="C53" s="696"/>
      <c r="D53" s="723" t="s">
        <v>290</v>
      </c>
      <c r="E53" s="696"/>
      <c r="F53" s="696"/>
      <c r="G53" s="698">
        <f t="shared" ref="G53:G57" si="6">H53/J53*I53</f>
        <v>0.24762705465272858</v>
      </c>
      <c r="H53" s="704">
        <v>0.66400000000000003</v>
      </c>
      <c r="I53" s="699">
        <f>[2]Props!$C$75</f>
        <v>17.2</v>
      </c>
      <c r="J53" s="718">
        <f>[2]Props!$C$16</f>
        <v>46.120970166270787</v>
      </c>
      <c r="K53" s="731">
        <v>1.1951848667239895</v>
      </c>
      <c r="L53" s="702">
        <f t="shared" ref="L53:L57" si="7">G53*K53</f>
        <v>0.29596010831237546</v>
      </c>
      <c r="O53" s="695">
        <f t="shared" si="0"/>
        <v>0.83669064748201449</v>
      </c>
    </row>
    <row r="54" spans="1:15" s="695" customFormat="1">
      <c r="A54" s="730"/>
      <c r="B54" s="730"/>
      <c r="C54" s="696"/>
      <c r="D54" s="723" t="s">
        <v>285</v>
      </c>
      <c r="E54" s="696"/>
      <c r="F54" s="696"/>
      <c r="G54" s="698">
        <f t="shared" si="6"/>
        <v>0.17276306138562458</v>
      </c>
      <c r="H54" s="704">
        <v>0.66400000000000003</v>
      </c>
      <c r="I54" s="699">
        <v>12</v>
      </c>
      <c r="J54" s="718">
        <f>[2]Props!$C$16</f>
        <v>46.120970166270787</v>
      </c>
      <c r="K54" s="731">
        <v>1.1951848667239895</v>
      </c>
      <c r="L54" s="702">
        <f t="shared" si="7"/>
        <v>0.20648379649700613</v>
      </c>
      <c r="O54" s="695">
        <f t="shared" si="0"/>
        <v>0.83669064748201449</v>
      </c>
    </row>
    <row r="55" spans="1:15" s="695" customFormat="1">
      <c r="A55" s="730"/>
      <c r="B55" s="730"/>
      <c r="C55" s="696"/>
      <c r="D55" s="723" t="s">
        <v>292</v>
      </c>
      <c r="E55" s="696"/>
      <c r="F55" s="696"/>
      <c r="G55" s="698">
        <f t="shared" si="6"/>
        <v>0.24762705465272858</v>
      </c>
      <c r="H55" s="704">
        <v>0.66400000000000003</v>
      </c>
      <c r="I55" s="699">
        <f>[2]Props!$C$75</f>
        <v>17.2</v>
      </c>
      <c r="J55" s="718">
        <f>[2]Props!$C$16</f>
        <v>46.120970166270787</v>
      </c>
      <c r="K55" s="731">
        <v>1.1951848667239895</v>
      </c>
      <c r="L55" s="702">
        <f t="shared" si="7"/>
        <v>0.29596010831237546</v>
      </c>
      <c r="O55" s="695">
        <f t="shared" si="0"/>
        <v>0.83669064748201449</v>
      </c>
    </row>
    <row r="56" spans="1:15" s="695" customFormat="1">
      <c r="A56" s="730"/>
      <c r="B56" s="730"/>
      <c r="C56" s="696"/>
      <c r="D56" s="723" t="s">
        <v>274</v>
      </c>
      <c r="E56" s="696"/>
      <c r="F56" s="696"/>
      <c r="G56" s="698">
        <f t="shared" si="6"/>
        <v>0.24762705465272858</v>
      </c>
      <c r="H56" s="704">
        <v>0.66400000000000003</v>
      </c>
      <c r="I56" s="699">
        <f>[2]Props!$C$75</f>
        <v>17.2</v>
      </c>
      <c r="J56" s="718">
        <f>[2]Props!$C$16</f>
        <v>46.120970166270787</v>
      </c>
      <c r="K56" s="731">
        <v>1.1951848667239895</v>
      </c>
      <c r="L56" s="702">
        <f t="shared" si="7"/>
        <v>0.29596010831237546</v>
      </c>
      <c r="O56" s="695">
        <f t="shared" si="0"/>
        <v>0.83669064748201449</v>
      </c>
    </row>
    <row r="57" spans="1:15" s="695" customFormat="1">
      <c r="A57" s="730"/>
      <c r="B57" s="730"/>
      <c r="C57" s="696"/>
      <c r="D57" s="723" t="s">
        <v>276</v>
      </c>
      <c r="E57" s="696"/>
      <c r="F57" s="696"/>
      <c r="G57" s="698">
        <f t="shared" si="6"/>
        <v>0.24762705465272858</v>
      </c>
      <c r="H57" s="704">
        <v>0.66400000000000003</v>
      </c>
      <c r="I57" s="699">
        <f>[2]Props!$C$75</f>
        <v>17.2</v>
      </c>
      <c r="J57" s="718">
        <f>[2]Props!$C$16</f>
        <v>46.120970166270787</v>
      </c>
      <c r="K57" s="731">
        <v>1.1951848667239895</v>
      </c>
      <c r="L57" s="702">
        <f t="shared" si="7"/>
        <v>0.29596010831237546</v>
      </c>
      <c r="O57" s="695">
        <f t="shared" si="0"/>
        <v>0.83669064748201449</v>
      </c>
    </row>
    <row r="58" spans="1:15" s="695" customFormat="1">
      <c r="A58" s="730"/>
      <c r="B58" s="730"/>
      <c r="C58" s="696"/>
      <c r="D58" s="723" t="s">
        <v>293</v>
      </c>
      <c r="E58" s="696" t="s">
        <v>1066</v>
      </c>
      <c r="F58" s="696" t="s">
        <v>1126</v>
      </c>
      <c r="G58" s="698">
        <f>H58/J58*I58</f>
        <v>0.27354151386057229</v>
      </c>
      <c r="H58" s="704">
        <v>0.66400000000000003</v>
      </c>
      <c r="I58" s="718">
        <f>[2]Props!$C$64</f>
        <v>19</v>
      </c>
      <c r="J58" s="718">
        <f>[2]Props!$C$16</f>
        <v>46.120970166270787</v>
      </c>
      <c r="K58" s="731">
        <v>1.1951848667239895</v>
      </c>
      <c r="L58" s="702">
        <f>G58*K58</f>
        <v>0.32693267778692642</v>
      </c>
      <c r="O58" s="695">
        <f t="shared" si="0"/>
        <v>0.83669064748201449</v>
      </c>
    </row>
    <row r="59" spans="1:15" s="695" customFormat="1">
      <c r="A59" s="730"/>
      <c r="B59" s="730"/>
      <c r="C59" s="696"/>
      <c r="D59" s="723" t="s">
        <v>270</v>
      </c>
      <c r="E59" s="696" t="s">
        <v>1067</v>
      </c>
      <c r="F59" s="696" t="s">
        <v>1126</v>
      </c>
      <c r="G59" s="698">
        <f>H59/J59*I59</f>
        <v>0.27354151386057229</v>
      </c>
      <c r="H59" s="704">
        <v>0.66400000000000003</v>
      </c>
      <c r="I59" s="718">
        <f>[2]Props!$C$64</f>
        <v>19</v>
      </c>
      <c r="J59" s="718">
        <f>[2]Props!$C$16</f>
        <v>46.120970166270787</v>
      </c>
      <c r="K59" s="731">
        <v>1.1951848667239895</v>
      </c>
      <c r="L59" s="702">
        <f t="shared" ref="L59" si="8">G59*K59</f>
        <v>0.32693267778692642</v>
      </c>
      <c r="O59" s="695">
        <f t="shared" si="0"/>
        <v>0.83669064748201449</v>
      </c>
    </row>
    <row r="60" spans="1:15" s="695" customFormat="1">
      <c r="A60" s="730"/>
      <c r="B60" s="730"/>
      <c r="C60" s="696"/>
      <c r="D60" s="723" t="s">
        <v>295</v>
      </c>
      <c r="E60" s="696" t="s">
        <v>1068</v>
      </c>
      <c r="F60" s="696" t="s">
        <v>1126</v>
      </c>
      <c r="G60" s="698">
        <f>H60/J60*I60</f>
        <v>0.23035074851416612</v>
      </c>
      <c r="H60" s="704">
        <v>0.66400000000000003</v>
      </c>
      <c r="I60" s="718">
        <v>16</v>
      </c>
      <c r="J60" s="718">
        <f>[2]Props!$C$16</f>
        <v>46.120970166270787</v>
      </c>
      <c r="K60" s="731">
        <v>1.1951848667239895</v>
      </c>
      <c r="L60" s="702">
        <f>G60*K60</f>
        <v>0.27531172866267484</v>
      </c>
      <c r="O60" s="695">
        <f t="shared" si="0"/>
        <v>0.83669064748201449</v>
      </c>
    </row>
    <row r="61" spans="1:15" s="695" customFormat="1">
      <c r="A61" s="730"/>
      <c r="B61" s="730"/>
      <c r="C61" s="696"/>
      <c r="D61" s="728" t="s">
        <v>301</v>
      </c>
      <c r="E61" s="710" t="s">
        <v>1224</v>
      </c>
      <c r="F61" s="696"/>
      <c r="G61" s="826">
        <f>H61/J61*I61</f>
        <v>0.79651764705882355</v>
      </c>
      <c r="H61" s="848">
        <v>0.78</v>
      </c>
      <c r="I61" s="849">
        <v>17.36</v>
      </c>
      <c r="J61" s="695">
        <f>'conversion factors'!O22</f>
        <v>17</v>
      </c>
      <c r="K61" s="731">
        <v>1.1951848667239895</v>
      </c>
      <c r="L61" s="702">
        <f>G61*K61</f>
        <v>0.9519858378433057</v>
      </c>
      <c r="O61" s="695">
        <f t="shared" si="0"/>
        <v>0.83669064748201449</v>
      </c>
    </row>
    <row r="62" spans="1:15" s="695" customFormat="1">
      <c r="A62" s="730" t="s">
        <v>19</v>
      </c>
      <c r="B62" s="730"/>
      <c r="C62" s="732" t="s">
        <v>54</v>
      </c>
      <c r="D62" s="732"/>
      <c r="E62" s="732"/>
      <c r="F62" s="732"/>
      <c r="H62" s="704"/>
      <c r="K62" s="698">
        <f>'conversion factors'!E20</f>
        <v>1.1951848667239895</v>
      </c>
      <c r="L62" s="697"/>
      <c r="O62" s="695">
        <f t="shared" si="0"/>
        <v>0.83669064748201449</v>
      </c>
    </row>
    <row r="63" spans="1:15" s="695" customFormat="1">
      <c r="A63" s="730" t="s">
        <v>22</v>
      </c>
      <c r="B63" s="734" t="s">
        <v>23</v>
      </c>
      <c r="C63" s="696" t="s">
        <v>1348</v>
      </c>
      <c r="D63" s="696"/>
      <c r="E63" s="696"/>
      <c r="F63" s="696"/>
      <c r="H63" s="704"/>
      <c r="L63" s="697"/>
    </row>
    <row r="64" spans="1:15" s="695" customFormat="1">
      <c r="A64" s="730"/>
      <c r="B64" s="730"/>
      <c r="C64" s="696"/>
      <c r="D64" s="723" t="s">
        <v>272</v>
      </c>
      <c r="E64" s="735"/>
      <c r="F64" s="735"/>
      <c r="G64" s="698">
        <f>H64/J64*I64</f>
        <v>0.17998143851508122</v>
      </c>
      <c r="H64" s="701">
        <f>0.451</f>
        <v>0.45100000000000001</v>
      </c>
      <c r="I64" s="699">
        <f>[2]Props!$C$75</f>
        <v>17.2</v>
      </c>
      <c r="J64" s="695">
        <v>43.1</v>
      </c>
      <c r="K64" s="731">
        <v>1.0509219451609799</v>
      </c>
      <c r="L64" s="702">
        <f>G64*K64</f>
        <v>0.18914644345714046</v>
      </c>
      <c r="O64" s="695">
        <f t="shared" ref="O64:O73" si="9">1/K64</f>
        <v>0.95154545454545658</v>
      </c>
    </row>
    <row r="65" spans="1:15" s="695" customFormat="1">
      <c r="A65" s="730"/>
      <c r="B65" s="730"/>
      <c r="C65" s="696"/>
      <c r="D65" s="723" t="s">
        <v>290</v>
      </c>
      <c r="E65" s="735"/>
      <c r="F65" s="735"/>
      <c r="G65" s="698">
        <f t="shared" ref="G65:G72" si="10">H65/J65*I65</f>
        <v>0.17998143851508122</v>
      </c>
      <c r="H65" s="701">
        <f t="shared" ref="H65:H72" si="11">0.451</f>
        <v>0.45100000000000001</v>
      </c>
      <c r="I65" s="699">
        <f>[2]Props!$C$75</f>
        <v>17.2</v>
      </c>
      <c r="J65" s="695">
        <v>43.1</v>
      </c>
      <c r="K65" s="731">
        <v>1.0509219451609799</v>
      </c>
      <c r="L65" s="702">
        <f t="shared" ref="L65:L68" si="12">G65*K65</f>
        <v>0.18914644345714046</v>
      </c>
      <c r="O65" s="695">
        <f t="shared" si="9"/>
        <v>0.95154545454545658</v>
      </c>
    </row>
    <row r="66" spans="1:15" s="695" customFormat="1">
      <c r="A66" s="730"/>
      <c r="B66" s="730"/>
      <c r="C66" s="696"/>
      <c r="D66" s="723" t="s">
        <v>285</v>
      </c>
      <c r="E66" s="736"/>
      <c r="F66" s="736"/>
      <c r="G66" s="698">
        <f t="shared" si="10"/>
        <v>0.17998143851508122</v>
      </c>
      <c r="H66" s="701">
        <f t="shared" si="11"/>
        <v>0.45100000000000001</v>
      </c>
      <c r="I66" s="699">
        <f>[2]Props!$C$75</f>
        <v>17.2</v>
      </c>
      <c r="J66" s="695">
        <v>43.1</v>
      </c>
      <c r="K66" s="731">
        <v>1.0509219451609799</v>
      </c>
      <c r="L66" s="702">
        <f t="shared" si="12"/>
        <v>0.18914644345714046</v>
      </c>
      <c r="O66" s="695">
        <f t="shared" si="9"/>
        <v>0.95154545454545658</v>
      </c>
    </row>
    <row r="67" spans="1:15" s="695" customFormat="1">
      <c r="A67" s="730"/>
      <c r="B67" s="730"/>
      <c r="C67" s="696"/>
      <c r="D67" s="723" t="s">
        <v>292</v>
      </c>
      <c r="E67" s="737"/>
      <c r="F67" s="737"/>
      <c r="G67" s="698">
        <f t="shared" si="10"/>
        <v>0.17998143851508122</v>
      </c>
      <c r="H67" s="701">
        <f t="shared" si="11"/>
        <v>0.45100000000000001</v>
      </c>
      <c r="I67" s="699">
        <f>[2]Props!$C$75</f>
        <v>17.2</v>
      </c>
      <c r="J67" s="695">
        <v>43.1</v>
      </c>
      <c r="K67" s="731">
        <v>1.0509219451609799</v>
      </c>
      <c r="L67" s="702">
        <f t="shared" si="12"/>
        <v>0.18914644345714046</v>
      </c>
      <c r="O67" s="695">
        <f t="shared" si="9"/>
        <v>0.95154545454545658</v>
      </c>
    </row>
    <row r="68" spans="1:15" s="695" customFormat="1">
      <c r="A68" s="730"/>
      <c r="B68" s="730"/>
      <c r="C68" s="696"/>
      <c r="D68" s="723" t="s">
        <v>274</v>
      </c>
      <c r="E68" s="735"/>
      <c r="F68" s="735"/>
      <c r="G68" s="698">
        <f t="shared" si="10"/>
        <v>0.17998143851508122</v>
      </c>
      <c r="H68" s="701">
        <f t="shared" si="11"/>
        <v>0.45100000000000001</v>
      </c>
      <c r="I68" s="699">
        <f>[2]Props!$C$75</f>
        <v>17.2</v>
      </c>
      <c r="J68" s="695">
        <v>43.1</v>
      </c>
      <c r="K68" s="731">
        <v>1.0509219451609799</v>
      </c>
      <c r="L68" s="702">
        <f t="shared" si="12"/>
        <v>0.18914644345714046</v>
      </c>
      <c r="O68" s="695">
        <f t="shared" si="9"/>
        <v>0.95154545454545658</v>
      </c>
    </row>
    <row r="69" spans="1:15" s="695" customFormat="1">
      <c r="A69" s="730"/>
      <c r="B69" s="730"/>
      <c r="C69" s="696"/>
      <c r="D69" s="723" t="s">
        <v>276</v>
      </c>
      <c r="E69" s="735"/>
      <c r="F69" s="735"/>
      <c r="G69" s="698">
        <f t="shared" si="10"/>
        <v>0.17998143851508122</v>
      </c>
      <c r="H69" s="701">
        <f t="shared" si="11"/>
        <v>0.45100000000000001</v>
      </c>
      <c r="I69" s="699">
        <f>[2]Props!$C$75</f>
        <v>17.2</v>
      </c>
      <c r="J69" s="695">
        <v>43.1</v>
      </c>
      <c r="K69" s="731">
        <v>1.0509219451609799</v>
      </c>
      <c r="L69" s="702">
        <f>G69*K69</f>
        <v>0.18914644345714046</v>
      </c>
      <c r="O69" s="695">
        <f t="shared" si="9"/>
        <v>0.95154545454545658</v>
      </c>
    </row>
    <row r="70" spans="1:15" s="695" customFormat="1" ht="29">
      <c r="A70" s="730"/>
      <c r="B70" s="730"/>
      <c r="C70" s="696"/>
      <c r="D70" s="723" t="s">
        <v>293</v>
      </c>
      <c r="E70" s="735" t="s">
        <v>1069</v>
      </c>
      <c r="F70" s="735" t="s">
        <v>1077</v>
      </c>
      <c r="G70" s="698">
        <f t="shared" si="10"/>
        <v>0.19881670533642692</v>
      </c>
      <c r="H70" s="701">
        <f t="shared" si="11"/>
        <v>0.45100000000000001</v>
      </c>
      <c r="I70" s="718">
        <f>[2]Props!$C$64</f>
        <v>19</v>
      </c>
      <c r="J70" s="695">
        <v>43.1</v>
      </c>
      <c r="K70" s="731">
        <v>1.0509219451609799</v>
      </c>
      <c r="L70" s="702">
        <f t="shared" ref="L70:L72" si="13">G70*K70</f>
        <v>0.20894083870265517</v>
      </c>
      <c r="O70" s="695">
        <f t="shared" si="9"/>
        <v>0.95154545454545658</v>
      </c>
    </row>
    <row r="71" spans="1:15" s="695" customFormat="1" ht="29">
      <c r="A71" s="730"/>
      <c r="B71" s="730"/>
      <c r="C71" s="696"/>
      <c r="D71" s="723" t="s">
        <v>270</v>
      </c>
      <c r="E71" s="735" t="s">
        <v>1070</v>
      </c>
      <c r="F71" s="735" t="s">
        <v>1077</v>
      </c>
      <c r="G71" s="698">
        <f t="shared" si="10"/>
        <v>0.19881670533642692</v>
      </c>
      <c r="H71" s="701">
        <f t="shared" si="11"/>
        <v>0.45100000000000001</v>
      </c>
      <c r="I71" s="718">
        <f>[2]Props!$C$64</f>
        <v>19</v>
      </c>
      <c r="J71" s="695">
        <v>43.1</v>
      </c>
      <c r="K71" s="731">
        <v>1.0509219451609799</v>
      </c>
      <c r="L71" s="702">
        <f t="shared" si="13"/>
        <v>0.20894083870265517</v>
      </c>
      <c r="O71" s="695">
        <f t="shared" si="9"/>
        <v>0.95154545454545658</v>
      </c>
    </row>
    <row r="72" spans="1:15" s="695" customFormat="1" ht="29">
      <c r="A72" s="730"/>
      <c r="B72" s="730"/>
      <c r="C72" s="696"/>
      <c r="D72" s="723" t="s">
        <v>295</v>
      </c>
      <c r="E72" s="735" t="s">
        <v>1071</v>
      </c>
      <c r="F72" s="735" t="s">
        <v>1077</v>
      </c>
      <c r="G72" s="698">
        <f t="shared" si="10"/>
        <v>0.16742459396751741</v>
      </c>
      <c r="H72" s="701">
        <f t="shared" si="11"/>
        <v>0.45100000000000001</v>
      </c>
      <c r="I72" s="718">
        <v>16</v>
      </c>
      <c r="J72" s="695">
        <v>43.1</v>
      </c>
      <c r="K72" s="731">
        <v>1.0509219451609799</v>
      </c>
      <c r="L72" s="702">
        <f t="shared" si="13"/>
        <v>0.17595017996013065</v>
      </c>
      <c r="O72" s="695">
        <f t="shared" si="9"/>
        <v>0.95154545454545658</v>
      </c>
    </row>
    <row r="73" spans="1:15" s="695" customFormat="1">
      <c r="A73" s="730"/>
      <c r="B73" s="730"/>
      <c r="C73" s="696"/>
      <c r="D73" s="728" t="s">
        <v>301</v>
      </c>
      <c r="E73" s="738"/>
      <c r="F73" s="738"/>
      <c r="G73" s="698">
        <f>H73/J73*I73</f>
        <v>0.31417169373549886</v>
      </c>
      <c r="H73" s="848">
        <v>0.78</v>
      </c>
      <c r="I73" s="849">
        <v>17.36</v>
      </c>
      <c r="J73" s="695">
        <v>43.1</v>
      </c>
      <c r="K73" s="731">
        <v>1.0509219451609799</v>
      </c>
      <c r="L73" s="702">
        <f>G73*K73</f>
        <v>0.3301699274950301</v>
      </c>
      <c r="O73" s="695">
        <f t="shared" si="9"/>
        <v>0.95154545454545658</v>
      </c>
    </row>
    <row r="74" spans="1:15" s="695" customFormat="1">
      <c r="A74" s="730" t="s">
        <v>22</v>
      </c>
      <c r="B74" s="734" t="s">
        <v>23</v>
      </c>
      <c r="C74" s="696" t="s">
        <v>57</v>
      </c>
      <c r="D74" s="696"/>
      <c r="E74" s="696"/>
      <c r="F74" s="696"/>
      <c r="H74" s="704"/>
      <c r="L74" s="697"/>
    </row>
    <row r="75" spans="1:15" s="695" customFormat="1">
      <c r="A75" s="730"/>
      <c r="B75" s="730"/>
      <c r="C75" s="696"/>
      <c r="D75" s="723" t="s">
        <v>272</v>
      </c>
      <c r="E75" s="735"/>
      <c r="F75" s="735"/>
      <c r="G75" s="698">
        <f>H75/J75*I75</f>
        <v>8.9990719257540611E-2</v>
      </c>
      <c r="H75" s="701">
        <f t="shared" ref="H75:H80" si="14">0.451/2</f>
        <v>0.22550000000000001</v>
      </c>
      <c r="I75" s="699">
        <f>[2]Props!$C$75</f>
        <v>17.2</v>
      </c>
      <c r="J75" s="695">
        <v>43.1</v>
      </c>
      <c r="K75" s="731">
        <v>1.0270373554982324</v>
      </c>
      <c r="L75" s="702">
        <f>G75*K75</f>
        <v>9.2423830325648368E-2</v>
      </c>
      <c r="O75" s="695">
        <f t="shared" si="0"/>
        <v>0.97367441860465131</v>
      </c>
    </row>
    <row r="76" spans="1:15" s="695" customFormat="1">
      <c r="A76" s="730"/>
      <c r="B76" s="730"/>
      <c r="C76" s="696"/>
      <c r="D76" s="723" t="s">
        <v>290</v>
      </c>
      <c r="E76" s="735"/>
      <c r="F76" s="735"/>
      <c r="G76" s="698">
        <f t="shared" ref="G76:G83" si="15">H76/J76*I76</f>
        <v>8.9990719257540611E-2</v>
      </c>
      <c r="H76" s="701">
        <f t="shared" si="14"/>
        <v>0.22550000000000001</v>
      </c>
      <c r="I76" s="699">
        <f>[2]Props!$C$75</f>
        <v>17.2</v>
      </c>
      <c r="J76" s="695">
        <v>43.1</v>
      </c>
      <c r="K76" s="731">
        <v>1.0270373554982324</v>
      </c>
      <c r="L76" s="702">
        <f t="shared" ref="L76:L83" si="16">G76*K76</f>
        <v>9.2423830325648368E-2</v>
      </c>
      <c r="O76" s="695">
        <f t="shared" si="0"/>
        <v>0.97367441860465131</v>
      </c>
    </row>
    <row r="77" spans="1:15" s="695" customFormat="1">
      <c r="A77" s="730"/>
      <c r="B77" s="730"/>
      <c r="C77" s="696"/>
      <c r="D77" s="723" t="s">
        <v>285</v>
      </c>
      <c r="E77" s="736"/>
      <c r="F77" s="736"/>
      <c r="G77" s="698">
        <f t="shared" si="15"/>
        <v>8.9990719257540611E-2</v>
      </c>
      <c r="H77" s="701">
        <f t="shared" si="14"/>
        <v>0.22550000000000001</v>
      </c>
      <c r="I77" s="699">
        <f>[2]Props!$C$75</f>
        <v>17.2</v>
      </c>
      <c r="J77" s="695">
        <v>43.1</v>
      </c>
      <c r="K77" s="731">
        <v>1.0270373554982324</v>
      </c>
      <c r="L77" s="702">
        <f t="shared" si="16"/>
        <v>9.2423830325648368E-2</v>
      </c>
      <c r="O77" s="695">
        <f t="shared" si="0"/>
        <v>0.97367441860465131</v>
      </c>
    </row>
    <row r="78" spans="1:15" s="695" customFormat="1">
      <c r="A78" s="730"/>
      <c r="B78" s="730"/>
      <c r="C78" s="696"/>
      <c r="D78" s="723" t="s">
        <v>292</v>
      </c>
      <c r="E78" s="737"/>
      <c r="F78" s="737"/>
      <c r="G78" s="698">
        <f t="shared" si="15"/>
        <v>8.9990719257540611E-2</v>
      </c>
      <c r="H78" s="701">
        <f>0.451/2</f>
        <v>0.22550000000000001</v>
      </c>
      <c r="I78" s="699">
        <f>[2]Props!$C$75</f>
        <v>17.2</v>
      </c>
      <c r="J78" s="695">
        <v>43.1</v>
      </c>
      <c r="K78" s="731">
        <v>1.0270373554982324</v>
      </c>
      <c r="L78" s="702">
        <f t="shared" si="16"/>
        <v>9.2423830325648368E-2</v>
      </c>
      <c r="O78" s="695">
        <f t="shared" si="0"/>
        <v>0.97367441860465131</v>
      </c>
    </row>
    <row r="79" spans="1:15" s="695" customFormat="1">
      <c r="A79" s="730"/>
      <c r="B79" s="730"/>
      <c r="C79" s="696"/>
      <c r="D79" s="723" t="s">
        <v>274</v>
      </c>
      <c r="E79" s="735"/>
      <c r="F79" s="735"/>
      <c r="G79" s="698">
        <f t="shared" si="15"/>
        <v>8.9990719257540611E-2</v>
      </c>
      <c r="H79" s="701">
        <f>0.451/2</f>
        <v>0.22550000000000001</v>
      </c>
      <c r="I79" s="699">
        <f>[2]Props!$C$75</f>
        <v>17.2</v>
      </c>
      <c r="J79" s="695">
        <v>43.1</v>
      </c>
      <c r="K79" s="731">
        <v>1.0270373554982324</v>
      </c>
      <c r="L79" s="702">
        <f t="shared" si="16"/>
        <v>9.2423830325648368E-2</v>
      </c>
      <c r="O79" s="695">
        <f t="shared" ref="O79:O132" si="17">1/K79</f>
        <v>0.97367441860465131</v>
      </c>
    </row>
    <row r="80" spans="1:15" s="695" customFormat="1">
      <c r="A80" s="730"/>
      <c r="B80" s="730"/>
      <c r="C80" s="696"/>
      <c r="D80" s="723" t="s">
        <v>276</v>
      </c>
      <c r="E80" s="735"/>
      <c r="F80" s="735"/>
      <c r="G80" s="698">
        <f t="shared" si="15"/>
        <v>8.9990719257540611E-2</v>
      </c>
      <c r="H80" s="701">
        <f t="shared" si="14"/>
        <v>0.22550000000000001</v>
      </c>
      <c r="I80" s="699">
        <f>[2]Props!$C$75</f>
        <v>17.2</v>
      </c>
      <c r="J80" s="695">
        <v>43.1</v>
      </c>
      <c r="K80" s="731">
        <v>1.0270373554982324</v>
      </c>
      <c r="L80" s="702">
        <f>G80*K80</f>
        <v>9.2423830325648368E-2</v>
      </c>
      <c r="O80" s="695">
        <f t="shared" si="17"/>
        <v>0.97367441860465131</v>
      </c>
    </row>
    <row r="81" spans="1:15" s="695" customFormat="1" ht="26.25" customHeight="1">
      <c r="A81" s="730"/>
      <c r="B81" s="730"/>
      <c r="C81" s="696"/>
      <c r="D81" s="723" t="s">
        <v>293</v>
      </c>
      <c r="E81" s="735" t="s">
        <v>1069</v>
      </c>
      <c r="F81" s="735" t="s">
        <v>1077</v>
      </c>
      <c r="G81" s="698">
        <f t="shared" si="15"/>
        <v>9.9408352668213462E-2</v>
      </c>
      <c r="H81" s="701">
        <f>0.451/2</f>
        <v>0.22550000000000001</v>
      </c>
      <c r="I81" s="718">
        <f>[2]Props!$C$64</f>
        <v>19</v>
      </c>
      <c r="J81" s="695">
        <v>43.1</v>
      </c>
      <c r="K81" s="731">
        <v>1.0270373554982324</v>
      </c>
      <c r="L81" s="702">
        <f t="shared" si="16"/>
        <v>0.10209609163879761</v>
      </c>
      <c r="O81" s="695">
        <f t="shared" si="17"/>
        <v>0.97367441860465131</v>
      </c>
    </row>
    <row r="82" spans="1:15" s="695" customFormat="1" ht="29.25" customHeight="1">
      <c r="A82" s="730"/>
      <c r="B82" s="730"/>
      <c r="C82" s="696"/>
      <c r="D82" s="723" t="s">
        <v>270</v>
      </c>
      <c r="E82" s="735" t="s">
        <v>1070</v>
      </c>
      <c r="F82" s="735" t="s">
        <v>1077</v>
      </c>
      <c r="G82" s="698">
        <f t="shared" si="15"/>
        <v>9.9408352668213462E-2</v>
      </c>
      <c r="H82" s="701">
        <f t="shared" ref="H82" si="18">0.451/2</f>
        <v>0.22550000000000001</v>
      </c>
      <c r="I82" s="718">
        <f>[2]Props!$C$64</f>
        <v>19</v>
      </c>
      <c r="J82" s="695">
        <v>43.1</v>
      </c>
      <c r="K82" s="731">
        <v>1.0270373554982324</v>
      </c>
      <c r="L82" s="702">
        <f t="shared" si="16"/>
        <v>0.10209609163879761</v>
      </c>
      <c r="O82" s="695">
        <f t="shared" si="17"/>
        <v>0.97367441860465131</v>
      </c>
    </row>
    <row r="83" spans="1:15" s="695" customFormat="1" ht="30.75" customHeight="1">
      <c r="A83" s="730"/>
      <c r="B83" s="730"/>
      <c r="C83" s="696"/>
      <c r="D83" s="723" t="s">
        <v>295</v>
      </c>
      <c r="E83" s="735" t="s">
        <v>1071</v>
      </c>
      <c r="F83" s="735" t="s">
        <v>1077</v>
      </c>
      <c r="G83" s="698">
        <f t="shared" si="15"/>
        <v>8.3712296983758705E-2</v>
      </c>
      <c r="H83" s="701">
        <f>0.451/2</f>
        <v>0.22550000000000001</v>
      </c>
      <c r="I83" s="718">
        <v>16</v>
      </c>
      <c r="J83" s="695">
        <v>43.1</v>
      </c>
      <c r="K83" s="731">
        <v>1.0270373554982324</v>
      </c>
      <c r="L83" s="702">
        <f t="shared" si="16"/>
        <v>8.5975656116882196E-2</v>
      </c>
      <c r="O83" s="695">
        <f t="shared" si="17"/>
        <v>0.97367441860465131</v>
      </c>
    </row>
    <row r="84" spans="1:15" s="695" customFormat="1">
      <c r="A84" s="730"/>
      <c r="B84" s="730"/>
      <c r="C84" s="696"/>
      <c r="D84" s="728" t="s">
        <v>301</v>
      </c>
      <c r="E84" s="738"/>
      <c r="F84" s="738"/>
      <c r="G84" s="698">
        <f>H84/J84*I84</f>
        <v>0.15708584686774943</v>
      </c>
      <c r="H84" s="848">
        <f>0.78/2</f>
        <v>0.39</v>
      </c>
      <c r="I84" s="849">
        <v>17.36</v>
      </c>
      <c r="J84" s="695">
        <v>43.1</v>
      </c>
      <c r="K84" s="731">
        <v>1.0270373554982324</v>
      </c>
      <c r="L84" s="702">
        <f>G84*K84</f>
        <v>0.16133303275325367</v>
      </c>
      <c r="O84" s="695">
        <f t="shared" si="17"/>
        <v>0.97367441860465131</v>
      </c>
    </row>
    <row r="85" spans="1:15" s="695" customFormat="1">
      <c r="A85" s="730"/>
      <c r="B85" s="730"/>
      <c r="C85" s="696"/>
      <c r="D85" s="696"/>
      <c r="E85" s="696"/>
      <c r="F85" s="696"/>
      <c r="G85" s="695">
        <f>0.2</f>
        <v>0.2</v>
      </c>
      <c r="H85" s="704"/>
      <c r="L85" s="697"/>
    </row>
    <row r="86" spans="1:15" s="695" customFormat="1">
      <c r="A86" s="695">
        <v>12</v>
      </c>
      <c r="B86" s="716" t="s">
        <v>26</v>
      </c>
      <c r="C86" s="719" t="s">
        <v>49</v>
      </c>
      <c r="D86" s="739" t="s">
        <v>302</v>
      </c>
      <c r="E86" s="719" t="s">
        <v>1194</v>
      </c>
      <c r="F86" s="719"/>
      <c r="G86" s="698">
        <f>'conversion factors'!D27</f>
        <v>0.47169811320754712</v>
      </c>
      <c r="H86" s="704"/>
      <c r="K86" s="698">
        <f>'conversion factors'!E27</f>
        <v>0.64488392089423896</v>
      </c>
      <c r="L86" s="702">
        <f>G86*K86</f>
        <v>0.30419052872369762</v>
      </c>
      <c r="O86" s="695">
        <f t="shared" si="17"/>
        <v>1.5506666666666669</v>
      </c>
    </row>
    <row r="87" spans="1:15" s="695" customFormat="1">
      <c r="D87" s="739" t="s">
        <v>302</v>
      </c>
      <c r="E87" s="719" t="s">
        <v>1196</v>
      </c>
      <c r="F87" s="719" t="s">
        <v>1072</v>
      </c>
      <c r="G87" s="927">
        <f>'conversion factors'!D28</f>
        <v>0.28301886792452824</v>
      </c>
      <c r="H87" s="704"/>
      <c r="I87" s="712">
        <v>27</v>
      </c>
      <c r="J87" s="712">
        <v>43.1</v>
      </c>
      <c r="K87" s="698">
        <f>'conversion factors'!E28</f>
        <v>0.64488392089423896</v>
      </c>
      <c r="L87" s="702">
        <f>G87*K87</f>
        <v>0.18251431723421854</v>
      </c>
      <c r="O87" s="695">
        <f t="shared" si="17"/>
        <v>1.5506666666666669</v>
      </c>
    </row>
    <row r="88" spans="1:15" s="695" customFormat="1">
      <c r="A88" s="730" t="s">
        <v>27</v>
      </c>
      <c r="B88" s="716" t="s">
        <v>28</v>
      </c>
      <c r="C88" s="696" t="s">
        <v>60</v>
      </c>
      <c r="D88" s="696"/>
      <c r="E88" s="696" t="s">
        <v>1063</v>
      </c>
      <c r="F88" s="710"/>
      <c r="H88" s="704"/>
      <c r="L88" s="697"/>
    </row>
    <row r="89" spans="1:15" s="695" customFormat="1">
      <c r="A89" s="730"/>
      <c r="B89" s="716"/>
      <c r="C89" s="696"/>
      <c r="D89" s="723" t="s">
        <v>272</v>
      </c>
      <c r="E89" s="696"/>
      <c r="F89" s="710"/>
      <c r="G89" s="698">
        <f>'conversion factors'!$D$29</f>
        <v>0.27123986095017383</v>
      </c>
      <c r="H89" s="704">
        <v>0.62</v>
      </c>
      <c r="I89" s="699">
        <f>[2]Props!$C$75</f>
        <v>17.2</v>
      </c>
      <c r="J89" s="705">
        <f>[2]Props!$C$31</f>
        <v>43.189869403726696</v>
      </c>
      <c r="K89" s="695">
        <v>1</v>
      </c>
      <c r="L89" s="702">
        <f t="shared" ref="L89:L93" si="19">G89*K89</f>
        <v>0.27123986095017383</v>
      </c>
      <c r="O89" s="695">
        <f t="shared" si="17"/>
        <v>1</v>
      </c>
    </row>
    <row r="90" spans="1:15" s="695" customFormat="1">
      <c r="A90" s="730"/>
      <c r="B90" s="716"/>
      <c r="C90" s="696"/>
      <c r="D90" s="723" t="s">
        <v>290</v>
      </c>
      <c r="E90" s="696"/>
      <c r="F90" s="710"/>
      <c r="G90" s="698">
        <f>'conversion factors'!$D$29</f>
        <v>0.27123986095017383</v>
      </c>
      <c r="H90" s="704">
        <v>0.62</v>
      </c>
      <c r="I90" s="699">
        <f>[2]Props!$C$75</f>
        <v>17.2</v>
      </c>
      <c r="J90" s="705">
        <f>[2]Props!$C$31</f>
        <v>43.189869403726696</v>
      </c>
      <c r="K90" s="695">
        <v>1</v>
      </c>
      <c r="L90" s="702">
        <f t="shared" si="19"/>
        <v>0.27123986095017383</v>
      </c>
      <c r="O90" s="695">
        <f t="shared" si="17"/>
        <v>1</v>
      </c>
    </row>
    <row r="91" spans="1:15" s="695" customFormat="1">
      <c r="A91" s="730"/>
      <c r="B91" s="716"/>
      <c r="C91" s="696"/>
      <c r="D91" s="723" t="s">
        <v>292</v>
      </c>
      <c r="E91" s="696"/>
      <c r="F91" s="710"/>
      <c r="G91" s="698">
        <f>'conversion factors'!$D$29</f>
        <v>0.27123986095017383</v>
      </c>
      <c r="H91" s="704">
        <v>0.62</v>
      </c>
      <c r="I91" s="699">
        <f>[2]Props!$C$75</f>
        <v>17.2</v>
      </c>
      <c r="J91" s="705">
        <f>[2]Props!$C$31</f>
        <v>43.189869403726696</v>
      </c>
      <c r="K91" s="695">
        <v>1</v>
      </c>
      <c r="L91" s="702">
        <f t="shared" si="19"/>
        <v>0.27123986095017383</v>
      </c>
      <c r="O91" s="695">
        <f t="shared" si="17"/>
        <v>1</v>
      </c>
    </row>
    <row r="92" spans="1:15" s="695" customFormat="1">
      <c r="A92" s="730"/>
      <c r="B92" s="716"/>
      <c r="C92" s="696"/>
      <c r="D92" s="723" t="s">
        <v>274</v>
      </c>
      <c r="E92" s="696"/>
      <c r="F92" s="710"/>
      <c r="G92" s="698">
        <f>'conversion factors'!$D$29</f>
        <v>0.27123986095017383</v>
      </c>
      <c r="H92" s="704">
        <v>0.62</v>
      </c>
      <c r="I92" s="699">
        <f>[2]Props!$C$75</f>
        <v>17.2</v>
      </c>
      <c r="J92" s="705">
        <f>[2]Props!$C$31</f>
        <v>43.189869403726696</v>
      </c>
      <c r="K92" s="695">
        <v>1</v>
      </c>
      <c r="L92" s="702">
        <f t="shared" si="19"/>
        <v>0.27123986095017383</v>
      </c>
      <c r="O92" s="695">
        <f t="shared" si="17"/>
        <v>1</v>
      </c>
    </row>
    <row r="93" spans="1:15" s="695" customFormat="1">
      <c r="A93" s="730"/>
      <c r="B93" s="716"/>
      <c r="C93" s="696"/>
      <c r="D93" s="723" t="s">
        <v>276</v>
      </c>
      <c r="E93" s="696"/>
      <c r="F93" s="710"/>
      <c r="G93" s="698">
        <f>'conversion factors'!$D$29</f>
        <v>0.27123986095017383</v>
      </c>
      <c r="H93" s="704">
        <v>0.62</v>
      </c>
      <c r="I93" s="699">
        <f>[2]Props!$C$75</f>
        <v>17.2</v>
      </c>
      <c r="J93" s="705">
        <f>[2]Props!$C$31</f>
        <v>43.189869403726696</v>
      </c>
      <c r="K93" s="695">
        <v>1</v>
      </c>
      <c r="L93" s="702">
        <f t="shared" si="19"/>
        <v>0.27123986095017383</v>
      </c>
      <c r="O93" s="695">
        <f t="shared" si="17"/>
        <v>1</v>
      </c>
    </row>
    <row r="94" spans="1:15" s="695" customFormat="1">
      <c r="A94" s="730"/>
      <c r="B94" s="716"/>
      <c r="C94" s="696"/>
      <c r="D94" s="723" t="s">
        <v>293</v>
      </c>
      <c r="E94" s="696"/>
      <c r="F94" s="710"/>
      <c r="G94" s="698">
        <f>'conversion factors'!$D$29</f>
        <v>0.27123986095017383</v>
      </c>
      <c r="H94" s="704">
        <v>0.62</v>
      </c>
      <c r="I94" s="718">
        <f>[2]Props!$C$64</f>
        <v>19</v>
      </c>
      <c r="J94" s="705">
        <f>[2]Props!$C$31</f>
        <v>43.189869403726696</v>
      </c>
      <c r="K94" s="695">
        <v>1</v>
      </c>
      <c r="L94" s="702">
        <f>G94*K94</f>
        <v>0.27123986095017383</v>
      </c>
      <c r="O94" s="695">
        <f t="shared" si="17"/>
        <v>1</v>
      </c>
    </row>
    <row r="95" spans="1:15" s="695" customFormat="1">
      <c r="A95" s="730"/>
      <c r="B95" s="716"/>
      <c r="C95" s="696"/>
      <c r="D95" s="723" t="s">
        <v>270</v>
      </c>
      <c r="E95" s="696"/>
      <c r="F95" s="710"/>
      <c r="G95" s="698">
        <f>'conversion factors'!$D$29</f>
        <v>0.27123986095017383</v>
      </c>
      <c r="H95" s="704">
        <v>0.62</v>
      </c>
      <c r="I95" s="718">
        <f>[2]Props!$C$64</f>
        <v>19</v>
      </c>
      <c r="J95" s="705">
        <f>[2]Props!$C$31</f>
        <v>43.189869403726696</v>
      </c>
      <c r="K95" s="695">
        <v>1</v>
      </c>
      <c r="L95" s="702">
        <f t="shared" ref="L95:L96" si="20">G95*K95</f>
        <v>0.27123986095017383</v>
      </c>
      <c r="O95" s="695">
        <f t="shared" si="17"/>
        <v>1</v>
      </c>
    </row>
    <row r="96" spans="1:15" s="695" customFormat="1">
      <c r="A96" s="730"/>
      <c r="B96" s="716"/>
      <c r="C96" s="696"/>
      <c r="D96" s="723" t="s">
        <v>295</v>
      </c>
      <c r="E96" s="696"/>
      <c r="F96" s="710"/>
      <c r="G96" s="698">
        <f>'conversion factors'!$D$29</f>
        <v>0.27123986095017383</v>
      </c>
      <c r="H96" s="704">
        <v>0.62</v>
      </c>
      <c r="I96" s="718">
        <f>[2]Props!$C$64</f>
        <v>19</v>
      </c>
      <c r="J96" s="705">
        <f>[2]Props!$C$31</f>
        <v>43.189869403726696</v>
      </c>
      <c r="K96" s="695">
        <v>1</v>
      </c>
      <c r="L96" s="702">
        <f t="shared" si="20"/>
        <v>0.27123986095017383</v>
      </c>
      <c r="O96" s="695">
        <f t="shared" si="17"/>
        <v>1</v>
      </c>
    </row>
    <row r="97" spans="1:15" s="695" customFormat="1">
      <c r="A97" s="730" t="s">
        <v>27</v>
      </c>
      <c r="B97" s="716" t="s">
        <v>28</v>
      </c>
      <c r="C97" s="696" t="s">
        <v>61</v>
      </c>
      <c r="D97" s="696"/>
      <c r="E97" s="696" t="s">
        <v>1064</v>
      </c>
      <c r="F97" s="710"/>
      <c r="G97" s="698"/>
      <c r="H97" s="704"/>
      <c r="L97" s="697"/>
    </row>
    <row r="98" spans="1:15" s="695" customFormat="1">
      <c r="A98" s="730"/>
      <c r="B98" s="716"/>
      <c r="C98" s="696"/>
      <c r="D98" s="723" t="s">
        <v>272</v>
      </c>
      <c r="E98" s="696"/>
      <c r="F98" s="710"/>
      <c r="G98" s="698">
        <f>'conversion factors'!$D$29</f>
        <v>0.27123986095017383</v>
      </c>
      <c r="H98" s="704">
        <v>0.62</v>
      </c>
      <c r="I98" s="699">
        <f>[2]Props!$C$75</f>
        <v>17.2</v>
      </c>
      <c r="J98" s="705">
        <f>[2]Props!$C$32</f>
        <v>43.126330130588812</v>
      </c>
      <c r="K98" s="695">
        <v>1</v>
      </c>
      <c r="L98" s="702">
        <f>G98*K98</f>
        <v>0.27123986095017383</v>
      </c>
      <c r="O98" s="695">
        <f t="shared" si="17"/>
        <v>1</v>
      </c>
    </row>
    <row r="99" spans="1:15" s="695" customFormat="1">
      <c r="A99" s="730"/>
      <c r="B99" s="716"/>
      <c r="C99" s="696"/>
      <c r="D99" s="723" t="s">
        <v>290</v>
      </c>
      <c r="E99" s="696"/>
      <c r="F99" s="710"/>
      <c r="G99" s="698">
        <f>'conversion factors'!$D$29</f>
        <v>0.27123986095017383</v>
      </c>
      <c r="H99" s="704">
        <v>0.62</v>
      </c>
      <c r="I99" s="699">
        <f>[2]Props!$C$75</f>
        <v>17.2</v>
      </c>
      <c r="J99" s="705">
        <f>[2]Props!$C$32</f>
        <v>43.126330130588812</v>
      </c>
      <c r="K99" s="695">
        <v>1</v>
      </c>
      <c r="L99" s="702">
        <f t="shared" ref="L99:L102" si="21">G99*K99</f>
        <v>0.27123986095017383</v>
      </c>
      <c r="O99" s="695">
        <f t="shared" si="17"/>
        <v>1</v>
      </c>
    </row>
    <row r="100" spans="1:15" s="695" customFormat="1">
      <c r="A100" s="730"/>
      <c r="B100" s="716"/>
      <c r="C100" s="696"/>
      <c r="D100" s="723" t="s">
        <v>292</v>
      </c>
      <c r="E100" s="696"/>
      <c r="F100" s="710"/>
      <c r="G100" s="698">
        <f>'conversion factors'!$D$29</f>
        <v>0.27123986095017383</v>
      </c>
      <c r="H100" s="704">
        <v>0.62</v>
      </c>
      <c r="I100" s="699">
        <f>[2]Props!$C$75</f>
        <v>17.2</v>
      </c>
      <c r="J100" s="705">
        <f>[2]Props!$C$32</f>
        <v>43.126330130588812</v>
      </c>
      <c r="K100" s="695">
        <v>1</v>
      </c>
      <c r="L100" s="702">
        <f t="shared" si="21"/>
        <v>0.27123986095017383</v>
      </c>
      <c r="O100" s="695">
        <f t="shared" si="17"/>
        <v>1</v>
      </c>
    </row>
    <row r="101" spans="1:15" s="695" customFormat="1">
      <c r="A101" s="730"/>
      <c r="B101" s="716"/>
      <c r="C101" s="696"/>
      <c r="D101" s="723" t="s">
        <v>274</v>
      </c>
      <c r="E101" s="696"/>
      <c r="F101" s="710"/>
      <c r="G101" s="698">
        <f>'conversion factors'!$D$29</f>
        <v>0.27123986095017383</v>
      </c>
      <c r="H101" s="704">
        <v>0.62</v>
      </c>
      <c r="I101" s="699">
        <f>[2]Props!$C$75</f>
        <v>17.2</v>
      </c>
      <c r="J101" s="705">
        <f>[2]Props!$C$32</f>
        <v>43.126330130588812</v>
      </c>
      <c r="K101" s="695">
        <v>1</v>
      </c>
      <c r="L101" s="702">
        <f>G101*K101</f>
        <v>0.27123986095017383</v>
      </c>
      <c r="O101" s="695">
        <f t="shared" si="17"/>
        <v>1</v>
      </c>
    </row>
    <row r="102" spans="1:15" s="695" customFormat="1">
      <c r="A102" s="730"/>
      <c r="B102" s="716"/>
      <c r="C102" s="696"/>
      <c r="D102" s="723" t="s">
        <v>276</v>
      </c>
      <c r="E102" s="696"/>
      <c r="F102" s="710"/>
      <c r="G102" s="698">
        <f>'conversion factors'!$D$29</f>
        <v>0.27123986095017383</v>
      </c>
      <c r="H102" s="704">
        <v>0.62</v>
      </c>
      <c r="I102" s="699">
        <f>[2]Props!$C$75</f>
        <v>17.2</v>
      </c>
      <c r="J102" s="705">
        <f>[2]Props!$C$32</f>
        <v>43.126330130588812</v>
      </c>
      <c r="K102" s="695">
        <v>1</v>
      </c>
      <c r="L102" s="702">
        <f t="shared" si="21"/>
        <v>0.27123986095017383</v>
      </c>
      <c r="O102" s="695">
        <f t="shared" si="17"/>
        <v>1</v>
      </c>
    </row>
    <row r="103" spans="1:15" s="695" customFormat="1">
      <c r="A103" s="730"/>
      <c r="B103" s="716"/>
      <c r="C103" s="696"/>
      <c r="D103" s="723" t="s">
        <v>293</v>
      </c>
      <c r="E103" s="696"/>
      <c r="F103" s="695" t="s">
        <v>1078</v>
      </c>
      <c r="G103" s="698">
        <f>'conversion factors'!$D$29</f>
        <v>0.27123986095017383</v>
      </c>
      <c r="H103" s="704">
        <v>0.62</v>
      </c>
      <c r="I103" s="718">
        <f>[2]Props!$C$64</f>
        <v>19</v>
      </c>
      <c r="J103" s="705">
        <f>[2]Props!$C$32</f>
        <v>43.126330130588812</v>
      </c>
      <c r="K103" s="695">
        <v>1</v>
      </c>
      <c r="L103" s="702">
        <f>G103*K103</f>
        <v>0.27123986095017383</v>
      </c>
      <c r="O103" s="695">
        <f t="shared" si="17"/>
        <v>1</v>
      </c>
    </row>
    <row r="104" spans="1:15" s="695" customFormat="1">
      <c r="A104" s="730"/>
      <c r="B104" s="716"/>
      <c r="C104" s="696"/>
      <c r="D104" s="723" t="s">
        <v>270</v>
      </c>
      <c r="E104" s="696"/>
      <c r="F104" s="695" t="s">
        <v>1074</v>
      </c>
      <c r="G104" s="698">
        <f>'conversion factors'!$D$29</f>
        <v>0.27123986095017383</v>
      </c>
      <c r="H104" s="704">
        <v>0.62</v>
      </c>
      <c r="I104" s="718">
        <f>[2]Props!$C$64</f>
        <v>19</v>
      </c>
      <c r="J104" s="705">
        <f>[2]Props!$C$32</f>
        <v>43.126330130588812</v>
      </c>
      <c r="K104" s="695">
        <v>1</v>
      </c>
      <c r="L104" s="702">
        <f t="shared" ref="L104:L105" si="22">G104*K104</f>
        <v>0.27123986095017383</v>
      </c>
      <c r="O104" s="695">
        <f t="shared" si="17"/>
        <v>1</v>
      </c>
    </row>
    <row r="105" spans="1:15" s="695" customFormat="1">
      <c r="A105" s="730"/>
      <c r="B105" s="716"/>
      <c r="C105" s="696"/>
      <c r="D105" s="723" t="s">
        <v>295</v>
      </c>
      <c r="E105" s="696"/>
      <c r="F105" s="695" t="s">
        <v>1075</v>
      </c>
      <c r="G105" s="698">
        <f>'conversion factors'!$D$29</f>
        <v>0.27123986095017383</v>
      </c>
      <c r="H105" s="704">
        <v>0.62</v>
      </c>
      <c r="I105" s="718">
        <f>[2]Props!$C$64</f>
        <v>19</v>
      </c>
      <c r="J105" s="705">
        <f>[2]Props!$C$32</f>
        <v>43.126330130588812</v>
      </c>
      <c r="K105" s="695">
        <v>1</v>
      </c>
      <c r="L105" s="702">
        <f t="shared" si="22"/>
        <v>0.27123986095017383</v>
      </c>
      <c r="O105" s="695">
        <f t="shared" si="17"/>
        <v>1</v>
      </c>
    </row>
    <row r="106" spans="1:15" s="695" customFormat="1">
      <c r="A106" s="730" t="s">
        <v>27</v>
      </c>
      <c r="B106" s="716" t="s">
        <v>28</v>
      </c>
      <c r="C106" s="740" t="s">
        <v>100</v>
      </c>
      <c r="D106" s="740"/>
      <c r="E106" s="740"/>
      <c r="F106" s="741"/>
      <c r="H106" s="704"/>
      <c r="L106" s="697"/>
    </row>
    <row r="107" spans="1:15" s="695" customFormat="1">
      <c r="A107" s="730"/>
      <c r="B107" s="716"/>
      <c r="C107" s="740"/>
      <c r="D107" s="723" t="s">
        <v>272</v>
      </c>
      <c r="E107" s="740"/>
      <c r="F107" s="710"/>
      <c r="G107" s="698">
        <f>H107/J107*I107/3</f>
        <v>8.2474864655839128E-2</v>
      </c>
      <c r="H107" s="704">
        <v>0.62</v>
      </c>
      <c r="I107" s="699">
        <f>[2]Props!$C$75</f>
        <v>17.2</v>
      </c>
      <c r="J107" s="695">
        <v>43.1</v>
      </c>
      <c r="K107" s="695">
        <v>1</v>
      </c>
      <c r="L107" s="702">
        <f>G107*K107</f>
        <v>8.2474864655839128E-2</v>
      </c>
      <c r="O107" s="695">
        <f t="shared" si="17"/>
        <v>1</v>
      </c>
    </row>
    <row r="108" spans="1:15" s="695" customFormat="1">
      <c r="A108" s="730"/>
      <c r="B108" s="716"/>
      <c r="C108" s="740"/>
      <c r="D108" s="723" t="s">
        <v>290</v>
      </c>
      <c r="E108" s="740"/>
      <c r="F108" s="740"/>
      <c r="G108" s="698">
        <f t="shared" ref="G108:G114" si="23">H108/J108*I108/3</f>
        <v>8.2474864655839128E-2</v>
      </c>
      <c r="H108" s="704">
        <v>0.62</v>
      </c>
      <c r="I108" s="699">
        <f>[2]Props!$C$75</f>
        <v>17.2</v>
      </c>
      <c r="J108" s="695">
        <v>43.1</v>
      </c>
      <c r="K108" s="695">
        <v>1</v>
      </c>
      <c r="L108" s="702">
        <f t="shared" ref="L108:L132" si="24">G108*K108</f>
        <v>8.2474864655839128E-2</v>
      </c>
      <c r="O108" s="695">
        <f t="shared" si="17"/>
        <v>1</v>
      </c>
    </row>
    <row r="109" spans="1:15" s="695" customFormat="1">
      <c r="A109" s="730"/>
      <c r="B109" s="716"/>
      <c r="C109" s="740"/>
      <c r="D109" s="723" t="s">
        <v>292</v>
      </c>
      <c r="E109" s="740"/>
      <c r="F109" s="740"/>
      <c r="G109" s="698">
        <f t="shared" si="23"/>
        <v>8.2474864655839128E-2</v>
      </c>
      <c r="H109" s="704">
        <v>0.62</v>
      </c>
      <c r="I109" s="699">
        <f>[2]Props!$C$75</f>
        <v>17.2</v>
      </c>
      <c r="J109" s="695">
        <v>43.1</v>
      </c>
      <c r="K109" s="695">
        <v>1</v>
      </c>
      <c r="L109" s="702">
        <f t="shared" si="24"/>
        <v>8.2474864655839128E-2</v>
      </c>
      <c r="O109" s="695">
        <f t="shared" si="17"/>
        <v>1</v>
      </c>
    </row>
    <row r="110" spans="1:15" s="695" customFormat="1">
      <c r="A110" s="730"/>
      <c r="B110" s="716"/>
      <c r="C110" s="740"/>
      <c r="D110" s="723" t="s">
        <v>274</v>
      </c>
      <c r="E110" s="740"/>
      <c r="F110" s="740"/>
      <c r="G110" s="698">
        <f t="shared" si="23"/>
        <v>8.2474864655839128E-2</v>
      </c>
      <c r="H110" s="704">
        <v>0.62</v>
      </c>
      <c r="I110" s="699">
        <f>[2]Props!$C$75</f>
        <v>17.2</v>
      </c>
      <c r="J110" s="695">
        <v>43.1</v>
      </c>
      <c r="K110" s="695">
        <v>1</v>
      </c>
      <c r="L110" s="702">
        <f>G110*K110</f>
        <v>8.2474864655839128E-2</v>
      </c>
      <c r="O110" s="695">
        <f t="shared" si="17"/>
        <v>1</v>
      </c>
    </row>
    <row r="111" spans="1:15" s="695" customFormat="1">
      <c r="A111" s="730"/>
      <c r="B111" s="716"/>
      <c r="C111" s="740"/>
      <c r="D111" s="723" t="s">
        <v>276</v>
      </c>
      <c r="E111" s="740"/>
      <c r="F111" s="740"/>
      <c r="G111" s="698">
        <f t="shared" si="23"/>
        <v>8.2474864655839128E-2</v>
      </c>
      <c r="H111" s="704">
        <v>0.62</v>
      </c>
      <c r="I111" s="699">
        <f>[2]Props!$C$75</f>
        <v>17.2</v>
      </c>
      <c r="J111" s="695">
        <v>43.1</v>
      </c>
      <c r="K111" s="695">
        <v>1</v>
      </c>
      <c r="L111" s="702">
        <f t="shared" si="24"/>
        <v>8.2474864655839128E-2</v>
      </c>
      <c r="O111" s="695">
        <f t="shared" si="17"/>
        <v>1</v>
      </c>
    </row>
    <row r="112" spans="1:15" s="695" customFormat="1">
      <c r="A112" s="730"/>
      <c r="B112" s="716"/>
      <c r="C112" s="740"/>
      <c r="D112" s="723" t="s">
        <v>293</v>
      </c>
      <c r="E112" s="740"/>
      <c r="F112" s="740"/>
      <c r="G112" s="698">
        <f t="shared" si="23"/>
        <v>9.1105955143078107E-2</v>
      </c>
      <c r="H112" s="704">
        <v>0.62</v>
      </c>
      <c r="I112" s="718">
        <f>[2]Props!$C$64</f>
        <v>19</v>
      </c>
      <c r="J112" s="695">
        <v>43.1</v>
      </c>
      <c r="K112" s="695">
        <v>1</v>
      </c>
      <c r="L112" s="702">
        <f t="shared" si="24"/>
        <v>9.1105955143078107E-2</v>
      </c>
      <c r="O112" s="695">
        <f t="shared" si="17"/>
        <v>1</v>
      </c>
    </row>
    <row r="113" spans="1:15" s="695" customFormat="1">
      <c r="A113" s="730"/>
      <c r="B113" s="716"/>
      <c r="C113" s="740"/>
      <c r="D113" s="723" t="s">
        <v>270</v>
      </c>
      <c r="E113" s="740"/>
      <c r="F113" s="740"/>
      <c r="G113" s="698">
        <f t="shared" si="23"/>
        <v>9.1105955143078107E-2</v>
      </c>
      <c r="H113" s="704">
        <v>0.62</v>
      </c>
      <c r="I113" s="718">
        <f>[2]Props!$C$64</f>
        <v>19</v>
      </c>
      <c r="J113" s="695">
        <v>43.1</v>
      </c>
      <c r="K113" s="695">
        <v>1</v>
      </c>
      <c r="L113" s="702">
        <f t="shared" si="24"/>
        <v>9.1105955143078107E-2</v>
      </c>
      <c r="O113" s="695">
        <f t="shared" si="17"/>
        <v>1</v>
      </c>
    </row>
    <row r="114" spans="1:15" s="695" customFormat="1">
      <c r="A114" s="730"/>
      <c r="B114" s="716"/>
      <c r="C114" s="740"/>
      <c r="D114" s="723" t="s">
        <v>295</v>
      </c>
      <c r="E114" s="740"/>
      <c r="F114" s="740"/>
      <c r="G114" s="698">
        <f t="shared" si="23"/>
        <v>9.1105955143078107E-2</v>
      </c>
      <c r="H114" s="704">
        <v>0.62</v>
      </c>
      <c r="I114" s="718">
        <f>[2]Props!$C$64</f>
        <v>19</v>
      </c>
      <c r="J114" s="695">
        <v>43.1</v>
      </c>
      <c r="K114" s="695">
        <v>1</v>
      </c>
      <c r="L114" s="702">
        <f t="shared" si="24"/>
        <v>9.1105955143078107E-2</v>
      </c>
      <c r="O114" s="695">
        <f t="shared" si="17"/>
        <v>1</v>
      </c>
    </row>
    <row r="115" spans="1:15" s="695" customFormat="1">
      <c r="A115" s="730" t="s">
        <v>29</v>
      </c>
      <c r="B115" s="716" t="s">
        <v>30</v>
      </c>
      <c r="C115" s="740" t="s">
        <v>239</v>
      </c>
      <c r="D115" s="723"/>
      <c r="E115" s="740"/>
      <c r="F115" s="740"/>
      <c r="G115" s="698"/>
      <c r="H115" s="704"/>
      <c r="I115" s="718"/>
      <c r="L115" s="702"/>
    </row>
    <row r="116" spans="1:15" s="695" customFormat="1">
      <c r="A116" s="730"/>
      <c r="B116" s="716"/>
      <c r="C116" s="740"/>
      <c r="D116" s="723" t="s">
        <v>272</v>
      </c>
      <c r="E116" s="740"/>
      <c r="F116" s="740"/>
      <c r="G116" s="698">
        <f>'conversion factors'!$D$31</f>
        <v>0.27123986095017383</v>
      </c>
      <c r="H116" s="704"/>
      <c r="I116" s="718"/>
      <c r="K116" s="695">
        <v>1</v>
      </c>
      <c r="L116" s="702">
        <f>'conversion factors'!F31</f>
        <v>0.27123986095017383</v>
      </c>
      <c r="O116" s="695">
        <f t="shared" si="17"/>
        <v>1</v>
      </c>
    </row>
    <row r="117" spans="1:15" s="695" customFormat="1">
      <c r="A117" s="730"/>
      <c r="B117" s="716"/>
      <c r="C117" s="740"/>
      <c r="D117" s="723" t="s">
        <v>290</v>
      </c>
      <c r="E117" s="740"/>
      <c r="F117" s="740"/>
      <c r="G117" s="698">
        <f>'conversion factors'!$D$31</f>
        <v>0.27123986095017383</v>
      </c>
      <c r="H117" s="704"/>
      <c r="I117" s="718"/>
      <c r="K117" s="695">
        <v>1</v>
      </c>
      <c r="L117" s="702"/>
      <c r="O117" s="695">
        <f t="shared" si="17"/>
        <v>1</v>
      </c>
    </row>
    <row r="118" spans="1:15" s="695" customFormat="1">
      <c r="A118" s="730"/>
      <c r="B118" s="716"/>
      <c r="C118" s="740"/>
      <c r="D118" s="694" t="s">
        <v>292</v>
      </c>
      <c r="E118" s="740"/>
      <c r="F118" s="740"/>
      <c r="G118" s="698">
        <f>'conversion factors'!$D$31</f>
        <v>0.27123986095017383</v>
      </c>
      <c r="H118" s="704"/>
      <c r="I118" s="718"/>
      <c r="K118" s="695">
        <v>1</v>
      </c>
      <c r="L118" s="702"/>
      <c r="O118" s="695">
        <f t="shared" si="17"/>
        <v>1</v>
      </c>
    </row>
    <row r="119" spans="1:15" s="695" customFormat="1">
      <c r="A119" s="730"/>
      <c r="B119" s="716"/>
      <c r="C119" s="740"/>
      <c r="D119" s="551" t="s">
        <v>274</v>
      </c>
      <c r="E119" s="740"/>
      <c r="F119" s="740"/>
      <c r="G119" s="698">
        <f>'conversion factors'!$D$31</f>
        <v>0.27123986095017383</v>
      </c>
      <c r="H119" s="704"/>
      <c r="I119" s="718"/>
      <c r="K119" s="695">
        <v>1</v>
      </c>
      <c r="L119" s="702"/>
      <c r="O119" s="695">
        <f t="shared" si="17"/>
        <v>1</v>
      </c>
    </row>
    <row r="120" spans="1:15" s="695" customFormat="1">
      <c r="A120" s="730"/>
      <c r="B120" s="716"/>
      <c r="C120" s="740"/>
      <c r="D120" s="551" t="s">
        <v>276</v>
      </c>
      <c r="E120" s="740"/>
      <c r="F120" s="740"/>
      <c r="G120" s="698">
        <f>'conversion factors'!$D$31</f>
        <v>0.27123986095017383</v>
      </c>
      <c r="H120" s="704"/>
      <c r="I120" s="718"/>
      <c r="K120" s="695">
        <v>1</v>
      </c>
      <c r="L120" s="702"/>
      <c r="O120" s="695">
        <f t="shared" si="17"/>
        <v>1</v>
      </c>
    </row>
    <row r="121" spans="1:15" s="695" customFormat="1">
      <c r="A121" s="730"/>
      <c r="B121" s="716"/>
      <c r="C121" s="740"/>
      <c r="D121" s="551" t="s">
        <v>293</v>
      </c>
      <c r="E121" s="740"/>
      <c r="F121" s="740"/>
      <c r="G121" s="698">
        <f>'conversion factors'!$D$31</f>
        <v>0.27123986095017383</v>
      </c>
      <c r="H121" s="704"/>
      <c r="I121" s="718"/>
      <c r="K121" s="695">
        <v>1</v>
      </c>
      <c r="L121" s="702"/>
      <c r="O121" s="695">
        <f t="shared" si="17"/>
        <v>1</v>
      </c>
    </row>
    <row r="122" spans="1:15" s="695" customFormat="1">
      <c r="A122" s="730"/>
      <c r="B122" s="716"/>
      <c r="C122" s="740"/>
      <c r="D122" s="551" t="s">
        <v>270</v>
      </c>
      <c r="E122" s="740"/>
      <c r="F122" s="740"/>
      <c r="G122" s="698">
        <f>'conversion factors'!$D$31</f>
        <v>0.27123986095017383</v>
      </c>
      <c r="H122" s="704"/>
      <c r="I122" s="718"/>
      <c r="K122" s="695">
        <v>1</v>
      </c>
      <c r="L122" s="702"/>
      <c r="O122" s="695">
        <f t="shared" si="17"/>
        <v>1</v>
      </c>
    </row>
    <row r="123" spans="1:15" s="695" customFormat="1">
      <c r="A123" s="730"/>
      <c r="B123" s="716"/>
      <c r="C123" s="740"/>
      <c r="D123" s="551" t="s">
        <v>295</v>
      </c>
      <c r="E123" s="740"/>
      <c r="F123" s="740"/>
      <c r="G123" s="698">
        <f>'conversion factors'!$D$31</f>
        <v>0.27123986095017383</v>
      </c>
      <c r="H123" s="704"/>
      <c r="I123" s="718"/>
      <c r="K123" s="695">
        <v>1</v>
      </c>
      <c r="L123" s="702"/>
      <c r="O123" s="695">
        <f t="shared" si="17"/>
        <v>1</v>
      </c>
    </row>
    <row r="124" spans="1:15" s="695" customFormat="1">
      <c r="A124" s="730" t="s">
        <v>29</v>
      </c>
      <c r="B124" s="716" t="s">
        <v>30</v>
      </c>
      <c r="C124" s="740" t="s">
        <v>230</v>
      </c>
      <c r="E124" s="696"/>
      <c r="F124" s="696"/>
      <c r="H124" s="704"/>
      <c r="L124" s="697"/>
    </row>
    <row r="125" spans="1:15" s="695" customFormat="1">
      <c r="A125" s="730"/>
      <c r="B125" s="730"/>
      <c r="D125" s="723" t="s">
        <v>272</v>
      </c>
      <c r="E125" s="740"/>
      <c r="F125" s="710"/>
      <c r="G125" s="698">
        <f>H125/J125*I125/3</f>
        <v>8.7338247338247313E-2</v>
      </c>
      <c r="H125" s="704">
        <v>0.62</v>
      </c>
      <c r="I125" s="699">
        <f>[2]Props!$C$75</f>
        <v>17.2</v>
      </c>
      <c r="J125" s="704">
        <v>40.700000000000003</v>
      </c>
      <c r="K125" s="695">
        <v>1</v>
      </c>
      <c r="L125" s="702">
        <f t="shared" si="24"/>
        <v>8.7338247338247313E-2</v>
      </c>
      <c r="O125" s="695">
        <f t="shared" si="17"/>
        <v>1</v>
      </c>
    </row>
    <row r="126" spans="1:15" s="695" customFormat="1">
      <c r="C126" s="698"/>
      <c r="D126" s="723" t="s">
        <v>290</v>
      </c>
      <c r="G126" s="698">
        <f t="shared" ref="G126:G132" si="25">H126/J126*I126/3</f>
        <v>8.7338247338247313E-2</v>
      </c>
      <c r="H126" s="704">
        <v>0.62</v>
      </c>
      <c r="I126" s="699">
        <f>[2]Props!$C$75</f>
        <v>17.2</v>
      </c>
      <c r="J126" s="704">
        <v>40.700000000000003</v>
      </c>
      <c r="K126" s="695">
        <v>1</v>
      </c>
      <c r="L126" s="702">
        <f t="shared" si="24"/>
        <v>8.7338247338247313E-2</v>
      </c>
      <c r="O126" s="695">
        <f t="shared" si="17"/>
        <v>1</v>
      </c>
    </row>
    <row r="127" spans="1:15">
      <c r="C127" s="693"/>
      <c r="D127" s="694" t="s">
        <v>292</v>
      </c>
      <c r="E127" s="9"/>
      <c r="F127" s="9"/>
      <c r="G127" s="9">
        <f t="shared" si="25"/>
        <v>8.7338247338247313E-2</v>
      </c>
      <c r="H127" s="418">
        <v>0.62</v>
      </c>
      <c r="I127" s="583">
        <f>[2]Props!$C$75</f>
        <v>17.2</v>
      </c>
      <c r="J127" s="418">
        <v>40.700000000000003</v>
      </c>
      <c r="K127">
        <v>1</v>
      </c>
      <c r="L127" s="590">
        <f t="shared" si="24"/>
        <v>8.7338247338247313E-2</v>
      </c>
      <c r="O127" s="695">
        <f t="shared" si="17"/>
        <v>1</v>
      </c>
    </row>
    <row r="128" spans="1:15">
      <c r="C128" s="525"/>
      <c r="D128" s="551" t="s">
        <v>274</v>
      </c>
      <c r="E128" s="9"/>
      <c r="F128" s="9"/>
      <c r="G128" s="9">
        <f t="shared" si="25"/>
        <v>8.7338247338247313E-2</v>
      </c>
      <c r="H128" s="418">
        <v>0.62</v>
      </c>
      <c r="I128" s="583">
        <f>[2]Props!$C$75</f>
        <v>17.2</v>
      </c>
      <c r="J128" s="418">
        <v>40.700000000000003</v>
      </c>
      <c r="K128">
        <v>1</v>
      </c>
      <c r="L128" s="590">
        <f t="shared" si="24"/>
        <v>8.7338247338247313E-2</v>
      </c>
      <c r="O128" s="695">
        <f t="shared" si="17"/>
        <v>1</v>
      </c>
    </row>
    <row r="129" spans="1:15">
      <c r="C129" s="525"/>
      <c r="D129" s="551" t="s">
        <v>276</v>
      </c>
      <c r="E129" s="9"/>
      <c r="F129" s="9"/>
      <c r="G129" s="9">
        <f t="shared" si="25"/>
        <v>8.7338247338247313E-2</v>
      </c>
      <c r="H129" s="418">
        <v>0.62</v>
      </c>
      <c r="I129" s="583">
        <f>[2]Props!$C$75</f>
        <v>17.2</v>
      </c>
      <c r="J129" s="418">
        <v>40.700000000000003</v>
      </c>
      <c r="K129">
        <v>1</v>
      </c>
      <c r="L129" s="590">
        <f t="shared" si="24"/>
        <v>8.7338247338247313E-2</v>
      </c>
      <c r="O129" s="695">
        <f t="shared" si="17"/>
        <v>1</v>
      </c>
    </row>
    <row r="130" spans="1:15">
      <c r="C130" s="525"/>
      <c r="D130" s="551" t="s">
        <v>293</v>
      </c>
      <c r="E130" s="9"/>
      <c r="F130" s="9"/>
      <c r="G130" s="9">
        <f t="shared" si="25"/>
        <v>9.6478296478296463E-2</v>
      </c>
      <c r="H130" s="418">
        <v>0.62</v>
      </c>
      <c r="I130" s="584">
        <f>[2]Props!$C$64</f>
        <v>19</v>
      </c>
      <c r="J130" s="418">
        <v>40.700000000000003</v>
      </c>
      <c r="K130">
        <v>1</v>
      </c>
      <c r="L130" s="590">
        <f t="shared" si="24"/>
        <v>9.6478296478296463E-2</v>
      </c>
      <c r="O130" s="695">
        <f t="shared" si="17"/>
        <v>1</v>
      </c>
    </row>
    <row r="131" spans="1:15">
      <c r="C131" s="525"/>
      <c r="D131" s="551" t="s">
        <v>270</v>
      </c>
      <c r="E131" s="9"/>
      <c r="F131" s="9"/>
      <c r="G131" s="9">
        <f t="shared" si="25"/>
        <v>9.6478296478296463E-2</v>
      </c>
      <c r="H131" s="418">
        <v>0.62</v>
      </c>
      <c r="I131" s="584">
        <f>[2]Props!$C$64</f>
        <v>19</v>
      </c>
      <c r="J131" s="418">
        <v>40.700000000000003</v>
      </c>
      <c r="K131">
        <v>1</v>
      </c>
      <c r="L131" s="590">
        <f t="shared" si="24"/>
        <v>9.6478296478296463E-2</v>
      </c>
      <c r="O131" s="695">
        <f t="shared" si="17"/>
        <v>1</v>
      </c>
    </row>
    <row r="132" spans="1:15">
      <c r="C132" s="525"/>
      <c r="D132" s="551" t="s">
        <v>295</v>
      </c>
      <c r="E132" s="9"/>
      <c r="F132" s="9"/>
      <c r="G132" s="9">
        <f t="shared" si="25"/>
        <v>9.6478296478296463E-2</v>
      </c>
      <c r="H132" s="418">
        <v>0.62</v>
      </c>
      <c r="I132" s="584">
        <f>[2]Props!$C$64</f>
        <v>19</v>
      </c>
      <c r="J132" s="418">
        <v>40.700000000000003</v>
      </c>
      <c r="K132">
        <v>1</v>
      </c>
      <c r="L132" s="590">
        <f t="shared" si="24"/>
        <v>9.6478296478296463E-2</v>
      </c>
      <c r="O132" s="695">
        <f t="shared" si="17"/>
        <v>1</v>
      </c>
    </row>
    <row r="133" spans="1:15">
      <c r="A133" s="730" t="s">
        <v>29</v>
      </c>
      <c r="B133" s="716" t="s">
        <v>30</v>
      </c>
      <c r="C133" s="740" t="s">
        <v>100</v>
      </c>
      <c r="D133" s="695"/>
      <c r="H133" s="418"/>
    </row>
    <row r="134" spans="1:15">
      <c r="A134" s="730"/>
      <c r="B134" s="730"/>
      <c r="C134" s="695"/>
      <c r="D134" s="723" t="s">
        <v>272</v>
      </c>
      <c r="G134" s="698">
        <f>H134/J134*I134/3</f>
        <v>8.7338247338247313E-2</v>
      </c>
      <c r="H134" s="704">
        <v>0.62</v>
      </c>
      <c r="I134" s="699">
        <f>[2]Props!$C$75</f>
        <v>17.2</v>
      </c>
      <c r="J134" s="704">
        <v>40.700000000000003</v>
      </c>
      <c r="K134" s="695">
        <v>1</v>
      </c>
      <c r="L134" s="702">
        <f t="shared" ref="L134:L141" si="26">G134*K134</f>
        <v>8.7338247338247313E-2</v>
      </c>
      <c r="M134" s="695"/>
      <c r="N134" s="695"/>
      <c r="O134" s="695">
        <f t="shared" ref="O134:O141" si="27">1/K134</f>
        <v>1</v>
      </c>
    </row>
    <row r="135" spans="1:15">
      <c r="A135" s="695"/>
      <c r="B135" s="695"/>
      <c r="C135" s="698"/>
      <c r="D135" s="723" t="s">
        <v>290</v>
      </c>
      <c r="G135" s="698">
        <f t="shared" ref="G135:G141" si="28">H135/J135*I135/3</f>
        <v>8.7338247338247313E-2</v>
      </c>
      <c r="H135" s="704">
        <v>0.62</v>
      </c>
      <c r="I135" s="699">
        <f>[2]Props!$C$75</f>
        <v>17.2</v>
      </c>
      <c r="J135" s="704">
        <v>40.700000000000003</v>
      </c>
      <c r="K135" s="695">
        <v>1</v>
      </c>
      <c r="L135" s="702">
        <f t="shared" si="26"/>
        <v>8.7338247338247313E-2</v>
      </c>
      <c r="M135" s="695"/>
      <c r="N135" s="695"/>
      <c r="O135" s="695">
        <f t="shared" si="27"/>
        <v>1</v>
      </c>
    </row>
    <row r="136" spans="1:15">
      <c r="C136" s="693"/>
      <c r="D136" s="694" t="s">
        <v>292</v>
      </c>
      <c r="G136" s="9">
        <f t="shared" si="28"/>
        <v>8.7338247338247313E-2</v>
      </c>
      <c r="H136" s="418">
        <v>0.62</v>
      </c>
      <c r="I136" s="583">
        <f>[2]Props!$C$75</f>
        <v>17.2</v>
      </c>
      <c r="J136" s="418">
        <v>40.700000000000003</v>
      </c>
      <c r="K136">
        <v>1</v>
      </c>
      <c r="L136" s="590">
        <f t="shared" si="26"/>
        <v>8.7338247338247313E-2</v>
      </c>
      <c r="O136" s="695">
        <f t="shared" si="27"/>
        <v>1</v>
      </c>
    </row>
    <row r="137" spans="1:15">
      <c r="C137" s="525"/>
      <c r="D137" s="551" t="s">
        <v>274</v>
      </c>
      <c r="G137" s="9">
        <f t="shared" si="28"/>
        <v>8.7338247338247313E-2</v>
      </c>
      <c r="H137" s="418">
        <v>0.62</v>
      </c>
      <c r="I137" s="583">
        <f>[2]Props!$C$75</f>
        <v>17.2</v>
      </c>
      <c r="J137" s="418">
        <v>40.700000000000003</v>
      </c>
      <c r="K137">
        <v>1</v>
      </c>
      <c r="L137" s="590">
        <f t="shared" si="26"/>
        <v>8.7338247338247313E-2</v>
      </c>
      <c r="O137" s="695">
        <f t="shared" si="27"/>
        <v>1</v>
      </c>
    </row>
    <row r="138" spans="1:15">
      <c r="C138" s="525"/>
      <c r="D138" s="551" t="s">
        <v>276</v>
      </c>
      <c r="G138" s="9">
        <f t="shared" si="28"/>
        <v>8.7338247338247313E-2</v>
      </c>
      <c r="H138" s="418">
        <v>0.62</v>
      </c>
      <c r="I138" s="583">
        <f>[2]Props!$C$75</f>
        <v>17.2</v>
      </c>
      <c r="J138" s="418">
        <v>40.700000000000003</v>
      </c>
      <c r="K138">
        <v>1</v>
      </c>
      <c r="L138" s="590">
        <f t="shared" si="26"/>
        <v>8.7338247338247313E-2</v>
      </c>
      <c r="O138" s="695">
        <f t="shared" si="27"/>
        <v>1</v>
      </c>
    </row>
    <row r="139" spans="1:15">
      <c r="C139" s="525"/>
      <c r="D139" s="551" t="s">
        <v>293</v>
      </c>
      <c r="G139" s="9">
        <f t="shared" si="28"/>
        <v>9.6478296478296463E-2</v>
      </c>
      <c r="H139" s="418">
        <v>0.62</v>
      </c>
      <c r="I139" s="584">
        <f>[2]Props!$C$64</f>
        <v>19</v>
      </c>
      <c r="J139" s="418">
        <v>40.700000000000003</v>
      </c>
      <c r="K139">
        <v>1</v>
      </c>
      <c r="L139" s="590">
        <f t="shared" si="26"/>
        <v>9.6478296478296463E-2</v>
      </c>
      <c r="O139" s="695">
        <f t="shared" si="27"/>
        <v>1</v>
      </c>
    </row>
    <row r="140" spans="1:15">
      <c r="C140" s="525"/>
      <c r="D140" s="551" t="s">
        <v>270</v>
      </c>
      <c r="G140" s="9">
        <f t="shared" si="28"/>
        <v>9.6478296478296463E-2</v>
      </c>
      <c r="H140" s="418">
        <v>0.62</v>
      </c>
      <c r="I140" s="584">
        <f>[2]Props!$C$64</f>
        <v>19</v>
      </c>
      <c r="J140" s="418">
        <v>40.700000000000003</v>
      </c>
      <c r="K140">
        <v>1</v>
      </c>
      <c r="L140" s="590">
        <f t="shared" si="26"/>
        <v>9.6478296478296463E-2</v>
      </c>
      <c r="O140" s="695">
        <f t="shared" si="27"/>
        <v>1</v>
      </c>
    </row>
    <row r="141" spans="1:15">
      <c r="C141" s="525"/>
      <c r="D141" s="551" t="s">
        <v>295</v>
      </c>
      <c r="G141" s="9">
        <f t="shared" si="28"/>
        <v>9.6478296478296463E-2</v>
      </c>
      <c r="H141" s="418">
        <v>0.62</v>
      </c>
      <c r="I141" s="584">
        <f>[2]Props!$C$64</f>
        <v>19</v>
      </c>
      <c r="J141" s="418">
        <v>40.700000000000003</v>
      </c>
      <c r="K141">
        <v>1</v>
      </c>
      <c r="L141" s="590">
        <f t="shared" si="26"/>
        <v>9.6478296478296463E-2</v>
      </c>
      <c r="O141" s="695">
        <f t="shared" si="27"/>
        <v>1</v>
      </c>
    </row>
  </sheetData>
  <phoneticPr fontId="44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2B04-EBB3-4363-BD1D-78A31B086D5B}">
  <dimension ref="A1:N182"/>
  <sheetViews>
    <sheetView showGridLines="0" workbookViewId="0">
      <pane ySplit="4" topLeftCell="A5" activePane="bottomLeft" state="frozen"/>
      <selection pane="bottomLeft" activeCell="A5" sqref="A5:E29"/>
    </sheetView>
  </sheetViews>
  <sheetFormatPr baseColWidth="10" defaultRowHeight="14.5"/>
  <cols>
    <col min="1" max="1" width="6.81640625" style="1062" bestFit="1" customWidth="1"/>
    <col min="2" max="2" width="7.1796875" style="1062" bestFit="1" customWidth="1"/>
    <col min="3" max="3" width="28.1796875" style="1062" customWidth="1"/>
    <col min="4" max="5" width="20.90625" style="1062" customWidth="1"/>
    <col min="6" max="6" width="40.90625" style="1062" hidden="1" customWidth="1"/>
    <col min="7" max="7" width="15.453125" style="1062" hidden="1" customWidth="1"/>
    <col min="8" max="9" width="15.453125" style="1062" customWidth="1"/>
    <col min="10" max="10" width="10.90625" style="1062" bestFit="1" customWidth="1"/>
    <col min="11" max="11" width="13.6328125" style="1062" bestFit="1" customWidth="1"/>
    <col min="12" max="12" width="14.81640625" style="1062" bestFit="1" customWidth="1"/>
    <col min="13" max="13" width="18.90625" style="1062" bestFit="1" customWidth="1"/>
    <col min="14" max="14" width="43.6328125" customWidth="1"/>
  </cols>
  <sheetData>
    <row r="1" spans="1:14" ht="24" customHeight="1">
      <c r="A1" s="1076" t="s">
        <v>1633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</row>
    <row r="2" spans="1:14">
      <c r="A2" s="1077" t="s">
        <v>1650</v>
      </c>
      <c r="B2" s="1077"/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</row>
    <row r="3" spans="1:14">
      <c r="A3" s="1058"/>
      <c r="B3" s="1058"/>
      <c r="C3" s="1058"/>
      <c r="D3" s="1058"/>
      <c r="E3" s="1058"/>
      <c r="F3" s="1058"/>
      <c r="G3" s="1058"/>
      <c r="H3" s="1058"/>
      <c r="I3" s="1058"/>
      <c r="J3" s="1058"/>
      <c r="K3" s="1058"/>
      <c r="L3" s="1058"/>
      <c r="M3" s="1058"/>
      <c r="N3" s="1058"/>
    </row>
    <row r="4" spans="1:14" ht="32" customHeight="1">
      <c r="A4" s="1063" t="s">
        <v>1489</v>
      </c>
      <c r="B4" s="1063" t="s">
        <v>1490</v>
      </c>
      <c r="C4" s="1063" t="s">
        <v>1491</v>
      </c>
      <c r="D4" s="1063" t="s">
        <v>1493</v>
      </c>
      <c r="E4" s="1063" t="s">
        <v>1494</v>
      </c>
      <c r="F4" s="1063" t="s">
        <v>1634</v>
      </c>
      <c r="G4" s="1063" t="s">
        <v>1635</v>
      </c>
      <c r="H4" s="1064" t="s">
        <v>1636</v>
      </c>
      <c r="I4" s="1063" t="s">
        <v>1637</v>
      </c>
      <c r="J4" s="1063" t="s">
        <v>1593</v>
      </c>
      <c r="K4" s="1063" t="s">
        <v>1594</v>
      </c>
      <c r="L4" s="1063" t="s">
        <v>1595</v>
      </c>
      <c r="M4" s="1063" t="s">
        <v>1596</v>
      </c>
      <c r="N4" s="1063" t="s">
        <v>1597</v>
      </c>
    </row>
    <row r="5" spans="1:14">
      <c r="A5" s="1058" t="s">
        <v>1128</v>
      </c>
      <c r="B5" s="1058">
        <v>1</v>
      </c>
      <c r="C5" s="1058" t="s">
        <v>2</v>
      </c>
      <c r="D5" s="1058" t="s">
        <v>43</v>
      </c>
      <c r="E5" s="1058" t="s">
        <v>640</v>
      </c>
      <c r="F5" s="1059" cm="1">
        <f t="array" ref="F5">IFERROR(SUMPRODUCT(($A$34:$A$135=$A5)*($B$34:$B$135=$B5)*($C$34:$C$135=$D5)*($D$34:$D$135=$E5)*(--ISNUMBER(SEARCH("UCO",$F$34:$F$135)))*$H$34:$H$135*$M$34:$M$135)/SUMPRODUCT(($A$34:$A$135=$A5)*($B$34:$B$135=$B5)*($C$34:$C$135=$D5)*($D$34:$D$135=$E5)*(--ISNUMBER(SEARCH("UCO",$F$34:$F$135)))*$H$34:$H$135),0)</f>
        <v>12.15</v>
      </c>
      <c r="G5" s="1059" cm="1">
        <f t="array" ref="G5">IFERROR(SUMPRODUCT(($A$34:$A$135=$A5)*($B$34:$B$135=$B5)*($C$34:$C$135=$D5)*($D$34:$D$135=$E5)*(--ISNUMBER(SEARCH("UCO",$F$34:$F$135)))*$I$34:$I$135*$M$34:$M$135)/SUMPRODUCT(($A$34:$A$135=$A5)*($B$34:$B$135=$B5)*($C$34:$C$135=$D5)*($D$34:$D$135=$E5)*(--ISNUMBER(SEARCH("UCO",$F$34:$F$135)))*$I$34:$I$135),0)</f>
        <v>12.15</v>
      </c>
      <c r="H5" s="1065" cm="1">
        <f t="array" ref="H5">IFERROR(SUMPRODUCT(($A$34:$A$135=$A5)*($B$34:$B$135=$B5)*($C$34:$C$135=$D5)*($D$34:$D$135=$E5)*(--ISNUMBER(SEARCH("UCO",$F$34:$F$135)))*$K$34:$K$135*$M$34:$M$135)/SUMPRODUCT(($A$34:$A$135=$A5)*($B$34:$B$135=$B5)*($C$34:$C$135=$D5)*($D$34:$D$135=$E5)*(--ISNUMBER(SEARCH("UCO",$F$34:$F$135)))*$K$34:$K$135),0)</f>
        <v>12.15</v>
      </c>
      <c r="I5" s="1059" cm="1">
        <f t="array" ref="I5">IFERROR(SUMPRODUCT(($A$34:$A$135=$A5)*($B$34:$B$135=$B5)*($C$34:$C$135=$D5)*($D$34:$D$135=$E5)*(--ISNUMBER(SEARCH("UCO",$F$34:$F$135)))*$J$34:$J$135*$M$34:$M$135)/SUMPRODUCT(($A$34:$A$135=$A5)*($B$34:$B$135=$B5)*($C$34:$C$135=$D5)*($D$34:$D$135=$E5)*(--ISNUMBER(SEARCH("UCO",$F$34:$F$135)))*$J$34:$J$135),0)</f>
        <v>12.15</v>
      </c>
      <c r="J5" s="1060" cm="1">
        <f t="array" ref="J5">SUMPRODUCT(($A$34:$A$135=$A5)*($B$34:$B$135=$B5)*($C$34:$C$135=$D5)*($D$34:$D$135=$E5)*(--ISNUMBER(SEARCH("UCO",$F$34:$F$135)))*$H$34:$H$135)</f>
        <v>1.741836028865817</v>
      </c>
      <c r="K5" s="1060" cm="1">
        <f t="array" ref="K5">SUMPRODUCT(($A$34:$A$135=$A5)*($B$34:$B$135=$B5)*($C$34:$C$135=$D5)*($D$34:$D$135=$E5)*(--ISNUMBER(SEARCH("UCO",$F$34:$F$135)))*$I$34:$I$135)</f>
        <v>3.0212617713696184</v>
      </c>
      <c r="L5" s="1060" cm="1">
        <f t="array" ref="L5">SUMPRODUCT(($A$34:$A$135=$A5)*($B$34:$B$135=$B5)*($C$34:$C$135=$D5)*($D$34:$D$135=$E5)*(--ISNUMBER(SEARCH("UCO",$F$34:$F$135)))*$J$34:$J$135)</f>
        <v>4.800686580807997</v>
      </c>
      <c r="M5" s="1060" cm="1">
        <f t="array" ref="M5">SUMPRODUCT(($A$34:$A$135=$A5)*($B$34:$B$135=$B5)*($C$34:$C$135=$D5)*($D$34:$D$135=$E5)*(--ISNUMBER(SEARCH("UCO",$F$34:$F$135)))*$K$34:$K$135)</f>
        <v>9.5637843810434333</v>
      </c>
      <c r="N5" s="1058" t="s">
        <v>1647</v>
      </c>
    </row>
    <row r="6" spans="1:14">
      <c r="A6" s="1058" t="s">
        <v>1128</v>
      </c>
      <c r="B6" s="1058">
        <v>2</v>
      </c>
      <c r="C6" s="1058" t="s">
        <v>3</v>
      </c>
      <c r="D6" s="1058" t="s">
        <v>44</v>
      </c>
      <c r="E6" s="1058" t="s">
        <v>640</v>
      </c>
      <c r="F6" s="1059" cm="1">
        <f t="array" ref="F6">IFERROR(SUMPRODUCT(($A$34:$A$135=$A6)*($B$34:$B$135=$B6)*($C$34:$C$135=$D6)*($D$34:$D$135=$E6)*(--ISNUMBER(SEARCH("UCO",$F$34:$F$135)))*$H$34:$H$135*$M$34:$M$135)/SUMPRODUCT(($A$34:$A$135=$A6)*($B$34:$B$135=$B6)*($C$34:$C$135=$D6)*($D$34:$D$135=$E6)*(--ISNUMBER(SEARCH("UCO",$F$34:$F$135)))*$H$34:$H$135),0)</f>
        <v>13.775</v>
      </c>
      <c r="G6" s="1059" cm="1">
        <f t="array" ref="G6">IFERROR(SUMPRODUCT(($A$34:$A$135=$A6)*($B$34:$B$135=$B6)*($C$34:$C$135=$D6)*($D$34:$D$135=$E6)*(--ISNUMBER(SEARCH("UCO",$F$34:$F$135)))*$I$34:$I$135*$M$34:$M$135)/SUMPRODUCT(($A$34:$A$135=$A6)*($B$34:$B$135=$B6)*($C$34:$C$135=$D6)*($D$34:$D$135=$E6)*(--ISNUMBER(SEARCH("UCO",$F$34:$F$135)))*$I$34:$I$135),0)</f>
        <v>13.774999999999999</v>
      </c>
      <c r="H6" s="1065" cm="1">
        <f t="array" ref="H6">IFERROR(SUMPRODUCT(($A$34:$A$135=$A6)*($B$34:$B$135=$B6)*($C$34:$C$135=$D6)*($D$34:$D$135=$E6)*(--ISNUMBER(SEARCH("UCO",$F$34:$F$135)))*$K$34:$K$135*$M$34:$M$135)/SUMPRODUCT(($A$34:$A$135=$A6)*($B$34:$B$135=$B6)*($C$34:$C$135=$D6)*($D$34:$D$135=$E6)*(--ISNUMBER(SEARCH("UCO",$F$34:$F$135)))*$K$34:$K$135),0)</f>
        <v>13.775</v>
      </c>
      <c r="I6" s="1059" cm="1">
        <f t="array" ref="I6">IFERROR(SUMPRODUCT(($A$34:$A$135=$A6)*($B$34:$B$135=$B6)*($C$34:$C$135=$D6)*($D$34:$D$135=$E6)*(--ISNUMBER(SEARCH("UCO",$F$34:$F$135)))*$J$34:$J$135*$M$34:$M$135)/SUMPRODUCT(($A$34:$A$135=$A6)*($B$34:$B$135=$B6)*($C$34:$C$135=$D6)*($D$34:$D$135=$E6)*(--ISNUMBER(SEARCH("UCO",$F$34:$F$135)))*$J$34:$J$135),0)</f>
        <v>13.775</v>
      </c>
      <c r="J6" s="1060" cm="1">
        <f t="array" ref="J6">SUMPRODUCT(($A$34:$A$135=$A6)*($B$34:$B$135=$B6)*($C$34:$C$135=$D6)*($D$34:$D$135=$E6)*(--ISNUMBER(SEARCH("UCO",$F$34:$F$135)))*$H$34:$H$135)</f>
        <v>0.8709180144329085</v>
      </c>
      <c r="K6" s="1060" cm="1">
        <f t="array" ref="K6">SUMPRODUCT(($A$34:$A$135=$A6)*($B$34:$B$135=$B6)*($C$34:$C$135=$D6)*($D$34:$D$135=$E6)*(--ISNUMBER(SEARCH("UCO",$F$34:$F$135)))*$I$34:$I$135)</f>
        <v>1.5106308856848092</v>
      </c>
      <c r="L6" s="1060" cm="1">
        <f t="array" ref="L6">SUMPRODUCT(($A$34:$A$135=$A6)*($B$34:$B$135=$B6)*($C$34:$C$135=$D6)*($D$34:$D$135=$E6)*(--ISNUMBER(SEARCH("UCO",$F$34:$F$135)))*$J$34:$J$135)</f>
        <v>2.4003432904039985</v>
      </c>
      <c r="M6" s="1060" cm="1">
        <f t="array" ref="M6">SUMPRODUCT(($A$34:$A$135=$A6)*($B$34:$B$135=$B6)*($C$34:$C$135=$D6)*($D$34:$D$135=$E6)*(--ISNUMBER(SEARCH("UCO",$F$34:$F$135)))*$K$34:$K$135)</f>
        <v>4.7818921905217167</v>
      </c>
      <c r="N6" s="1058" t="s">
        <v>1647</v>
      </c>
    </row>
    <row r="7" spans="1:14">
      <c r="A7" s="1058" t="s">
        <v>1128</v>
      </c>
      <c r="B7" s="1058">
        <v>2</v>
      </c>
      <c r="C7" s="1058" t="s">
        <v>3</v>
      </c>
      <c r="D7" s="1058" t="s">
        <v>44</v>
      </c>
      <c r="E7" s="1058" t="s">
        <v>640</v>
      </c>
      <c r="F7" s="1059" cm="1">
        <f t="array" ref="F7">IFERROR(SUMPRODUCT(($A$34:$A$135=$A7)*($B$34:$B$135=$B7)*($C$34:$C$135=$D7)*($D$34:$D$135=$E7)*(--((ISNUMBER(SEARCH("Tall oil",$F$34:$F$135))+ISNUMBER(SEARCH("POME",$F$34:$F$135)))&gt;0))*$H$34:$H$135*$M$34:$M$135)/SUMPRODUCT(($A$34:$A$135=$A7)*($B$34:$B$135=$B7)*($C$34:$C$135=$D7)*($D$34:$D$135=$E7)*(--((ISNUMBER(SEARCH("Tall oil",$F$34:$F$135))+ISNUMBER(SEARCH("POME",$F$34:$F$135)))&gt;0))*$H$34:$H$135),0)</f>
        <v>10.8</v>
      </c>
      <c r="G7" s="1059" cm="1">
        <f t="array" ref="G7">IFERROR(SUMPRODUCT(($A$34:$A$135=$A7)*($B$34:$B$135=$B7)*($C$34:$C$135=$D7)*($D$34:$D$135=$E7)*(--((ISNUMBER(SEARCH("Tall oil",$F$34:$F$135))+ISNUMBER(SEARCH("POME",$F$34:$F$135)))&gt;0))*$I$34:$I$135*$M$34:$M$135)/SUMPRODUCT(($A$34:$A$135=$A7)*($B$34:$B$135=$B7)*($C$34:$C$135=$D7)*($D$34:$D$135=$E7)*(--((ISNUMBER(SEARCH("Tall oil",$F$34:$F$135))+ISNUMBER(SEARCH("POME",$F$34:$F$135)))&gt;0))*$I$34:$I$135),0)</f>
        <v>10.8</v>
      </c>
      <c r="H7" s="1065" cm="1">
        <f t="array" ref="H7">IFERROR(SUMPRODUCT(($A$34:$A$135=$A7)*($B$34:$B$135=$B7)*($C$34:$C$135=$D7)*($D$34:$D$135=$E7)*(--((ISNUMBER(SEARCH("Tall oil",$F$34:$F$135))+ISNUMBER(SEARCH("POME",$F$34:$F$135)))&gt;0))*$K$34:$K$135*$M$34:$M$135)/SUMPRODUCT(($A$34:$A$135=$A7)*($B$34:$B$135=$B7)*($C$34:$C$135=$D7)*($D$34:$D$135=$E7)*(--((ISNUMBER(SEARCH("Tall oil",$F$34:$F$135))+ISNUMBER(SEARCH("POME",$F$34:$F$135)))&gt;0))*$K$34:$K$135),0)</f>
        <v>10.8</v>
      </c>
      <c r="I7" s="1059" cm="1">
        <f t="array" ref="I7">IFERROR(SUMPRODUCT(($A$34:$A$135=$A7)*($B$34:$B$135=$B7)*($C$34:$C$135=$D7)*($D$34:$D$135=$E7)*(--((ISNUMBER(SEARCH("Tall oil",$F$34:$F$135))+ISNUMBER(SEARCH("POME",$F$34:$F$135)))&gt;0))*$J$34:$J$135*$M$34:$M$135)/SUMPRODUCT(($A$34:$A$135=$A7)*($B$34:$B$135=$B7)*($C$34:$C$135=$D7)*($D$34:$D$135=$E7)*(--((ISNUMBER(SEARCH("Tall oil",$F$34:$F$135))+ISNUMBER(SEARCH("POME",$F$34:$F$135)))&gt;0))*$J$34:$J$135),0)</f>
        <v>10.8</v>
      </c>
      <c r="J7" s="1060" cm="1">
        <f t="array" ref="J7">SUMPRODUCT(($A$34:$A$135=$A7)*($B$34:$B$135=$B7)*($C$34:$C$135=$D7)*($D$34:$D$135=$E7)*(--((ISNUMBER(SEARCH("Tall oil",$F$34:$F$135))+ISNUMBER(SEARCH("POME",$F$34:$F$135)))&gt;0))*$H$34:$H$135)</f>
        <v>0.2</v>
      </c>
      <c r="K7" s="1060" cm="1">
        <f t="array" ref="K7">SUMPRODUCT(($A$34:$A$135=$A7)*($B$34:$B$135=$B7)*($C$34:$C$135=$D7)*($D$34:$D$135=$E7)*(--((ISNUMBER(SEARCH("Tall oil",$F$34:$F$135))+ISNUMBER(SEARCH("POME",$F$34:$F$135)))&gt;0))*$I$34:$I$135)</f>
        <v>0.4</v>
      </c>
      <c r="L7" s="1060" cm="1">
        <f t="array" ref="L7">SUMPRODUCT(($A$34:$A$135=$A7)*($B$34:$B$135=$B7)*($C$34:$C$135=$D7)*($D$34:$D$135=$E7)*(--((ISNUMBER(SEARCH("Tall oil",$F$34:$F$135))+ISNUMBER(SEARCH("POME",$F$34:$F$135)))&gt;0))*$J$34:$J$135)</f>
        <v>0.7</v>
      </c>
      <c r="M7" s="1060" cm="1">
        <f t="array" ref="M7">SUMPRODUCT(($A$34:$A$135=$A7)*($B$34:$B$135=$B7)*($C$34:$C$135=$D7)*($D$34:$D$135=$E7)*(--((ISNUMBER(SEARCH("Tall oil",$F$34:$F$135))+ISNUMBER(SEARCH("POME",$F$34:$F$135)))&gt;0))*$K$34:$K$135)</f>
        <v>1.3</v>
      </c>
      <c r="N7" s="1058" t="s">
        <v>1648</v>
      </c>
    </row>
    <row r="8" spans="1:14">
      <c r="A8" s="1058" t="s">
        <v>1128</v>
      </c>
      <c r="B8" s="1058">
        <v>2</v>
      </c>
      <c r="C8" s="1058" t="s">
        <v>3</v>
      </c>
      <c r="D8" s="1058" t="s">
        <v>44</v>
      </c>
      <c r="E8" s="1058" t="s">
        <v>640</v>
      </c>
      <c r="F8" s="1059" cm="1">
        <f t="array" ref="F8">IFERROR(SUMPRODUCT(($A$34:$A$135=$A8)*($B$34:$B$135=$B8)*($C$34:$C$135=$D8)*($D$34:$D$135=$E8)*(--((ISNUMBER(SEARCH("FPBO",$F$34:$F$135))+ISNUMBER(SEARCH("biocrude",$F$34:$F$135)))&gt;0))*$H$34:$H$135*$M$34:$M$135)/SUMPRODUCT(($A$34:$A$135=$A8)*($B$34:$B$135=$B8)*($C$34:$C$135=$D8)*($D$34:$D$135=$E8)*(--((ISNUMBER(SEARCH("FPBO",$F$34:$F$135))+ISNUMBER(SEARCH("biocrude",$F$34:$F$135)))&gt;0))*$H$34:$H$135),0)</f>
        <v>13.775000000000002</v>
      </c>
      <c r="G8" s="1059" cm="1">
        <f t="array" ref="G8">IFERROR(SUMPRODUCT(($A$34:$A$135=$A8)*($B$34:$B$135=$B8)*($C$34:$C$135=$D8)*($D$34:$D$135=$E8)*(--((ISNUMBER(SEARCH("FPBO",$F$34:$F$135))+ISNUMBER(SEARCH("biocrude",$F$34:$F$135)))&gt;0))*$I$34:$I$135*$M$34:$M$135)/SUMPRODUCT(($A$34:$A$135=$A8)*($B$34:$B$135=$B8)*($C$34:$C$135=$D8)*($D$34:$D$135=$E8)*(--((ISNUMBER(SEARCH("FPBO",$F$34:$F$135))+ISNUMBER(SEARCH("biocrude",$F$34:$F$135)))&gt;0))*$I$34:$I$135),0)</f>
        <v>13.775</v>
      </c>
      <c r="H8" s="1065" cm="1">
        <f t="array" ref="H8">IFERROR(SUMPRODUCT(($A$34:$A$135=$A8)*($B$34:$B$135=$B8)*($C$34:$C$135=$D8)*($D$34:$D$135=$E8)*(--((ISNUMBER(SEARCH("FPBO",$F$34:$F$135))+ISNUMBER(SEARCH("biocrude",$F$34:$F$135)))&gt;0))*$K$34:$K$135*$M$34:$M$135)/SUMPRODUCT(($A$34:$A$135=$A8)*($B$34:$B$135=$B8)*($C$34:$C$135=$D8)*($D$34:$D$135=$E8)*(--((ISNUMBER(SEARCH("FPBO",$F$34:$F$135))+ISNUMBER(SEARCH("biocrude",$F$34:$F$135)))&gt;0))*$K$34:$K$135),0)</f>
        <v>13.775</v>
      </c>
      <c r="I8" s="1059" cm="1">
        <f t="array" ref="I8">IFERROR(SUMPRODUCT(($A$34:$A$135=$A8)*($B$34:$B$135=$B8)*($C$34:$C$135=$D8)*($D$34:$D$135=$E8)*(--((ISNUMBER(SEARCH("FPBO",$F$34:$F$135))+ISNUMBER(SEARCH("biocrude",$F$34:$F$135)))&gt;0))*$J$34:$J$135*$M$34:$M$135)/SUMPRODUCT(($A$34:$A$135=$A8)*($B$34:$B$135=$B8)*($C$34:$C$135=$D8)*($D$34:$D$135=$E8)*(--((ISNUMBER(SEARCH("FPBO",$F$34:$F$135))+ISNUMBER(SEARCH("biocrude",$F$34:$F$135)))&gt;0))*$J$34:$J$135),0)</f>
        <v>13.775000000000002</v>
      </c>
      <c r="J8" s="1060" cm="1">
        <f t="array" ref="J8">SUMPRODUCT(($A$34:$A$135=$A8)*($B$34:$B$135=$B8)*($C$34:$C$135=$D8)*($D$34:$D$135=$E8)*(--((ISNUMBER(SEARCH("FPBO",$F$34:$F$135))+ISNUMBER(SEARCH("biocrude",$F$34:$F$135)))&gt;0))*$H$34:$H$135)</f>
        <v>1.0285053574346024</v>
      </c>
      <c r="K8" s="1060" cm="1">
        <f t="array" ref="K8">SUMPRODUCT(($A$34:$A$135=$A8)*($B$34:$B$135=$B8)*($C$34:$C$135=$D8)*($D$34:$D$135=$E8)*(--((ISNUMBER(SEARCH("FPBO",$F$34:$F$135))+ISNUMBER(SEARCH("biocrude",$F$34:$F$135)))&gt;0))*$I$34:$I$135)</f>
        <v>1.3060865801567654</v>
      </c>
      <c r="L8" s="1060" cm="1">
        <f t="array" ref="L8">SUMPRODUCT(($A$34:$A$135=$A8)*($B$34:$B$135=$B8)*($C$34:$C$135=$D8)*($D$34:$D$135=$E8)*(--((ISNUMBER(SEARCH("FPBO",$F$34:$F$135))+ISNUMBER(SEARCH("biocrude",$F$34:$F$135)))&gt;0))*$J$34:$J$135)</f>
        <v>3.4076540108443414</v>
      </c>
      <c r="M8" s="1060" cm="1">
        <f t="array" ref="M8">SUMPRODUCT(($A$34:$A$135=$A8)*($B$34:$B$135=$B8)*($C$34:$C$135=$D8)*($D$34:$D$135=$E8)*(--((ISNUMBER(SEARCH("FPBO",$F$34:$F$135))+ISNUMBER(SEARCH("biocrude",$F$34:$F$135)))&gt;0))*$K$34:$K$135)</f>
        <v>5.7422459484357091</v>
      </c>
      <c r="N8" s="1058" t="s">
        <v>1649</v>
      </c>
    </row>
    <row r="9" spans="1:14">
      <c r="A9" s="1058" t="s">
        <v>1128</v>
      </c>
      <c r="B9" s="1058">
        <v>2</v>
      </c>
      <c r="C9" s="1058" t="s">
        <v>3</v>
      </c>
      <c r="D9" s="1058" t="s">
        <v>1614</v>
      </c>
      <c r="E9" s="1058" t="s">
        <v>641</v>
      </c>
      <c r="F9" s="1059" cm="1">
        <f t="array" ref="F9">IFERROR(SUMPRODUCT(($A$34:$A$135=$A9)*($B$34:$B$135=$B9)*($C$34:$C$135=$D9)*($D$34:$D$135=$E9)*(--ISNUMBER(SEARCH("Oil crops",$F$34:$F$135)))*$H$34:$H$135*$M$34:$M$135)/SUMPRODUCT(($A$34:$A$135=$A9)*($B$34:$B$135=$B9)*($C$34:$C$135=$D9)*($D$34:$D$135=$E9)*(--ISNUMBER(SEARCH("Oil crops",$F$34:$F$135)))*$H$34:$H$135),0)</f>
        <v>26.05</v>
      </c>
      <c r="G9" s="1059" cm="1">
        <f t="array" ref="G9">IFERROR(SUMPRODUCT(($A$34:$A$135=$A9)*($B$34:$B$135=$B9)*($C$34:$C$135=$D9)*($D$34:$D$135=$E9)*(--ISNUMBER(SEARCH("Oil crops",$F$34:$F$135)))*$I$34:$I$135*$M$34:$M$135)/SUMPRODUCT(($A$34:$A$135=$A9)*($B$34:$B$135=$B9)*($C$34:$C$135=$D9)*($D$34:$D$135=$E9)*(--ISNUMBER(SEARCH("Oil crops",$F$34:$F$135)))*$I$34:$I$135),0)</f>
        <v>26.05</v>
      </c>
      <c r="H9" s="1065" cm="1">
        <f t="array" ref="H9">IFERROR(SUMPRODUCT(($A$34:$A$135=$A9)*($B$34:$B$135=$B9)*($C$34:$C$135=$D9)*($D$34:$D$135=$E9)*(--ISNUMBER(SEARCH("Oil crops",$F$34:$F$135)))*$K$34:$K$135*$M$34:$M$135)/SUMPRODUCT(($A$34:$A$135=$A9)*($B$34:$B$135=$B9)*($C$34:$C$135=$D9)*($D$34:$D$135=$E9)*(--ISNUMBER(SEARCH("Oil crops",$F$34:$F$135)))*$K$34:$K$135),0)</f>
        <v>26.05</v>
      </c>
      <c r="I9" s="1059" cm="1">
        <f t="array" ref="I9">IFERROR(SUMPRODUCT(($A$34:$A$135=$A9)*($B$34:$B$135=$B9)*($C$34:$C$135=$D9)*($D$34:$D$135=$E9)*(--ISNUMBER(SEARCH("Oil crops",$F$34:$F$135)))*$J$34:$J$135*$M$34:$M$135)/SUMPRODUCT(($A$34:$A$135=$A9)*($B$34:$B$135=$B9)*($C$34:$C$135=$D9)*($D$34:$D$135=$E9)*(--ISNUMBER(SEARCH("Oil crops",$F$34:$F$135)))*$J$34:$J$135),0)</f>
        <v>26.05</v>
      </c>
      <c r="J9" s="1060" cm="1">
        <f t="array" ref="J9">SUMPRODUCT(($A$34:$A$135=$A9)*($B$34:$B$135=$B9)*($C$34:$C$135=$D9)*($D$34:$D$135=$E9)*(--ISNUMBER(SEARCH("Oil crops",$F$34:$F$135)))*$H$34:$H$135)</f>
        <v>0.49572711273501602</v>
      </c>
      <c r="K9" s="1060" cm="1">
        <f t="array" ref="K9">SUMPRODUCT(($A$34:$A$135=$A9)*($B$34:$B$135=$B9)*($C$34:$C$135=$D9)*($D$34:$D$135=$E9)*(--ISNUMBER(SEARCH("Oil crops",$F$34:$F$135)))*$I$34:$I$135)</f>
        <v>1.1703177429688374</v>
      </c>
      <c r="L9" s="1060" cm="1">
        <f t="array" ref="L9">SUMPRODUCT(($A$34:$A$135=$A9)*($B$34:$B$135=$B9)*($C$34:$C$135=$D9)*($D$34:$D$135=$E9)*(--ISNUMBER(SEARCH("Oil crops",$F$34:$F$135)))*$J$34:$J$135)</f>
        <v>4.0986605345032272</v>
      </c>
      <c r="M9" s="1060" cm="1">
        <f t="array" ref="M9">SUMPRODUCT(($A$34:$A$135=$A9)*($B$34:$B$135=$B9)*($C$34:$C$135=$D9)*($D$34:$D$135=$E9)*(--ISNUMBER(SEARCH("Oil crops",$F$34:$F$135)))*$K$34:$K$135)</f>
        <v>5.7647053902070802</v>
      </c>
      <c r="N9" s="1058" t="s">
        <v>1646</v>
      </c>
    </row>
    <row r="10" spans="1:14">
      <c r="A10" s="1058" t="s">
        <v>1128</v>
      </c>
      <c r="B10" s="1058">
        <v>2</v>
      </c>
      <c r="C10" s="1058" t="s">
        <v>3</v>
      </c>
      <c r="D10" s="1058" t="s">
        <v>1614</v>
      </c>
      <c r="E10" s="1058" t="s">
        <v>641</v>
      </c>
      <c r="F10" s="1059" cm="1">
        <f t="array" ref="F10">IFERROR(SUMPRODUCT(($A$34:$A$135=$A10)*($B$34:$B$135=$B10)*($C$34:$C$135=$D10)*($D$34:$D$135=$E10)*(--ISNUMBER(SEARCH("UCO",$F$34:$F$135)))*$H$34:$H$135*$M$34:$M$135)/SUMPRODUCT(($A$34:$A$135=$A10)*($B$34:$B$135=$B10)*($C$34:$C$135=$D10)*($D$34:$D$135=$E10)*(--ISNUMBER(SEARCH("UCO",$F$34:$F$135)))*$H$34:$H$135),0)</f>
        <v>21.400000000000002</v>
      </c>
      <c r="G10" s="1059" cm="1">
        <f t="array" ref="G10">IFERROR(SUMPRODUCT(($A$34:$A$135=$A10)*($B$34:$B$135=$B10)*($C$34:$C$135=$D10)*($D$34:$D$135=$E10)*(--ISNUMBER(SEARCH("UCO",$F$34:$F$135)))*$I$34:$I$135*$M$34:$M$135)/SUMPRODUCT(($A$34:$A$135=$A10)*($B$34:$B$135=$B10)*($C$34:$C$135=$D10)*($D$34:$D$135=$E10)*(--ISNUMBER(SEARCH("UCO",$F$34:$F$135)))*$I$34:$I$135),0)</f>
        <v>21.4</v>
      </c>
      <c r="H10" s="1065" cm="1">
        <f t="array" ref="H10">IFERROR(SUMPRODUCT(($A$34:$A$135=$A10)*($B$34:$B$135=$B10)*($C$34:$C$135=$D10)*($D$34:$D$135=$E10)*(--ISNUMBER(SEARCH("UCO",$F$34:$F$135)))*$K$34:$K$135*$M$34:$M$135)/SUMPRODUCT(($A$34:$A$135=$A10)*($B$34:$B$135=$B10)*($C$34:$C$135=$D10)*($D$34:$D$135=$E10)*(--ISNUMBER(SEARCH("UCO",$F$34:$F$135)))*$K$34:$K$135),0)</f>
        <v>21.4</v>
      </c>
      <c r="I10" s="1059" cm="1">
        <f t="array" ref="I10">IFERROR(SUMPRODUCT(($A$34:$A$135=$A10)*($B$34:$B$135=$B10)*($C$34:$C$135=$D10)*($D$34:$D$135=$E10)*(--ISNUMBER(SEARCH("UCO",$F$34:$F$135)))*$J$34:$J$135*$M$34:$M$135)/SUMPRODUCT(($A$34:$A$135=$A10)*($B$34:$B$135=$B10)*($C$34:$C$135=$D10)*($D$34:$D$135=$E10)*(--ISNUMBER(SEARCH("UCO",$F$34:$F$135)))*$J$34:$J$135),0)</f>
        <v>21.4</v>
      </c>
      <c r="J10" s="1060" cm="1">
        <f t="array" ref="J10">SUMPRODUCT(($A$34:$A$135=$A10)*($B$34:$B$135=$B10)*($C$34:$C$135=$D10)*($D$34:$D$135=$E10)*(--ISNUMBER(SEARCH("UCO",$F$34:$F$135)))*$H$34:$H$135)</f>
        <v>0.8709180144329085</v>
      </c>
      <c r="K10" s="1060" cm="1">
        <f t="array" ref="K10">SUMPRODUCT(($A$34:$A$135=$A10)*($B$34:$B$135=$B10)*($C$34:$C$135=$D10)*($D$34:$D$135=$E10)*(--ISNUMBER(SEARCH("UCO",$F$34:$F$135)))*$I$34:$I$135)</f>
        <v>1.5106308856848092</v>
      </c>
      <c r="L10" s="1060" cm="1">
        <f t="array" ref="L10">SUMPRODUCT(($A$34:$A$135=$A10)*($B$34:$B$135=$B10)*($C$34:$C$135=$D10)*($D$34:$D$135=$E10)*(--ISNUMBER(SEARCH("UCO",$F$34:$F$135)))*$J$34:$J$135)</f>
        <v>2.4003432904039985</v>
      </c>
      <c r="M10" s="1060" cm="1">
        <f t="array" ref="M10">SUMPRODUCT(($A$34:$A$135=$A10)*($B$34:$B$135=$B10)*($C$34:$C$135=$D10)*($D$34:$D$135=$E10)*(--ISNUMBER(SEARCH("UCO",$F$34:$F$135)))*$K$34:$K$135)</f>
        <v>4.7818921905217167</v>
      </c>
      <c r="N10" s="1058" t="s">
        <v>1647</v>
      </c>
    </row>
    <row r="11" spans="1:14">
      <c r="A11" s="1058" t="s">
        <v>1128</v>
      </c>
      <c r="B11" s="1058">
        <v>2</v>
      </c>
      <c r="C11" s="1058" t="s">
        <v>3</v>
      </c>
      <c r="D11" s="1058" t="s">
        <v>1614</v>
      </c>
      <c r="E11" s="1058" t="s">
        <v>641</v>
      </c>
      <c r="F11" s="1059" cm="1">
        <f t="array" ref="F11">IFERROR(SUMPRODUCT(($A$34:$A$135=$A11)*($B$34:$B$135=$B11)*($C$34:$C$135=$D11)*($D$34:$D$135=$E11)*(--((ISNUMBER(SEARCH("Tall oil",$F$34:$F$135))+ISNUMBER(SEARCH("POME",$F$34:$F$135)))&gt;0))*$H$34:$H$135*$M$34:$M$135)/SUMPRODUCT(($A$34:$A$135=$A11)*($B$34:$B$135=$B11)*($C$34:$C$135=$D11)*($D$34:$D$135=$E11)*(--((ISNUMBER(SEARCH("Tall oil",$F$34:$F$135))+ISNUMBER(SEARCH("POME",$F$34:$F$135)))&gt;0))*$H$34:$H$135),0)</f>
        <v>17.5</v>
      </c>
      <c r="G11" s="1059" cm="1">
        <f t="array" ref="G11">IFERROR(SUMPRODUCT(($A$34:$A$135=$A11)*($B$34:$B$135=$B11)*($C$34:$C$135=$D11)*($D$34:$D$135=$E11)*(--((ISNUMBER(SEARCH("Tall oil",$F$34:$F$135))+ISNUMBER(SEARCH("POME",$F$34:$F$135)))&gt;0))*$I$34:$I$135*$M$34:$M$135)/SUMPRODUCT(($A$34:$A$135=$A11)*($B$34:$B$135=$B11)*($C$34:$C$135=$D11)*($D$34:$D$135=$E11)*(--((ISNUMBER(SEARCH("Tall oil",$F$34:$F$135))+ISNUMBER(SEARCH("POME",$F$34:$F$135)))&gt;0))*$I$34:$I$135),0)</f>
        <v>17.5</v>
      </c>
      <c r="H11" s="1065" cm="1">
        <f t="array" ref="H11">IFERROR(SUMPRODUCT(($A$34:$A$135=$A11)*($B$34:$B$135=$B11)*($C$34:$C$135=$D11)*($D$34:$D$135=$E11)*(--((ISNUMBER(SEARCH("Tall oil",$F$34:$F$135))+ISNUMBER(SEARCH("POME",$F$34:$F$135)))&gt;0))*$K$34:$K$135*$M$34:$M$135)/SUMPRODUCT(($A$34:$A$135=$A11)*($B$34:$B$135=$B11)*($C$34:$C$135=$D11)*($D$34:$D$135=$E11)*(--((ISNUMBER(SEARCH("Tall oil",$F$34:$F$135))+ISNUMBER(SEARCH("POME",$F$34:$F$135)))&gt;0))*$K$34:$K$135),0)</f>
        <v>17.5</v>
      </c>
      <c r="I11" s="1059" cm="1">
        <f t="array" ref="I11">IFERROR(SUMPRODUCT(($A$34:$A$135=$A11)*($B$34:$B$135=$B11)*($C$34:$C$135=$D11)*($D$34:$D$135=$E11)*(--((ISNUMBER(SEARCH("Tall oil",$F$34:$F$135))+ISNUMBER(SEARCH("POME",$F$34:$F$135)))&gt;0))*$J$34:$J$135*$M$34:$M$135)/SUMPRODUCT(($A$34:$A$135=$A11)*($B$34:$B$135=$B11)*($C$34:$C$135=$D11)*($D$34:$D$135=$E11)*(--((ISNUMBER(SEARCH("Tall oil",$F$34:$F$135))+ISNUMBER(SEARCH("POME",$F$34:$F$135)))&gt;0))*$J$34:$J$135),0)</f>
        <v>17.5</v>
      </c>
      <c r="J11" s="1060" cm="1">
        <f t="array" ref="J11">SUMPRODUCT(($A$34:$A$135=$A11)*($B$34:$B$135=$B11)*($C$34:$C$135=$D11)*($D$34:$D$135=$E11)*(--((ISNUMBER(SEARCH("Tall oil",$F$34:$F$135))+ISNUMBER(SEARCH("POME",$F$34:$F$135)))&gt;0))*$H$34:$H$135)</f>
        <v>0.2</v>
      </c>
      <c r="K11" s="1060" cm="1">
        <f t="array" ref="K11">SUMPRODUCT(($A$34:$A$135=$A11)*($B$34:$B$135=$B11)*($C$34:$C$135=$D11)*($D$34:$D$135=$E11)*(--((ISNUMBER(SEARCH("Tall oil",$F$34:$F$135))+ISNUMBER(SEARCH("POME",$F$34:$F$135)))&gt;0))*$I$34:$I$135)</f>
        <v>0.4</v>
      </c>
      <c r="L11" s="1060" cm="1">
        <f t="array" ref="L11">SUMPRODUCT(($A$34:$A$135=$A11)*($B$34:$B$135=$B11)*($C$34:$C$135=$D11)*($D$34:$D$135=$E11)*(--((ISNUMBER(SEARCH("Tall oil",$F$34:$F$135))+ISNUMBER(SEARCH("POME",$F$34:$F$135)))&gt;0))*$J$34:$J$135)</f>
        <v>0.7</v>
      </c>
      <c r="M11" s="1060" cm="1">
        <f t="array" ref="M11">SUMPRODUCT(($A$34:$A$135=$A11)*($B$34:$B$135=$B11)*($C$34:$C$135=$D11)*($D$34:$D$135=$E11)*(--((ISNUMBER(SEARCH("Tall oil",$F$34:$F$135))+ISNUMBER(SEARCH("POME",$F$34:$F$135)))&gt;0))*$K$34:$K$135)</f>
        <v>1.3</v>
      </c>
      <c r="N11" s="1058" t="s">
        <v>1648</v>
      </c>
    </row>
    <row r="12" spans="1:14">
      <c r="A12" s="1058" t="s">
        <v>1128</v>
      </c>
      <c r="B12" s="1058">
        <v>2</v>
      </c>
      <c r="C12" s="1058" t="s">
        <v>3</v>
      </c>
      <c r="D12" s="1058" t="s">
        <v>1614</v>
      </c>
      <c r="E12" s="1058" t="s">
        <v>641</v>
      </c>
      <c r="F12" s="1059" cm="1">
        <f t="array" ref="F12">IFERROR(SUMPRODUCT(($A$34:$A$135=$A12)*($B$34:$B$135=$B12)*($C$34:$C$135=$D12)*($D$34:$D$135=$E12)*(--((ISNUMBER(SEARCH("FPBO",$F$34:$F$135))+ISNUMBER(SEARCH("biocrude",$F$34:$F$135)))&gt;0))*$H$34:$H$135*$M$34:$M$135)/SUMPRODUCT(($A$34:$A$135=$A12)*($B$34:$B$135=$B12)*($C$34:$C$135=$D12)*($D$34:$D$135=$E12)*(--((ISNUMBER(SEARCH("FPBO",$F$34:$F$135))+ISNUMBER(SEARCH("biocrude",$F$34:$F$135)))&gt;0))*$H$34:$H$135),0)</f>
        <v>21.4</v>
      </c>
      <c r="G12" s="1059" cm="1">
        <f t="array" ref="G12">IFERROR(SUMPRODUCT(($A$34:$A$135=$A12)*($B$34:$B$135=$B12)*($C$34:$C$135=$D12)*($D$34:$D$135=$E12)*(--((ISNUMBER(SEARCH("FPBO",$F$34:$F$135))+ISNUMBER(SEARCH("biocrude",$F$34:$F$135)))&gt;0))*$I$34:$I$135*$M$34:$M$135)/SUMPRODUCT(($A$34:$A$135=$A12)*($B$34:$B$135=$B12)*($C$34:$C$135=$D12)*($D$34:$D$135=$E12)*(--((ISNUMBER(SEARCH("FPBO",$F$34:$F$135))+ISNUMBER(SEARCH("biocrude",$F$34:$F$135)))&gt;0))*$I$34:$I$135),0)</f>
        <v>21.4</v>
      </c>
      <c r="H12" s="1065" cm="1">
        <f t="array" ref="H12">IFERROR(SUMPRODUCT(($A$34:$A$135=$A12)*($B$34:$B$135=$B12)*($C$34:$C$135=$D12)*($D$34:$D$135=$E12)*(--((ISNUMBER(SEARCH("FPBO",$F$34:$F$135))+ISNUMBER(SEARCH("biocrude",$F$34:$F$135)))&gt;0))*$K$34:$K$135*$M$34:$M$135)/SUMPRODUCT(($A$34:$A$135=$A12)*($B$34:$B$135=$B12)*($C$34:$C$135=$D12)*($D$34:$D$135=$E12)*(--((ISNUMBER(SEARCH("FPBO",$F$34:$F$135))+ISNUMBER(SEARCH("biocrude",$F$34:$F$135)))&gt;0))*$K$34:$K$135),0)</f>
        <v>21.4</v>
      </c>
      <c r="I12" s="1059" cm="1">
        <f t="array" ref="I12">IFERROR(SUMPRODUCT(($A$34:$A$135=$A12)*($B$34:$B$135=$B12)*($C$34:$C$135=$D12)*($D$34:$D$135=$E12)*(--((ISNUMBER(SEARCH("FPBO",$F$34:$F$135))+ISNUMBER(SEARCH("biocrude",$F$34:$F$135)))&gt;0))*$J$34:$J$135*$M$34:$M$135)/SUMPRODUCT(($A$34:$A$135=$A12)*($B$34:$B$135=$B12)*($C$34:$C$135=$D12)*($D$34:$D$135=$E12)*(--((ISNUMBER(SEARCH("FPBO",$F$34:$F$135))+ISNUMBER(SEARCH("biocrude",$F$34:$F$135)))&gt;0))*$J$34:$J$135),0)</f>
        <v>21.400000000000002</v>
      </c>
      <c r="J12" s="1060" cm="1">
        <f t="array" ref="J12">SUMPRODUCT(($A$34:$A$135=$A12)*($B$34:$B$135=$B12)*($C$34:$C$135=$D12)*($D$34:$D$135=$E12)*(--((ISNUMBER(SEARCH("FPBO",$F$34:$F$135))+ISNUMBER(SEARCH("biocrude",$F$34:$F$135)))&gt;0))*$H$34:$H$135)</f>
        <v>1.0285053574346024</v>
      </c>
      <c r="K12" s="1060" cm="1">
        <f t="array" ref="K12">SUMPRODUCT(($A$34:$A$135=$A12)*($B$34:$B$135=$B12)*($C$34:$C$135=$D12)*($D$34:$D$135=$E12)*(--((ISNUMBER(SEARCH("FPBO",$F$34:$F$135))+ISNUMBER(SEARCH("biocrude",$F$34:$F$135)))&gt;0))*$I$34:$I$135)</f>
        <v>1.3060865801567654</v>
      </c>
      <c r="L12" s="1060" cm="1">
        <f t="array" ref="L12">SUMPRODUCT(($A$34:$A$135=$A12)*($B$34:$B$135=$B12)*($C$34:$C$135=$D12)*($D$34:$D$135=$E12)*(--((ISNUMBER(SEARCH("FPBO",$F$34:$F$135))+ISNUMBER(SEARCH("biocrude",$F$34:$F$135)))&gt;0))*$J$34:$J$135)</f>
        <v>3.4076540108443405</v>
      </c>
      <c r="M12" s="1060" cm="1">
        <f t="array" ref="M12">SUMPRODUCT(($A$34:$A$135=$A12)*($B$34:$B$135=$B12)*($C$34:$C$135=$D12)*($D$34:$D$135=$E12)*(--((ISNUMBER(SEARCH("FPBO",$F$34:$F$135))+ISNUMBER(SEARCH("biocrude",$F$34:$F$135)))&gt;0))*$K$34:$K$135)</f>
        <v>5.7422459484357082</v>
      </c>
      <c r="N12" s="1058" t="s">
        <v>1649</v>
      </c>
    </row>
    <row r="13" spans="1:14">
      <c r="A13" s="1058" t="s">
        <v>1128</v>
      </c>
      <c r="B13" s="1058">
        <v>3</v>
      </c>
      <c r="C13" s="1058" t="s">
        <v>1499</v>
      </c>
      <c r="D13" s="1058" t="s">
        <v>46</v>
      </c>
      <c r="E13" s="1058" t="s">
        <v>640</v>
      </c>
      <c r="F13" s="1059" cm="1">
        <f t="array" ref="F13">IFERROR(SUMPRODUCT(($A$34:$A$135=$A13)*($B$34:$B$135=$B13)*($C$34:$C$135=$D13)*($D$34:$D$135=$E13)*$H$34:$H$135*$M$34:$M$135)/SUMIFS($H$34:$H$135,$A$34:$A$135,$A13,$B$34:$B$135,$B13,$C$34:$C$135,$D13,$D$34:$D$135,$E13),0)</f>
        <v>55.5</v>
      </c>
      <c r="G13" s="1059" cm="1">
        <f t="array" ref="G13">IFERROR(SUMPRODUCT(($A$34:$A$135=$A13)*($B$34:$B$135=$B13)*($C$34:$C$135=$D13)*($D$34:$D$135=$E13)*$I$34:$I$135*$M$34:$M$135)/SUMIFS($I$34:$I$135,$A$34:$A$135,$A13,$B$34:$B$135,$B13,$C$34:$C$135,$D13,$D$34:$D$135,$E13),0)</f>
        <v>0</v>
      </c>
      <c r="H13" s="1065" cm="1">
        <f t="array" ref="H13">IFERROR(SUMPRODUCT(($A$34:$A$135=$A13)*($B$34:$B$135=$B13)*($C$34:$C$135=$D13)*($D$34:$D$135=$E13)*$K$34:$K$135*$M$34:$M$135)/SUMIFS($K$34:$K$135,$A$34:$A$135,$A13,$B$34:$B$135,$B13,$C$34:$C$135,$D13,$D$34:$D$135,$E13),0)</f>
        <v>55.5</v>
      </c>
      <c r="I13" s="1059" cm="1">
        <f t="array" ref="I13">IFERROR(SUMPRODUCT(($A$34:$A$135=$A13)*($B$34:$B$135=$B13)*($C$34:$C$135=$D13)*($D$34:$D$135=$E13)*$J$34:$J$135*$M$34:$M$135)/SUMIFS($J$34:$J$135,$A$34:$A$135,$A13,$B$34:$B$135,$B13,$C$34:$C$135,$D13,$D$34:$D$135,$E13),0)</f>
        <v>55.5</v>
      </c>
      <c r="J13" s="1060">
        <f t="shared" ref="J13:J29" si="0">SUMIFS($H$34:$H$135,$A$34:$A$135,$A13,$B$34:$B$135,$B13,$C$34:$C$135,$D13,$D$34:$D$135,$E13)</f>
        <v>4.454004235702901</v>
      </c>
      <c r="K13" s="1060">
        <f t="shared" ref="K13:K29" si="1">SUMIFS($I$34:$I$135,$A$34:$A$135,$A13,$B$34:$B$135,$B13,$C$34:$C$135,$D13,$D$34:$D$135,$E13)</f>
        <v>0</v>
      </c>
      <c r="L13" s="1060">
        <f t="shared" ref="L13:L29" si="2">SUMIFS($J$34:$J$135,$A$34:$A$135,$A13,$B$34:$B$135,$B13,$C$34:$C$135,$D13,$D$34:$D$135,$E13)</f>
        <v>10.5</v>
      </c>
      <c r="M13" s="1060">
        <f t="shared" ref="M13:M29" si="3">SUMIFS($K$34:$K$135,$A$34:$A$135,$A13,$B$34:$B$135,$B13,$C$34:$C$135,$D13,$D$34:$D$135,$E13)</f>
        <v>14.9540042357029</v>
      </c>
      <c r="N13" s="1058" t="s">
        <v>1645</v>
      </c>
    </row>
    <row r="14" spans="1:14">
      <c r="A14" s="1058" t="s">
        <v>1128</v>
      </c>
      <c r="B14" s="1058">
        <v>5</v>
      </c>
      <c r="C14" s="1058" t="s">
        <v>6</v>
      </c>
      <c r="D14" s="1058" t="s">
        <v>48</v>
      </c>
      <c r="E14" s="1058" t="s">
        <v>640</v>
      </c>
      <c r="F14" s="1059" cm="1">
        <f t="array" ref="F14">IFERROR(SUMPRODUCT(($A$34:$A$135=$A14)*($B$34:$B$135=$B14)*($C$34:$C$135=$D14)*($D$34:$D$135=$E14)*$H$34:$H$135*$M$34:$M$135)/SUMIFS($H$34:$H$135,$A$34:$A$135,$A14,$B$34:$B$135,$B14,$C$34:$C$135,$D14,$D$34:$D$135,$E14),0)</f>
        <v>24.399999999999995</v>
      </c>
      <c r="G14" s="1059" cm="1">
        <f t="array" ref="G14">IFERROR(SUMPRODUCT(($A$34:$A$135=$A14)*($B$34:$B$135=$B14)*($C$34:$C$135=$D14)*($D$34:$D$135=$E14)*$I$34:$I$135*$M$34:$M$135)/SUMIFS($I$34:$I$135,$A$34:$A$135,$A14,$B$34:$B$135,$B14,$C$34:$C$135,$D14,$D$34:$D$135,$E14),0)</f>
        <v>24.400000000000002</v>
      </c>
      <c r="H14" s="1065" cm="1">
        <f t="array" ref="H14">IFERROR(SUMPRODUCT(($A$34:$A$135=$A14)*($B$34:$B$135=$B14)*($C$34:$C$135=$D14)*($D$34:$D$135=$E14)*$K$34:$K$135*$M$34:$M$135)/SUMIFS($K$34:$K$135,$A$34:$A$135,$A14,$B$34:$B$135,$B14,$C$34:$C$135,$D14,$D$34:$D$135,$E14),0)</f>
        <v>24.4</v>
      </c>
      <c r="I14" s="1059" cm="1">
        <f t="array" ref="I14">IFERROR(SUMPRODUCT(($A$34:$A$135=$A14)*($B$34:$B$135=$B14)*($C$34:$C$135=$D14)*($D$34:$D$135=$E14)*$J$34:$J$135*$M$34:$M$135)/SUMIFS($J$34:$J$135,$A$34:$A$135,$A14,$B$34:$B$135,$B14,$C$34:$C$135,$D14,$D$34:$D$135,$E14),0)</f>
        <v>24.4</v>
      </c>
      <c r="J14" s="1060">
        <f t="shared" si="0"/>
        <v>26.310984931318337</v>
      </c>
      <c r="K14" s="1060">
        <f t="shared" si="1"/>
        <v>40.92816852563805</v>
      </c>
      <c r="L14" s="1060">
        <f t="shared" si="2"/>
        <v>51.616756389369257</v>
      </c>
      <c r="M14" s="1060">
        <f t="shared" si="3"/>
        <v>118.85590984632564</v>
      </c>
      <c r="N14" s="1058" t="s">
        <v>1645</v>
      </c>
    </row>
    <row r="15" spans="1:14">
      <c r="A15" s="1058" t="s">
        <v>1128</v>
      </c>
      <c r="B15" s="1058">
        <v>5</v>
      </c>
      <c r="C15" s="1058" t="s">
        <v>6</v>
      </c>
      <c r="D15" s="1058" t="s">
        <v>49</v>
      </c>
      <c r="E15" s="1058" t="s">
        <v>643</v>
      </c>
      <c r="F15" s="1059" cm="1">
        <f t="array" ref="F15">IFERROR(SUMPRODUCT(($A$34:$A$135=$A15)*($B$34:$B$135=$B15)*($C$34:$C$135=$D15)*($D$34:$D$135=$E15)*$H$34:$H$135*$M$34:$M$135)/SUMIFS($H$34:$H$135,$A$34:$A$135,$A15,$B$34:$B$135,$B15,$C$34:$C$135,$D15,$D$34:$D$135,$E15),0)</f>
        <v>24.399999999999995</v>
      </c>
      <c r="G15" s="1059" cm="1">
        <f t="array" ref="G15">IFERROR(SUMPRODUCT(($A$34:$A$135=$A15)*($B$34:$B$135=$B15)*($C$34:$C$135=$D15)*($D$34:$D$135=$E15)*$I$34:$I$135*$M$34:$M$135)/SUMIFS($I$34:$I$135,$A$34:$A$135,$A15,$B$34:$B$135,$B15,$C$34:$C$135,$D15,$D$34:$D$135,$E15),0)</f>
        <v>24.400000000000002</v>
      </c>
      <c r="H15" s="1065" cm="1">
        <f t="array" ref="H15">IFERROR(SUMPRODUCT(($A$34:$A$135=$A15)*($B$34:$B$135=$B15)*($C$34:$C$135=$D15)*($D$34:$D$135=$E15)*$K$34:$K$135*$M$34:$M$135)/SUMIFS($K$34:$K$135,$A$34:$A$135,$A15,$B$34:$B$135,$B15,$C$34:$C$135,$D15,$D$34:$D$135,$E15),0)</f>
        <v>24.4</v>
      </c>
      <c r="I15" s="1059" cm="1">
        <f t="array" ref="I15">IFERROR(SUMPRODUCT(($A$34:$A$135=$A15)*($B$34:$B$135=$B15)*($C$34:$C$135=$D15)*($D$34:$D$135=$E15)*$J$34:$J$135*$M$34:$M$135)/SUMIFS($J$34:$J$135,$A$34:$A$135,$A15,$B$34:$B$135,$B15,$C$34:$C$135,$D15,$D$34:$D$135,$E15),0)</f>
        <v>24.4</v>
      </c>
      <c r="J15" s="1060">
        <f t="shared" si="0"/>
        <v>13.155492465659169</v>
      </c>
      <c r="K15" s="1060">
        <f t="shared" si="1"/>
        <v>20.464084262819025</v>
      </c>
      <c r="L15" s="1060">
        <f t="shared" si="2"/>
        <v>25.808378194684629</v>
      </c>
      <c r="M15" s="1060">
        <f t="shared" si="3"/>
        <v>59.427954923162822</v>
      </c>
      <c r="N15" s="1058" t="s">
        <v>1645</v>
      </c>
    </row>
    <row r="16" spans="1:14">
      <c r="A16" s="1058" t="s">
        <v>1128</v>
      </c>
      <c r="B16" s="1058">
        <v>6</v>
      </c>
      <c r="C16" s="1058" t="s">
        <v>7</v>
      </c>
      <c r="D16" s="1058" t="s">
        <v>49</v>
      </c>
      <c r="E16" s="1058" t="s">
        <v>641</v>
      </c>
      <c r="F16" s="1059" cm="1">
        <f t="array" ref="F16">IFERROR(SUMPRODUCT(($A$34:$A$135=$A16)*($B$34:$B$135=$B16)*($C$34:$C$135=$D16)*($D$34:$D$135=$E16)*$H$34:$H$135*$M$34:$M$135)/SUMIFS($H$34:$H$135,$A$34:$A$135,$A16,$B$34:$B$135,$B16,$C$34:$C$135,$D16,$D$34:$D$135,$E16),0)</f>
        <v>0</v>
      </c>
      <c r="G16" s="1059" cm="1">
        <f t="array" ref="G16">IFERROR(SUMPRODUCT(($A$34:$A$135=$A16)*($B$34:$B$135=$B16)*($C$34:$C$135=$D16)*($D$34:$D$135=$E16)*$I$34:$I$135*$M$34:$M$135)/SUMIFS($I$34:$I$135,$A$34:$A$135,$A16,$B$34:$B$135,$B16,$C$34:$C$135,$D16,$D$34:$D$135,$E16),0)</f>
        <v>0</v>
      </c>
      <c r="H16" s="1065" cm="1">
        <f t="array" ref="H16">IFERROR(SUMPRODUCT(($A$34:$A$135=$A16)*($B$34:$B$135=$B16)*($C$34:$C$135=$D16)*($D$34:$D$135=$E16)*$K$34:$K$135*$M$34:$M$135)/SUMIFS($K$34:$K$135,$A$34:$A$135,$A16,$B$34:$B$135,$B16,$C$34:$C$135,$D16,$D$34:$D$135,$E16),0)</f>
        <v>0</v>
      </c>
      <c r="I16" s="1059" cm="1">
        <f t="array" ref="I16">IFERROR(SUMPRODUCT(($A$34:$A$135=$A16)*($B$34:$B$135=$B16)*($C$34:$C$135=$D16)*($D$34:$D$135=$E16)*$J$34:$J$135*$M$34:$M$135)/SUMIFS($J$34:$J$135,$A$34:$A$135,$A16,$B$34:$B$135,$B16,$C$34:$C$135,$D16,$D$34:$D$135,$E16),0)</f>
        <v>0</v>
      </c>
      <c r="J16" s="1060">
        <f t="shared" si="0"/>
        <v>0</v>
      </c>
      <c r="K16" s="1060">
        <f t="shared" si="1"/>
        <v>0</v>
      </c>
      <c r="L16" s="1060">
        <f t="shared" si="2"/>
        <v>0</v>
      </c>
      <c r="M16" s="1060">
        <f t="shared" si="3"/>
        <v>0</v>
      </c>
      <c r="N16" s="1058" t="s">
        <v>1645</v>
      </c>
    </row>
    <row r="17" spans="1:14">
      <c r="A17" s="1058" t="s">
        <v>1128</v>
      </c>
      <c r="B17" s="1058">
        <v>7</v>
      </c>
      <c r="C17" s="1058" t="s">
        <v>8</v>
      </c>
      <c r="D17" s="1058" t="s">
        <v>50</v>
      </c>
      <c r="E17" s="1058" t="s">
        <v>642</v>
      </c>
      <c r="F17" s="1059" cm="1">
        <f t="array" ref="F17">IFERROR(SUMPRODUCT(($A$34:$A$135=$A17)*($B$34:$B$135=$B17)*($C$34:$C$135=$D17)*($D$34:$D$135=$E17)*$H$34:$H$135*$M$34:$M$135)/SUMIFS($H$34:$H$135,$A$34:$A$135,$A17,$B$34:$B$135,$B17,$C$34:$C$135,$D17,$D$34:$D$135,$E17),0)</f>
        <v>-65.174146680627771</v>
      </c>
      <c r="G17" s="1059" cm="1">
        <f t="array" ref="G17">IFERROR(SUMPRODUCT(($A$34:$A$135=$A17)*($B$34:$B$135=$B17)*($C$34:$C$135=$D17)*($D$34:$D$135=$E17)*$I$34:$I$135*$M$34:$M$135)/SUMIFS($I$34:$I$135,$A$34:$A$135,$A17,$B$34:$B$135,$B17,$C$34:$C$135,$D17,$D$34:$D$135,$E17),0)</f>
        <v>-63.215969240289539</v>
      </c>
      <c r="H17" s="1065" cm="1">
        <f t="array" ref="H17">IFERROR(SUMPRODUCT(($A$34:$A$135=$A17)*($B$34:$B$135=$B17)*($C$34:$C$135=$D17)*($D$34:$D$135=$E17)*$K$34:$K$135*$M$34:$M$135)/SUMIFS($K$34:$K$135,$A$34:$A$135,$A17,$B$34:$B$135,$B17,$C$34:$C$135,$D17,$D$34:$D$135,$E17),0)</f>
        <v>-62.308736726922312</v>
      </c>
      <c r="I17" s="1059" cm="1">
        <f t="array" ref="I17">IFERROR(SUMPRODUCT(($A$34:$A$135=$A17)*($B$34:$B$135=$B17)*($C$34:$C$135=$D17)*($D$34:$D$135=$E17)*$J$34:$J$135*$M$34:$M$135)/SUMIFS($J$34:$J$135,$A$34:$A$135,$A17,$B$34:$B$135,$B17,$C$34:$C$135,$D17,$D$34:$D$135,$E17),0)</f>
        <v>-59.337638833233889</v>
      </c>
      <c r="J17" s="1060">
        <f t="shared" si="0"/>
        <v>145.33172569748982</v>
      </c>
      <c r="K17" s="1060">
        <f t="shared" si="1"/>
        <v>198.99384258077731</v>
      </c>
      <c r="L17" s="1060">
        <f t="shared" si="2"/>
        <v>200.92527365728921</v>
      </c>
      <c r="M17" s="1060">
        <f t="shared" si="3"/>
        <v>545.25084193555631</v>
      </c>
      <c r="N17" s="1058" t="s">
        <v>1645</v>
      </c>
    </row>
    <row r="18" spans="1:14" hidden="1">
      <c r="A18" s="1058" t="s">
        <v>1128</v>
      </c>
      <c r="B18" s="1058" t="s">
        <v>9</v>
      </c>
      <c r="C18" s="1058" t="s">
        <v>774</v>
      </c>
      <c r="D18" s="1058" t="s">
        <v>51</v>
      </c>
      <c r="E18" s="1058" t="s">
        <v>645</v>
      </c>
      <c r="F18" s="1059" cm="1">
        <f t="array" ref="F18">IFERROR(SUMPRODUCT(($A$34:$A$135=$A18)*($B$34:$B$135=$B18)*($C$34:$C$135=$D18)*($D$34:$D$135=$E18)*$H$34:$H$135*$M$34:$M$135)/SUMIFS($H$34:$H$135,$A$34:$A$135,$A18,$B$34:$B$135,$B18,$C$34:$C$135,$D18,$D$34:$D$135,$E18),0)</f>
        <v>12.499999999999998</v>
      </c>
      <c r="G18" s="1059" cm="1">
        <f t="array" ref="G18">IFERROR(SUMPRODUCT(($A$34:$A$135=$A18)*($B$34:$B$135=$B18)*($C$34:$C$135=$D18)*($D$34:$D$135=$E18)*$I$34:$I$135*$M$34:$M$135)/SUMIFS($I$34:$I$135,$A$34:$A$135,$A18,$B$34:$B$135,$B18,$C$34:$C$135,$D18,$D$34:$D$135,$E18),0)</f>
        <v>12.499999999999998</v>
      </c>
      <c r="H18" s="1065" cm="1">
        <f t="array" ref="H18">IFERROR(SUMPRODUCT(($A$34:$A$135=$A18)*($B$34:$B$135=$B18)*($C$34:$C$135=$D18)*($D$34:$D$135=$E18)*$K$34:$K$135*$M$34:$M$135)/SUMIFS($K$34:$K$135,$A$34:$A$135,$A18,$B$34:$B$135,$B18,$C$34:$C$135,$D18,$D$34:$D$135,$E18),0)</f>
        <v>12.499999999999998</v>
      </c>
      <c r="I18" s="1059" cm="1">
        <f t="array" ref="I18">IFERROR(SUMPRODUCT(($A$34:$A$135=$A18)*($B$34:$B$135=$B18)*($C$34:$C$135=$D18)*($D$34:$D$135=$E18)*$J$34:$J$135*$M$34:$M$135)/SUMIFS($J$34:$J$135,$A$34:$A$135,$A18,$B$34:$B$135,$B18,$C$34:$C$135,$D18,$D$34:$D$135,$E18),0)</f>
        <v>12.5</v>
      </c>
      <c r="J18" s="1060">
        <f t="shared" si="0"/>
        <v>41.755581599616569</v>
      </c>
      <c r="K18" s="1060">
        <f t="shared" si="1"/>
        <v>58.944138985804884</v>
      </c>
      <c r="L18" s="1060">
        <f t="shared" si="2"/>
        <v>70.454090137881195</v>
      </c>
      <c r="M18" s="1060">
        <f t="shared" si="3"/>
        <v>171.15381072330266</v>
      </c>
      <c r="N18" s="1058" t="s">
        <v>1645</v>
      </c>
    </row>
    <row r="19" spans="1:14">
      <c r="A19" s="1058" t="s">
        <v>1128</v>
      </c>
      <c r="B19" s="1058" t="s">
        <v>11</v>
      </c>
      <c r="C19" s="1058" t="s">
        <v>12</v>
      </c>
      <c r="D19" s="1058" t="s">
        <v>51</v>
      </c>
      <c r="E19" s="1058" t="s">
        <v>645</v>
      </c>
      <c r="F19" s="1059" cm="1">
        <f t="array" ref="F19">IFERROR(SUMPRODUCT(($A$34:$A$135=$A19)*($B$34:$B$135=$B19)*($C$34:$C$135=$D19)*($D$34:$D$135=$E19)*$H$34:$H$135*$M$34:$M$135)/SUMIFS($H$34:$H$135,$A$34:$A$135,$A19,$B$34:$B$135,$B19,$C$34:$C$135,$D19,$D$34:$D$135,$E19),0)</f>
        <v>12</v>
      </c>
      <c r="G19" s="1059" cm="1">
        <f t="array" ref="G19">IFERROR(SUMPRODUCT(($A$34:$A$135=$A19)*($B$34:$B$135=$B19)*($C$34:$C$135=$D19)*($D$34:$D$135=$E19)*$I$34:$I$135*$M$34:$M$135)/SUMIFS($I$34:$I$135,$A$34:$A$135,$A19,$B$34:$B$135,$B19,$C$34:$C$135,$D19,$D$34:$D$135,$E19),0)</f>
        <v>12</v>
      </c>
      <c r="H19" s="1065" cm="1">
        <f t="array" ref="H19">IFERROR(SUMPRODUCT(($A$34:$A$135=$A19)*($B$34:$B$135=$B19)*($C$34:$C$135=$D19)*($D$34:$D$135=$E19)*$K$34:$K$135*$M$34:$M$135)/SUMIFS($K$34:$K$135,$A$34:$A$135,$A19,$B$34:$B$135,$B19,$C$34:$C$135,$D19,$D$34:$D$135,$E19),0)</f>
        <v>12</v>
      </c>
      <c r="I19" s="1059" cm="1">
        <f t="array" ref="I19">IFERROR(SUMPRODUCT(($A$34:$A$135=$A19)*($B$34:$B$135=$B19)*($C$34:$C$135=$D19)*($D$34:$D$135=$E19)*$J$34:$J$135*$M$34:$M$135)/SUMIFS($J$34:$J$135,$A$34:$A$135,$A19,$B$34:$B$135,$B19,$C$34:$C$135,$D19,$D$34:$D$135,$E19),0)</f>
        <v>0</v>
      </c>
      <c r="J19" s="1060">
        <f t="shared" si="0"/>
        <v>2.2959999999999998</v>
      </c>
      <c r="K19" s="1060">
        <f t="shared" si="1"/>
        <v>26.023398020561689</v>
      </c>
      <c r="L19" s="1060">
        <f t="shared" si="2"/>
        <v>0</v>
      </c>
      <c r="M19" s="1060">
        <f t="shared" si="3"/>
        <v>28.319398020561689</v>
      </c>
      <c r="N19" s="1058" t="s">
        <v>1645</v>
      </c>
    </row>
    <row r="20" spans="1:14">
      <c r="A20" s="1058" t="s">
        <v>1128</v>
      </c>
      <c r="B20" s="1058" t="s">
        <v>13</v>
      </c>
      <c r="C20" s="1058" t="s">
        <v>957</v>
      </c>
      <c r="D20" s="1058" t="s">
        <v>1342</v>
      </c>
      <c r="E20" s="1058" t="s">
        <v>646</v>
      </c>
      <c r="F20" s="1059" cm="1">
        <f t="array" ref="F20">IFERROR(SUMPRODUCT(($A$34:$A$135=$A20)*($B$34:$B$135=$B20)*($C$34:$C$135=$D20)*($D$34:$D$135=$E20)*$H$34:$H$135*$M$34:$M$135)/SUMIFS($H$34:$H$135,$A$34:$A$135,$A20,$B$34:$B$135,$B20,$C$34:$C$135,$D20,$D$34:$D$135,$E20),0)</f>
        <v>1.8</v>
      </c>
      <c r="G20" s="1059" cm="1">
        <f t="array" ref="G20">IFERROR(SUMPRODUCT(($A$34:$A$135=$A20)*($B$34:$B$135=$B20)*($C$34:$C$135=$D20)*($D$34:$D$135=$E20)*$I$34:$I$135*$M$34:$M$135)/SUMIFS($I$34:$I$135,$A$34:$A$135,$A20,$B$34:$B$135,$B20,$C$34:$C$135,$D20,$D$34:$D$135,$E20),0)</f>
        <v>1.8</v>
      </c>
      <c r="H20" s="1065" cm="1">
        <f t="array" ref="H20">IFERROR(SUMPRODUCT(($A$34:$A$135=$A20)*($B$34:$B$135=$B20)*($C$34:$C$135=$D20)*($D$34:$D$135=$E20)*$K$34:$K$135*$M$34:$M$135)/SUMIFS($K$34:$K$135,$A$34:$A$135,$A20,$B$34:$B$135,$B20,$C$34:$C$135,$D20,$D$34:$D$135,$E20),0)</f>
        <v>1.8</v>
      </c>
      <c r="I20" s="1059" cm="1">
        <f t="array" ref="I20">IFERROR(SUMPRODUCT(($A$34:$A$135=$A20)*($B$34:$B$135=$B20)*($C$34:$C$135=$D20)*($D$34:$D$135=$E20)*$J$34:$J$135*$M$34:$M$135)/SUMIFS($J$34:$J$135,$A$34:$A$135,$A20,$B$34:$B$135,$B20,$C$34:$C$135,$D20,$D$34:$D$135,$E20),0)</f>
        <v>1.8</v>
      </c>
      <c r="J20" s="1060">
        <f t="shared" si="0"/>
        <v>16.34</v>
      </c>
      <c r="K20" s="1060">
        <f t="shared" si="1"/>
        <v>16.34</v>
      </c>
      <c r="L20" s="1060">
        <f t="shared" si="2"/>
        <v>32.195</v>
      </c>
      <c r="M20" s="1060">
        <f t="shared" si="3"/>
        <v>64.875</v>
      </c>
      <c r="N20" s="1058" t="s">
        <v>1645</v>
      </c>
    </row>
    <row r="21" spans="1:14" hidden="1">
      <c r="A21" s="1058" t="s">
        <v>1128</v>
      </c>
      <c r="B21" s="1058" t="s">
        <v>15</v>
      </c>
      <c r="C21" s="1058" t="s">
        <v>16</v>
      </c>
      <c r="D21" s="1058" t="s">
        <v>1598</v>
      </c>
      <c r="E21" s="1058" t="s">
        <v>1640</v>
      </c>
      <c r="F21" s="1059" cm="1">
        <f t="array" ref="F21">IFERROR(SUMPRODUCT(($A$34:$A$135=$A21)*($B$34:$B$135=$B21)*($C$34:$C$135=$D21)*($D$34:$D$135=$E21)*$H$34:$H$135*$M$34:$M$135)/SUMIFS($H$34:$H$135,$A$34:$A$135,$A21,$B$34:$B$135,$B21,$C$34:$C$135,$D21,$D$34:$D$135,$E21),0)</f>
        <v>0</v>
      </c>
      <c r="G21" s="1059" cm="1">
        <f t="array" ref="G21">IFERROR(SUMPRODUCT(($A$34:$A$135=$A21)*($B$34:$B$135=$B21)*($C$34:$C$135=$D21)*($D$34:$D$135=$E21)*$I$34:$I$135*$M$34:$M$135)/SUMIFS($I$34:$I$135,$A$34:$A$135,$A21,$B$34:$B$135,$B21,$C$34:$C$135,$D21,$D$34:$D$135,$E21),0)</f>
        <v>0</v>
      </c>
      <c r="H21" s="1065" cm="1">
        <f t="array" ref="H21">IFERROR(SUMPRODUCT(($A$34:$A$135=$A21)*($B$34:$B$135=$B21)*($C$34:$C$135=$D21)*($D$34:$D$135=$E21)*$K$34:$K$135*$M$34:$M$135)/SUMIFS($K$34:$K$135,$A$34:$A$135,$A21,$B$34:$B$135,$B21,$C$34:$C$135,$D21,$D$34:$D$135,$E21),0)</f>
        <v>0</v>
      </c>
      <c r="I21" s="1059" cm="1">
        <f t="array" ref="I21">IFERROR(SUMPRODUCT(($A$34:$A$135=$A21)*($B$34:$B$135=$B21)*($C$34:$C$135=$D21)*($D$34:$D$135=$E21)*$J$34:$J$135*$M$34:$M$135)/SUMIFS($J$34:$J$135,$A$34:$A$135,$A21,$B$34:$B$135,$B21,$C$34:$C$135,$D21,$D$34:$D$135,$E21),0)</f>
        <v>0</v>
      </c>
      <c r="J21" s="1060">
        <f t="shared" si="0"/>
        <v>0</v>
      </c>
      <c r="K21" s="1060">
        <f t="shared" si="1"/>
        <v>0</v>
      </c>
      <c r="L21" s="1060">
        <f t="shared" si="2"/>
        <v>0</v>
      </c>
      <c r="M21" s="1060">
        <f t="shared" si="3"/>
        <v>0</v>
      </c>
      <c r="N21" s="1058" t="s">
        <v>1645</v>
      </c>
    </row>
    <row r="22" spans="1:14">
      <c r="A22" s="1058" t="s">
        <v>1128</v>
      </c>
      <c r="B22" s="1058" t="s">
        <v>17</v>
      </c>
      <c r="C22" s="1058" t="s">
        <v>18</v>
      </c>
      <c r="D22" s="1058" t="s">
        <v>53</v>
      </c>
      <c r="E22" s="1058" t="s">
        <v>1023</v>
      </c>
      <c r="F22" s="1059" cm="1">
        <f t="array" ref="F22">IFERROR(SUMPRODUCT(($A$34:$A$135=$A22)*($B$34:$B$135=$B22)*($C$34:$C$135=$D22)*($D$34:$D$135=$E22)*$H$34:$H$135*$M$34:$M$135)/SUMIFS($H$34:$H$135,$A$34:$A$135,$A22,$B$34:$B$135,$B22,$C$34:$C$135,$D22,$D$34:$D$135,$E22),0)</f>
        <v>21.696064581839192</v>
      </c>
      <c r="G22" s="1059" cm="1">
        <f t="array" ref="G22">IFERROR(SUMPRODUCT(($A$34:$A$135=$A22)*($B$34:$B$135=$B22)*($C$34:$C$135=$D22)*($D$34:$D$135=$E22)*$I$34:$I$135*$M$34:$M$135)/SUMIFS($I$34:$I$135,$A$34:$A$135,$A22,$B$34:$B$135,$B22,$C$34:$C$135,$D22,$D$34:$D$135,$E22),0)</f>
        <v>21.554246809010493</v>
      </c>
      <c r="H22" s="1065" cm="1">
        <f t="array" ref="H22">IFERROR(SUMPRODUCT(($A$34:$A$135=$A22)*($B$34:$B$135=$B22)*($C$34:$C$135=$D22)*($D$34:$D$135=$E22)*$K$34:$K$135*$M$34:$M$135)/SUMIFS($K$34:$K$135,$A$34:$A$135,$A22,$B$34:$B$135,$B22,$C$34:$C$135,$D22,$D$34:$D$135,$E22),0)</f>
        <v>21.754916576617646</v>
      </c>
      <c r="I22" s="1059" cm="1">
        <f t="array" ref="I22">IFERROR(SUMPRODUCT(($A$34:$A$135=$A22)*($B$34:$B$135=$B22)*($C$34:$C$135=$D22)*($D$34:$D$135=$E22)*$J$34:$J$135*$M$34:$M$135)/SUMIFS($J$34:$J$135,$A$34:$A$135,$A22,$B$34:$B$135,$B22,$C$34:$C$135,$D22,$D$34:$D$135,$E22),0)</f>
        <v>21.957682745542687</v>
      </c>
      <c r="J22" s="1060">
        <f t="shared" si="0"/>
        <v>41.755581599616569</v>
      </c>
      <c r="K22" s="1060">
        <f t="shared" si="1"/>
        <v>58.944138985804884</v>
      </c>
      <c r="L22" s="1060">
        <f t="shared" si="2"/>
        <v>70.454090137881195</v>
      </c>
      <c r="M22" s="1060">
        <f t="shared" si="3"/>
        <v>171.15381072330266</v>
      </c>
      <c r="N22" s="1058" t="s">
        <v>1645</v>
      </c>
    </row>
    <row r="23" spans="1:14">
      <c r="A23" s="1058" t="s">
        <v>1128</v>
      </c>
      <c r="B23" s="1058" t="s">
        <v>19</v>
      </c>
      <c r="C23" s="1058" t="s">
        <v>959</v>
      </c>
      <c r="D23" s="1058" t="s">
        <v>1341</v>
      </c>
      <c r="E23" s="1058" t="s">
        <v>964</v>
      </c>
      <c r="F23" s="1059" cm="1">
        <f t="array" ref="F23">IFERROR(SUMPRODUCT(($A$34:$A$135=$A23)*($B$34:$B$135=$B23)*($C$34:$C$135=$D23)*($D$34:$D$135=$E23)*$H$34:$H$135*$M$34:$M$135)/SUMIFS($H$34:$H$135,$A$34:$A$135,$A23,$B$34:$B$135,$B23,$C$34:$C$135,$D23,$D$34:$D$135,$E23),0)</f>
        <v>2.4</v>
      </c>
      <c r="G23" s="1059" cm="1">
        <f t="array" ref="G23">IFERROR(SUMPRODUCT(($A$34:$A$135=$A23)*($B$34:$B$135=$B23)*($C$34:$C$135=$D23)*($D$34:$D$135=$E23)*$I$34:$I$135*$M$34:$M$135)/SUMIFS($I$34:$I$135,$A$34:$A$135,$A23,$B$34:$B$135,$B23,$C$34:$C$135,$D23,$D$34:$D$135,$E23),0)</f>
        <v>2.4</v>
      </c>
      <c r="H23" s="1065" cm="1">
        <f t="array" ref="H23">IFERROR(SUMPRODUCT(($A$34:$A$135=$A23)*($B$34:$B$135=$B23)*($C$34:$C$135=$D23)*($D$34:$D$135=$E23)*$K$34:$K$135*$M$34:$M$135)/SUMIFS($K$34:$K$135,$A$34:$A$135,$A23,$B$34:$B$135,$B23,$C$34:$C$135,$D23,$D$34:$D$135,$E23),0)</f>
        <v>2.4</v>
      </c>
      <c r="I23" s="1059" cm="1">
        <f t="array" ref="I23">IFERROR(SUMPRODUCT(($A$34:$A$135=$A23)*($B$34:$B$135=$B23)*($C$34:$C$135=$D23)*($D$34:$D$135=$E23)*$J$34:$J$135*$M$34:$M$135)/SUMIFS($J$34:$J$135,$A$34:$A$135,$A23,$B$34:$B$135,$B23,$C$34:$C$135,$D23,$D$34:$D$135,$E23),0)</f>
        <v>2.4</v>
      </c>
      <c r="J23" s="1060">
        <f t="shared" si="0"/>
        <v>16.34</v>
      </c>
      <c r="K23" s="1060">
        <f t="shared" si="1"/>
        <v>16.34</v>
      </c>
      <c r="L23" s="1060">
        <f t="shared" si="2"/>
        <v>32.195</v>
      </c>
      <c r="M23" s="1060">
        <f t="shared" si="3"/>
        <v>64.875</v>
      </c>
      <c r="N23" s="1058" t="s">
        <v>1645</v>
      </c>
    </row>
    <row r="24" spans="1:14" ht="15.5" customHeight="1">
      <c r="A24" s="1058" t="s">
        <v>1128</v>
      </c>
      <c r="B24" s="1058" t="s">
        <v>22</v>
      </c>
      <c r="C24" s="1058" t="s">
        <v>23</v>
      </c>
      <c r="D24" s="1058" t="s">
        <v>120</v>
      </c>
      <c r="E24" s="1058" t="s">
        <v>640</v>
      </c>
      <c r="F24" s="1059" cm="1">
        <f t="array" ref="F24">IFERROR(SUMPRODUCT(($A$34:$A$135=$A24)*($B$34:$B$135=$B24)*($C$34:$C$135=$D24)*($D$34:$D$135=$E24)*$H$34:$H$135*$M$34:$M$135)/SUMIFS($H$34:$H$135,$A$34:$A$135,$A24,$B$34:$B$135,$B24,$C$34:$C$135,$D24,$D$34:$D$135,$E24),0)</f>
        <v>8.6212619465518685</v>
      </c>
      <c r="G24" s="1059" cm="1">
        <f t="array" ref="G24">IFERROR(SUMPRODUCT(($A$34:$A$135=$A24)*($B$34:$B$135=$B24)*($C$34:$C$135=$D24)*($D$34:$D$135=$E24)*$I$34:$I$135*$M$34:$M$135)/SUMIFS($I$34:$I$135,$A$34:$A$135,$A24,$B$34:$B$135,$B24,$C$34:$C$135,$D24,$D$34:$D$135,$E24),0)</f>
        <v>8.433561953102128</v>
      </c>
      <c r="H24" s="1065" cm="1">
        <f t="array" ref="H24">IFERROR(SUMPRODUCT(($A$34:$A$135=$A24)*($B$34:$B$135=$B24)*($C$34:$C$135=$D24)*($D$34:$D$135=$E24)*$K$34:$K$135*$M$34:$M$135)/SUMIFS($K$34:$K$135,$A$34:$A$135,$A24,$B$34:$B$135,$B24,$C$34:$C$135,$D24,$D$34:$D$135,$E24),0)</f>
        <v>8.6991542925821808</v>
      </c>
      <c r="I24" s="1059" cm="1">
        <f t="array" ref="I24">IFERROR(SUMPRODUCT(($A$34:$A$135=$A24)*($B$34:$B$135=$B24)*($C$34:$C$135=$D24)*($D$34:$D$135=$E24)*$J$34:$J$135*$M$34:$M$135)/SUMIFS($J$34:$J$135,$A$34:$A$135,$A24,$B$34:$B$135,$B24,$C$34:$C$135,$D24,$D$34:$D$135,$E24),0)</f>
        <v>8.9675212808653182</v>
      </c>
      <c r="J24" s="1060">
        <f t="shared" si="0"/>
        <v>20.877790799808285</v>
      </c>
      <c r="K24" s="1060">
        <f t="shared" si="1"/>
        <v>29.472069492902442</v>
      </c>
      <c r="L24" s="1060">
        <f t="shared" si="2"/>
        <v>35.227045068940598</v>
      </c>
      <c r="M24" s="1060">
        <f t="shared" si="3"/>
        <v>85.576905361651328</v>
      </c>
      <c r="N24" s="1058" t="s">
        <v>1645</v>
      </c>
    </row>
    <row r="25" spans="1:14" hidden="1">
      <c r="A25" s="1058" t="s">
        <v>1128</v>
      </c>
      <c r="B25" s="1058" t="s">
        <v>22</v>
      </c>
      <c r="C25" s="1058" t="s">
        <v>23</v>
      </c>
      <c r="D25" s="1058" t="s">
        <v>57</v>
      </c>
      <c r="E25" s="1058" t="s">
        <v>641</v>
      </c>
      <c r="F25" s="1059" cm="1">
        <f t="array" ref="F25">IFERROR(SUMPRODUCT(($A$34:$A$135=$A25)*($B$34:$B$135=$B25)*($C$34:$C$135=$D25)*($D$34:$D$135=$E25)*$H$34:$H$135*$M$34:$M$135)/SUMIFS($H$34:$H$135,$A$34:$A$135,$A25,$B$34:$B$135,$B25,$C$34:$C$135,$D25,$D$34:$D$135,$E25),0)</f>
        <v>8.6212619465518685</v>
      </c>
      <c r="G25" s="1059" cm="1">
        <f t="array" ref="G25">IFERROR(SUMPRODUCT(($A$34:$A$135=$A25)*($B$34:$B$135=$B25)*($C$34:$C$135=$D25)*($D$34:$D$135=$E25)*$I$34:$I$135*$M$34:$M$135)/SUMIFS($I$34:$I$135,$A$34:$A$135,$A25,$B$34:$B$135,$B25,$C$34:$C$135,$D25,$D$34:$D$135,$E25),0)</f>
        <v>8.433561953102128</v>
      </c>
      <c r="H25" s="1065" cm="1">
        <f t="array" ref="H25">IFERROR(SUMPRODUCT(($A$34:$A$135=$A25)*($B$34:$B$135=$B25)*($C$34:$C$135=$D25)*($D$34:$D$135=$E25)*$K$34:$K$135*$M$34:$M$135)/SUMIFS($K$34:$K$135,$A$34:$A$135,$A25,$B$34:$B$135,$B25,$C$34:$C$135,$D25,$D$34:$D$135,$E25),0)</f>
        <v>8.6991542925821808</v>
      </c>
      <c r="I25" s="1059" cm="1">
        <f t="array" ref="I25">IFERROR(SUMPRODUCT(($A$34:$A$135=$A25)*($B$34:$B$135=$B25)*($C$34:$C$135=$D25)*($D$34:$D$135=$E25)*$J$34:$J$135*$M$34:$M$135)/SUMIFS($J$34:$J$135,$A$34:$A$135,$A25,$B$34:$B$135,$B25,$C$34:$C$135,$D25,$D$34:$D$135,$E25),0)</f>
        <v>8.9675212808653182</v>
      </c>
      <c r="J25" s="1060">
        <f t="shared" si="0"/>
        <v>20.877790799808285</v>
      </c>
      <c r="K25" s="1060">
        <f t="shared" si="1"/>
        <v>29.472069492902442</v>
      </c>
      <c r="L25" s="1060">
        <f t="shared" si="2"/>
        <v>35.227045068940598</v>
      </c>
      <c r="M25" s="1060">
        <f t="shared" si="3"/>
        <v>85.576905361651328</v>
      </c>
      <c r="N25" s="1058" t="s">
        <v>1645</v>
      </c>
    </row>
    <row r="26" spans="1:14">
      <c r="A26" s="1058" t="s">
        <v>1128</v>
      </c>
      <c r="B26" s="1058">
        <v>12</v>
      </c>
      <c r="C26" s="1058" t="s">
        <v>26</v>
      </c>
      <c r="D26" s="1058" t="s">
        <v>1598</v>
      </c>
      <c r="E26" s="1058" t="s">
        <v>62</v>
      </c>
      <c r="F26" s="1059" cm="1">
        <f t="array" ref="F26">IFERROR(SUMPRODUCT(($A$34:$A$135=$A26)*($B$34:$B$135=$B26)*($C$34:$C$135=$D26)*($D$34:$D$135=$E26)*$H$34:$H$135*$M$34:$M$135)/SUMIFS($H$34:$H$135,$A$34:$A$135,$A26,$B$34:$B$135,$B26,$C$34:$C$135,$D26,$D$34:$D$135,$E26),0)</f>
        <v>29.4</v>
      </c>
      <c r="G26" s="1059" cm="1">
        <f t="array" ref="G26">IFERROR(SUMPRODUCT(($A$34:$A$135=$A26)*($B$34:$B$135=$B26)*($C$34:$C$135=$D26)*($D$34:$D$135=$E26)*$I$34:$I$135*$M$34:$M$135)/SUMIFS($I$34:$I$135,$A$34:$A$135,$A26,$B$34:$B$135,$B26,$C$34:$C$135,$D26,$D$34:$D$135,$E26),0)</f>
        <v>29.4</v>
      </c>
      <c r="H26" s="1065" cm="1">
        <f t="array" ref="H26">IFERROR(SUMPRODUCT(($A$34:$A$135=$A26)*($B$34:$B$135=$B26)*($C$34:$C$135=$D26)*($D$34:$D$135=$E26)*$K$34:$K$135*$M$34:$M$135)/SUMIFS($K$34:$K$135,$A$34:$A$135,$A26,$B$34:$B$135,$B26,$C$34:$C$135,$D26,$D$34:$D$135,$E26),0)</f>
        <v>29.4</v>
      </c>
      <c r="I26" s="1059" cm="1">
        <f t="array" ref="I26">IFERROR(SUMPRODUCT(($A$34:$A$135=$A26)*($B$34:$B$135=$B26)*($C$34:$C$135=$D26)*($D$34:$D$135=$E26)*$J$34:$J$135*$M$34:$M$135)/SUMIFS($J$34:$J$135,$A$34:$A$135,$A26,$B$34:$B$135,$B26,$C$34:$C$135,$D26,$D$34:$D$135,$E26),0)</f>
        <v>0</v>
      </c>
      <c r="J26" s="1060">
        <f t="shared" si="0"/>
        <v>0.4999999999999995</v>
      </c>
      <c r="K26" s="1060">
        <f t="shared" si="1"/>
        <v>39.304744217258914</v>
      </c>
      <c r="L26" s="1060">
        <f t="shared" si="2"/>
        <v>0</v>
      </c>
      <c r="M26" s="1060">
        <f t="shared" si="3"/>
        <v>39.804744217258914</v>
      </c>
      <c r="N26" s="1058" t="s">
        <v>1645</v>
      </c>
    </row>
    <row r="27" spans="1:14">
      <c r="A27" s="1058" t="s">
        <v>1128</v>
      </c>
      <c r="B27" s="1058" t="s">
        <v>27</v>
      </c>
      <c r="C27" s="1058" t="s">
        <v>28</v>
      </c>
      <c r="D27" s="1058" t="s">
        <v>99</v>
      </c>
      <c r="E27" s="1058" t="s">
        <v>1513</v>
      </c>
      <c r="F27" s="1059" cm="1">
        <f t="array" ref="F27">IFERROR(SUMPRODUCT(($A$34:$A$135=$A27)*($B$34:$B$135=$B27)*($C$34:$C$135=$D27)*($D$34:$D$135=$E27)*$H$34:$H$135*$M$34:$M$135)/SUMIFS($H$34:$H$135,$A$34:$A$135,$A27,$B$34:$B$135,$B27,$C$34:$C$135,$D27,$D$34:$D$135,$E27),0)</f>
        <v>55.499999999999993</v>
      </c>
      <c r="G27" s="1059" cm="1">
        <f t="array" ref="G27">IFERROR(SUMPRODUCT(($A$34:$A$135=$A27)*($B$34:$B$135=$B27)*($C$34:$C$135=$D27)*($D$34:$D$135=$E27)*$I$34:$I$135*$M$34:$M$135)/SUMIFS($I$34:$I$135,$A$34:$A$135,$A27,$B$34:$B$135,$B27,$C$34:$C$135,$D27,$D$34:$D$135,$E27),0)</f>
        <v>55.5</v>
      </c>
      <c r="H27" s="1065" cm="1">
        <f t="array" ref="H27">IFERROR(SUMPRODUCT(($A$34:$A$135=$A27)*($B$34:$B$135=$B27)*($C$34:$C$135=$D27)*($D$34:$D$135=$E27)*$K$34:$K$135*$M$34:$M$135)/SUMIFS($K$34:$K$135,$A$34:$A$135,$A27,$B$34:$B$135,$B27,$C$34:$C$135,$D27,$D$34:$D$135,$E27),0)</f>
        <v>55.5</v>
      </c>
      <c r="I27" s="1059" cm="1">
        <f t="array" ref="I27">IFERROR(SUMPRODUCT(($A$34:$A$135=$A27)*($B$34:$B$135=$B27)*($C$34:$C$135=$D27)*($D$34:$D$135=$E27)*$J$34:$J$135*$M$34:$M$135)/SUMIFS($J$34:$J$135,$A$34:$A$135,$A27,$B$34:$B$135,$B27,$C$34:$C$135,$D27,$D$34:$D$135,$E27),0)</f>
        <v>55.499999999999986</v>
      </c>
      <c r="J27" s="1060">
        <f t="shared" si="0"/>
        <v>38.254280482984413</v>
      </c>
      <c r="K27" s="1060">
        <f t="shared" si="1"/>
        <v>54.628347141168042</v>
      </c>
      <c r="L27" s="1060">
        <f t="shared" si="2"/>
        <v>65.928599546046954</v>
      </c>
      <c r="M27" s="1060">
        <f t="shared" si="3"/>
        <v>158.8112271701994</v>
      </c>
      <c r="N27" s="1058" t="s">
        <v>1645</v>
      </c>
    </row>
    <row r="28" spans="1:14">
      <c r="A28" s="1058" t="s">
        <v>1128</v>
      </c>
      <c r="B28" s="1058" t="s">
        <v>29</v>
      </c>
      <c r="C28" s="1058" t="s">
        <v>1514</v>
      </c>
      <c r="D28" s="1058" t="s">
        <v>239</v>
      </c>
      <c r="E28" s="1058" t="s">
        <v>640</v>
      </c>
      <c r="F28" s="1059" cm="1">
        <f t="array" ref="F28">IFERROR(SUMPRODUCT(($A$34:$A$135=$A28)*($B$34:$B$135=$B28)*($C$34:$C$135=$D28)*($D$34:$D$135=$E28)*$H$34:$H$135*$M$34:$M$135)/SUMIFS($H$34:$H$135,$A$34:$A$135,$A28,$B$34:$B$135,$B28,$C$34:$C$135,$D28,$D$34:$D$135,$E28),0)</f>
        <v>26.8</v>
      </c>
      <c r="G28" s="1059" cm="1">
        <f t="array" ref="G28">IFERROR(SUMPRODUCT(($A$34:$A$135=$A28)*($B$34:$B$135=$B28)*($C$34:$C$135=$D28)*($D$34:$D$135=$E28)*$I$34:$I$135*$M$34:$M$135)/SUMIFS($I$34:$I$135,$A$34:$A$135,$A28,$B$34:$B$135,$B28,$C$34:$C$135,$D28,$D$34:$D$135,$E28),0)</f>
        <v>26.800000000000004</v>
      </c>
      <c r="H28" s="1065" cm="1">
        <f t="array" ref="H28">IFERROR(SUMPRODUCT(($A$34:$A$135=$A28)*($B$34:$B$135=$B28)*($C$34:$C$135=$D28)*($D$34:$D$135=$E28)*$K$34:$K$135*$M$34:$M$135)/SUMIFS($K$34:$K$135,$A$34:$A$135,$A28,$B$34:$B$135,$B28,$C$34:$C$135,$D28,$D$34:$D$135,$E28),0)</f>
        <v>26.8</v>
      </c>
      <c r="I28" s="1059" cm="1">
        <f t="array" ref="I28">IFERROR(SUMPRODUCT(($A$34:$A$135=$A28)*($B$34:$B$135=$B28)*($C$34:$C$135=$D28)*($D$34:$D$135=$E28)*$J$34:$J$135*$M$34:$M$135)/SUMIFS($J$34:$J$135,$A$34:$A$135,$A28,$B$34:$B$135,$B28,$C$34:$C$135,$D28,$D$34:$D$135,$E28),0)</f>
        <v>26.8</v>
      </c>
      <c r="J28" s="1060">
        <f t="shared" si="0"/>
        <v>19.493074991657604</v>
      </c>
      <c r="K28" s="1060">
        <f t="shared" si="1"/>
        <v>27.938328266047645</v>
      </c>
      <c r="L28" s="1060">
        <f t="shared" si="2"/>
        <v>38.066471813065299</v>
      </c>
      <c r="M28" s="1060">
        <f t="shared" si="3"/>
        <v>85.497875070770561</v>
      </c>
      <c r="N28" s="1058" t="s">
        <v>1645</v>
      </c>
    </row>
    <row r="29" spans="1:14">
      <c r="A29" s="1058" t="s">
        <v>1128</v>
      </c>
      <c r="B29" s="1058" t="s">
        <v>29</v>
      </c>
      <c r="C29" s="1058" t="s">
        <v>1514</v>
      </c>
      <c r="D29" s="1058" t="s">
        <v>230</v>
      </c>
      <c r="E29" s="1058" t="s">
        <v>644</v>
      </c>
      <c r="F29" s="1059" cm="1">
        <f t="array" ref="F29">IFERROR(SUMPRODUCT(($A$34:$A$135=$A29)*($B$34:$B$135=$B29)*($C$34:$C$135=$D29)*($D$34:$D$135=$E29)*$H$34:$H$135*$M$34:$M$135)/SUMIFS($H$34:$H$135,$A$34:$A$135,$A29,$B$34:$B$135,$B29,$C$34:$C$135,$D29,$D$34:$D$135,$E29),0)</f>
        <v>26.8</v>
      </c>
      <c r="G29" s="1059" cm="1">
        <f t="array" ref="G29">IFERROR(SUMPRODUCT(($A$34:$A$135=$A29)*($B$34:$B$135=$B29)*($C$34:$C$135=$D29)*($D$34:$D$135=$E29)*$I$34:$I$135*$M$34:$M$135)/SUMIFS($I$34:$I$135,$A$34:$A$135,$A29,$B$34:$B$135,$B29,$C$34:$C$135,$D29,$D$34:$D$135,$E29),0)</f>
        <v>26.800000000000004</v>
      </c>
      <c r="H29" s="1065" cm="1">
        <f t="array" ref="H29">IFERROR(SUMPRODUCT(($A$34:$A$135=$A29)*($B$34:$B$135=$B29)*($C$34:$C$135=$D29)*($D$34:$D$135=$E29)*$K$34:$K$135*$M$34:$M$135)/SUMIFS($K$34:$K$135,$A$34:$A$135,$A29,$B$34:$B$135,$B29,$C$34:$C$135,$D29,$D$34:$D$135,$E29),0)</f>
        <v>26.8</v>
      </c>
      <c r="I29" s="1059" cm="1">
        <f t="array" ref="I29">IFERROR(SUMPRODUCT(($A$34:$A$135=$A29)*($B$34:$B$135=$B29)*($C$34:$C$135=$D29)*($D$34:$D$135=$E29)*$J$34:$J$135*$M$34:$M$135)/SUMIFS($J$34:$J$135,$A$34:$A$135,$A29,$B$34:$B$135,$B29,$C$34:$C$135,$D29,$D$34:$D$135,$E29),0)</f>
        <v>26.8</v>
      </c>
      <c r="J29" s="1060">
        <f t="shared" si="0"/>
        <v>19.493074991657604</v>
      </c>
      <c r="K29" s="1060">
        <f t="shared" si="1"/>
        <v>27.938328266047645</v>
      </c>
      <c r="L29" s="1060">
        <f t="shared" si="2"/>
        <v>38.066471813065299</v>
      </c>
      <c r="M29" s="1060">
        <f t="shared" si="3"/>
        <v>85.497875070770561</v>
      </c>
      <c r="N29" s="1058" t="s">
        <v>1645</v>
      </c>
    </row>
    <row r="30" spans="1:14">
      <c r="A30" s="1058"/>
      <c r="B30" s="1058"/>
      <c r="C30" s="1058"/>
      <c r="D30" s="1058"/>
      <c r="E30" s="1058"/>
      <c r="F30" s="1058"/>
      <c r="G30" s="1058"/>
      <c r="H30" s="1058"/>
      <c r="I30" s="1058"/>
      <c r="J30" s="1058"/>
      <c r="K30" s="1058"/>
      <c r="L30" s="1058"/>
      <c r="M30" s="1058"/>
      <c r="N30" s="1058"/>
    </row>
    <row r="31" spans="1:14">
      <c r="A31" s="1058"/>
      <c r="B31" s="1058"/>
      <c r="C31" s="1058"/>
      <c r="D31" s="1058"/>
      <c r="E31" s="1058"/>
      <c r="F31" s="1058"/>
      <c r="G31" s="1058"/>
      <c r="H31" s="1058"/>
      <c r="I31" s="1058"/>
      <c r="J31" s="1058"/>
      <c r="K31" s="1058"/>
      <c r="L31" s="1058"/>
      <c r="M31" s="1058"/>
      <c r="N31" s="1058"/>
    </row>
    <row r="32" spans="1:14">
      <c r="A32" s="1078" t="s">
        <v>1638</v>
      </c>
      <c r="B32" s="1078"/>
      <c r="C32" s="1078"/>
      <c r="D32" s="1078"/>
      <c r="E32" s="1078"/>
      <c r="F32" s="1078"/>
      <c r="G32" s="1078"/>
      <c r="H32" s="1078"/>
      <c r="I32" s="1078"/>
      <c r="J32" s="1078"/>
      <c r="K32" s="1078"/>
      <c r="L32" s="1078"/>
      <c r="M32" s="1078"/>
      <c r="N32" s="1078"/>
    </row>
    <row r="33" spans="1:14" ht="32" customHeight="1">
      <c r="A33" s="1063" t="s">
        <v>1489</v>
      </c>
      <c r="B33" s="1063" t="s">
        <v>1490</v>
      </c>
      <c r="C33" s="1063" t="s">
        <v>111</v>
      </c>
      <c r="D33" s="1063" t="s">
        <v>1494</v>
      </c>
      <c r="E33" s="1063" t="s">
        <v>1599</v>
      </c>
      <c r="F33" s="1063" t="s">
        <v>1600</v>
      </c>
      <c r="G33" s="1063" t="s">
        <v>1601</v>
      </c>
      <c r="H33" s="1063" t="s">
        <v>1602</v>
      </c>
      <c r="I33" s="1063" t="s">
        <v>1603</v>
      </c>
      <c r="J33" s="1063" t="s">
        <v>1604</v>
      </c>
      <c r="K33" s="1063" t="s">
        <v>1605</v>
      </c>
      <c r="L33" s="1063" t="s">
        <v>1639</v>
      </c>
      <c r="M33" s="1063" t="s">
        <v>1606</v>
      </c>
      <c r="N33" s="1063" t="s">
        <v>1607</v>
      </c>
    </row>
    <row r="34" spans="1:14">
      <c r="A34" s="1058" t="s">
        <v>1128</v>
      </c>
      <c r="B34" s="1058">
        <v>1</v>
      </c>
      <c r="C34" s="1058" t="s">
        <v>43</v>
      </c>
      <c r="D34" s="1058" t="s">
        <v>640</v>
      </c>
      <c r="E34" s="1058">
        <v>9</v>
      </c>
      <c r="F34" s="1058" t="s">
        <v>266</v>
      </c>
      <c r="G34" s="1061">
        <f>IF(ISNUMBER('Availabilities EU Austria'!$AE$9),'Availabilities EU Austria'!$AE$9,IF(ISNUMBER('Availabilities EU Austria'!$AE$7),'Availabilities EU Austria'!$AE$7,1))</f>
        <v>0.5</v>
      </c>
      <c r="H34" s="1060">
        <f>IF(ISNUMBER('Availabilities EU Austria'!$N$9),'Availabilities EU Austria'!$N$9,0)*$G34</f>
        <v>1.741836028865817</v>
      </c>
      <c r="I34" s="1060">
        <f>IF(ISNUMBER('Availabilities EU Austria'!$Q$9),'Availabilities EU Austria'!$Q$9,0)*$G34</f>
        <v>3.0212617713696184</v>
      </c>
      <c r="J34" s="1060">
        <f>IF(ISNUMBER('Availabilities EU Austria'!$X$9),'Availabilities EU Austria'!$X$9,0)*$G34</f>
        <v>4.800686580807997</v>
      </c>
      <c r="K34" s="1060">
        <f t="shared" ref="K34:K65" si="4">SUM(H34:J34)</f>
        <v>9.5637843810434333</v>
      </c>
      <c r="L34" s="1061">
        <f t="shared" ref="L34:L65" si="5">IF(SUMIFS($K$34:$K$135,$A$34:$A$135,$A34,$B$34:$B$135,$B34,$C$34:$C$135,$C34,$D$34:$D$135,$D34)=0,1/COUNTIFS($A$34:$A$135,$A34,$B$34:$B$135,$B34,$C$34:$C$135,$C34,$D$34:$D$135,$D34),K34/SUMIFS($K$34:$K$135,$A$34:$A$135,$A34,$B$34:$B$135,$B34,$C$34:$C$135,$C34,$D$34:$D$135,$D34))</f>
        <v>1</v>
      </c>
      <c r="M34" s="1059">
        <f>AVERAGE(Tabelle1!$I$4,Tabelle1!$I$5)</f>
        <v>12.15</v>
      </c>
      <c r="N34" s="1066" t="s">
        <v>1608</v>
      </c>
    </row>
    <row r="35" spans="1:14">
      <c r="A35" s="1058" t="s">
        <v>1128</v>
      </c>
      <c r="B35" s="1058">
        <v>2</v>
      </c>
      <c r="C35" s="1058" t="s">
        <v>44</v>
      </c>
      <c r="D35" s="1058" t="s">
        <v>640</v>
      </c>
      <c r="E35" s="1058">
        <v>12</v>
      </c>
      <c r="F35" s="1058" t="s">
        <v>266</v>
      </c>
      <c r="G35" s="1061">
        <f>IF(ISNUMBER('Availabilities EU Austria'!$AE$12),'Availabilities EU Austria'!$AE$12,IF(ISNUMBER('Availabilities EU Austria'!$AE$10),'Availabilities EU Austria'!$AE$10,1))</f>
        <v>0.25</v>
      </c>
      <c r="H35" s="1060">
        <f>IF(ISNUMBER('Availabilities EU Austria'!$N$12),'Availabilities EU Austria'!$N$12,0)*$G35</f>
        <v>0.8709180144329085</v>
      </c>
      <c r="I35" s="1060">
        <f>IF(ISNUMBER('Availabilities EU Austria'!$Q$12),'Availabilities EU Austria'!$Q$12,0)*$G35</f>
        <v>1.5106308856848092</v>
      </c>
      <c r="J35" s="1060">
        <f>IF(ISNUMBER('Availabilities EU Austria'!$X$12),'Availabilities EU Austria'!$X$12,0)*$G35</f>
        <v>2.4003432904039985</v>
      </c>
      <c r="K35" s="1060">
        <f t="shared" si="4"/>
        <v>4.7818921905217167</v>
      </c>
      <c r="L35" s="1061">
        <f t="shared" si="5"/>
        <v>0.40441782177481833</v>
      </c>
      <c r="M35" s="1059">
        <f>Tabelle1!$I$7</f>
        <v>13.775</v>
      </c>
      <c r="N35" s="1066" t="s">
        <v>1610</v>
      </c>
    </row>
    <row r="36" spans="1:14">
      <c r="A36" s="1058" t="s">
        <v>1128</v>
      </c>
      <c r="B36" s="1058">
        <v>2</v>
      </c>
      <c r="C36" s="1058" t="s">
        <v>44</v>
      </c>
      <c r="D36" s="1058" t="s">
        <v>640</v>
      </c>
      <c r="E36" s="1058">
        <v>13</v>
      </c>
      <c r="F36" s="1058" t="s">
        <v>1333</v>
      </c>
      <c r="G36" s="1061">
        <f>IF(ISNUMBER('Availabilities EU Austria'!$AE$13),'Availabilities EU Austria'!$AE$13,IF(ISNUMBER('Availabilities EU Austria'!$AE$10),'Availabilities EU Austria'!$AE$10,1))</f>
        <v>0.5</v>
      </c>
      <c r="H36" s="1060">
        <f>IF(ISNUMBER('Availabilities EU Austria'!$N$13),'Availabilities EU Austria'!$N$13,0)*$G36</f>
        <v>0.2</v>
      </c>
      <c r="I36" s="1060">
        <f>IF(ISNUMBER('Availabilities EU Austria'!$Q$13),'Availabilities EU Austria'!$Q$13,0)*$G36</f>
        <v>0.4</v>
      </c>
      <c r="J36" s="1060">
        <f>IF(ISNUMBER('Availabilities EU Austria'!$X$13),'Availabilities EU Austria'!$X$13,0)*$G36</f>
        <v>0.7</v>
      </c>
      <c r="K36" s="1060">
        <f t="shared" si="4"/>
        <v>1.3</v>
      </c>
      <c r="L36" s="1061">
        <f t="shared" si="5"/>
        <v>0.10994458832621735</v>
      </c>
      <c r="M36" s="1059">
        <f>Tabelle1!$I$8</f>
        <v>10.8</v>
      </c>
      <c r="N36" s="1066" t="s">
        <v>1611</v>
      </c>
    </row>
    <row r="37" spans="1:14">
      <c r="A37" s="1058" t="s">
        <v>1128</v>
      </c>
      <c r="B37" s="1058">
        <v>2</v>
      </c>
      <c r="C37" s="1058" t="s">
        <v>44</v>
      </c>
      <c r="D37" s="1058" t="s">
        <v>640</v>
      </c>
      <c r="E37" s="1058">
        <v>14</v>
      </c>
      <c r="F37" s="1058" t="s">
        <v>1612</v>
      </c>
      <c r="G37" s="1061">
        <f>IF(ISNUMBER('Availabilities EU Austria'!$AE$14),'Availabilities EU Austria'!$AE$14,IF(ISNUMBER('Availabilities EU Austria'!$AE$10),'Availabilities EU Austria'!$AE$10,1))</f>
        <v>0.125</v>
      </c>
      <c r="H37" s="1060">
        <f>IF(ISNUMBER('Availabilities EU Austria'!$N$14),'Availabilities EU Austria'!$N$14,0)*$G37</f>
        <v>0.64850535743460247</v>
      </c>
      <c r="I37" s="1060">
        <f>IF(ISNUMBER('Availabilities EU Austria'!$Q$14),'Availabilities EU Austria'!$Q$14,0)*$G37</f>
        <v>0.92608658015676548</v>
      </c>
      <c r="J37" s="1060">
        <f>IF(ISNUMBER('Availabilities EU Austria'!$X$14),'Availabilities EU Austria'!$X$14,0)*$G37</f>
        <v>1.1176540108443416</v>
      </c>
      <c r="K37" s="1060">
        <f t="shared" si="4"/>
        <v>2.6922459484357093</v>
      </c>
      <c r="L37" s="1061">
        <f t="shared" si="5"/>
        <v>0.22769067113360819</v>
      </c>
      <c r="M37" s="1059">
        <f>Tabelle1!$I$7</f>
        <v>13.775</v>
      </c>
      <c r="N37" s="1066" t="s">
        <v>1613</v>
      </c>
    </row>
    <row r="38" spans="1:14">
      <c r="A38" s="1058" t="s">
        <v>1128</v>
      </c>
      <c r="B38" s="1058">
        <v>2</v>
      </c>
      <c r="C38" s="1058" t="s">
        <v>44</v>
      </c>
      <c r="D38" s="1058" t="s">
        <v>640</v>
      </c>
      <c r="E38" s="1058">
        <v>15</v>
      </c>
      <c r="F38" s="1058" t="s">
        <v>1334</v>
      </c>
      <c r="G38" s="1061">
        <f>IF(ISNUMBER('Availabilities EU Austria'!$AE$15),'Availabilities EU Austria'!$AE$15,IF(ISNUMBER('Availabilities EU Austria'!$AE$10),'Availabilities EU Austria'!$AE$10,1))</f>
        <v>0.5</v>
      </c>
      <c r="H38" s="1060">
        <f>IF(ISNUMBER('Availabilities EU Austria'!$N$15),'Availabilities EU Austria'!$N$15,0)*$G38</f>
        <v>0.38</v>
      </c>
      <c r="I38" s="1060">
        <f>IF(ISNUMBER('Availabilities EU Austria'!$Q$15),'Availabilities EU Austria'!$Q$15,0)*$G38</f>
        <v>0.38</v>
      </c>
      <c r="J38" s="1060">
        <f>IF(ISNUMBER('Availabilities EU Austria'!$X$15),'Availabilities EU Austria'!$X$15,0)*$G38</f>
        <v>2.29</v>
      </c>
      <c r="K38" s="1060">
        <f t="shared" si="4"/>
        <v>3.05</v>
      </c>
      <c r="L38" s="1061">
        <f t="shared" si="5"/>
        <v>0.25794691876535608</v>
      </c>
      <c r="M38" s="1059">
        <f>Tabelle1!$I$7</f>
        <v>13.775</v>
      </c>
      <c r="N38" s="1066" t="s">
        <v>1613</v>
      </c>
    </row>
    <row r="39" spans="1:14">
      <c r="A39" s="1058" t="s">
        <v>1128</v>
      </c>
      <c r="B39" s="1058">
        <v>2</v>
      </c>
      <c r="C39" s="1058" t="s">
        <v>1614</v>
      </c>
      <c r="D39" s="1058" t="s">
        <v>641</v>
      </c>
      <c r="E39" s="1058">
        <v>21</v>
      </c>
      <c r="F39" s="1058" t="s">
        <v>264</v>
      </c>
      <c r="G39" s="1061">
        <f>IF(ISNUMBER('Availabilities EU Austria'!$AE$21),'Availabilities EU Austria'!$AE$21,IF(ISNUMBER('Availabilities EU Austria'!$AE$16),'Availabilities EU Austria'!$AE$16,1))</f>
        <v>1</v>
      </c>
      <c r="H39" s="1060">
        <f>IF(ISNUMBER('Availabilities EU Austria'!$N$21),'Availabilities EU Austria'!$N$21,0)*$G39</f>
        <v>0.49572711273501602</v>
      </c>
      <c r="I39" s="1060">
        <f>IF(ISNUMBER('Availabilities EU Austria'!$Q$21),'Availabilities EU Austria'!$Q$21,0)*$G39</f>
        <v>1.1703177429688374</v>
      </c>
      <c r="J39" s="1060">
        <f>IF(ISNUMBER('Availabilities EU Austria'!$X$21),'Availabilities EU Austria'!$X$21,0)*$G39</f>
        <v>4.0986605345032272</v>
      </c>
      <c r="K39" s="1060">
        <f t="shared" si="4"/>
        <v>5.7647053902070802</v>
      </c>
      <c r="L39" s="1061">
        <f t="shared" si="5"/>
        <v>0.32774783519157902</v>
      </c>
      <c r="M39" s="1059">
        <f>Tabelle1!$I$34</f>
        <v>26.05</v>
      </c>
      <c r="N39" s="1066" t="s">
        <v>1609</v>
      </c>
    </row>
    <row r="40" spans="1:14">
      <c r="A40" s="1058" t="s">
        <v>1128</v>
      </c>
      <c r="B40" s="1058">
        <v>2</v>
      </c>
      <c r="C40" s="1058" t="s">
        <v>1614</v>
      </c>
      <c r="D40" s="1058" t="s">
        <v>641</v>
      </c>
      <c r="E40" s="1058">
        <v>22</v>
      </c>
      <c r="F40" s="1058" t="s">
        <v>266</v>
      </c>
      <c r="G40" s="1061">
        <f>IF(ISNUMBER('Availabilities EU Austria'!$AE$22),'Availabilities EU Austria'!$AE$22,IF(ISNUMBER('Availabilities EU Austria'!$AE$16),'Availabilities EU Austria'!$AE$16,1))</f>
        <v>0.25</v>
      </c>
      <c r="H40" s="1060">
        <f>IF(ISNUMBER('Availabilities EU Austria'!$N$22),'Availabilities EU Austria'!$N$22,0)*$G40</f>
        <v>0.8709180144329085</v>
      </c>
      <c r="I40" s="1060">
        <f>IF(ISNUMBER('Availabilities EU Austria'!$Q$22),'Availabilities EU Austria'!$Q$22,0)*$G40</f>
        <v>1.5106308856848092</v>
      </c>
      <c r="J40" s="1060">
        <f>IF(ISNUMBER('Availabilities EU Austria'!$X$22),'Availabilities EU Austria'!$X$22,0)*$G40</f>
        <v>2.4003432904039985</v>
      </c>
      <c r="K40" s="1060">
        <f t="shared" si="4"/>
        <v>4.7818921905217167</v>
      </c>
      <c r="L40" s="1061">
        <f t="shared" si="5"/>
        <v>0.27187075617522777</v>
      </c>
      <c r="M40" s="1059">
        <f>Tabelle1!$I$9</f>
        <v>21.4</v>
      </c>
      <c r="N40" s="1066" t="s">
        <v>1615</v>
      </c>
    </row>
    <row r="41" spans="1:14">
      <c r="A41" s="1058" t="s">
        <v>1128</v>
      </c>
      <c r="B41" s="1058">
        <v>2</v>
      </c>
      <c r="C41" s="1058" t="s">
        <v>1614</v>
      </c>
      <c r="D41" s="1058" t="s">
        <v>641</v>
      </c>
      <c r="E41" s="1058">
        <v>23</v>
      </c>
      <c r="F41" s="1058" t="s">
        <v>1333</v>
      </c>
      <c r="G41" s="1061">
        <f>IF(ISNUMBER('Availabilities EU Austria'!$AE$23),'Availabilities EU Austria'!$AE$23,IF(ISNUMBER('Availabilities EU Austria'!$AE$16),'Availabilities EU Austria'!$AE$16,1))</f>
        <v>0.5</v>
      </c>
      <c r="H41" s="1060">
        <f>IF(ISNUMBER('Availabilities EU Austria'!$N$23),'Availabilities EU Austria'!$N$23,0)*$G41</f>
        <v>0.2</v>
      </c>
      <c r="I41" s="1060">
        <f>IF(ISNUMBER('Availabilities EU Austria'!$Q$23),'Availabilities EU Austria'!$Q$23,0)*$G41</f>
        <v>0.4</v>
      </c>
      <c r="J41" s="1060">
        <f>IF(ISNUMBER('Availabilities EU Austria'!$X$23),'Availabilities EU Austria'!$X$23,0)*$G41</f>
        <v>0.7</v>
      </c>
      <c r="K41" s="1060">
        <f t="shared" si="4"/>
        <v>1.3</v>
      </c>
      <c r="L41" s="1061">
        <f t="shared" si="5"/>
        <v>7.3910487511270259E-2</v>
      </c>
      <c r="M41" s="1059">
        <f>Tabelle1!$I$10</f>
        <v>17.5</v>
      </c>
      <c r="N41" s="1066" t="s">
        <v>1616</v>
      </c>
    </row>
    <row r="42" spans="1:14">
      <c r="A42" s="1058" t="s">
        <v>1128</v>
      </c>
      <c r="B42" s="1058">
        <v>2</v>
      </c>
      <c r="C42" s="1058" t="s">
        <v>1614</v>
      </c>
      <c r="D42" s="1058" t="s">
        <v>641</v>
      </c>
      <c r="E42" s="1058">
        <v>24</v>
      </c>
      <c r="F42" s="1058" t="s">
        <v>1612</v>
      </c>
      <c r="G42" s="1061">
        <f>IF(ISNUMBER('Availabilities EU Austria'!$AE$24),'Availabilities EU Austria'!$AE$24,IF(ISNUMBER('Availabilities EU Austria'!$AE$16),'Availabilities EU Austria'!$AE$16,1))</f>
        <v>0.125</v>
      </c>
      <c r="H42" s="1060">
        <f>IF(ISNUMBER('Availabilities EU Austria'!$N$24),'Availabilities EU Austria'!$N$24,0)*$G42</f>
        <v>0.64850535743460247</v>
      </c>
      <c r="I42" s="1060">
        <f>IF(ISNUMBER('Availabilities EU Austria'!$Q$24),'Availabilities EU Austria'!$Q$24,0)*$G42</f>
        <v>0.92608658015676548</v>
      </c>
      <c r="J42" s="1060">
        <f>IF(ISNUMBER('Availabilities EU Austria'!$X$24),'Availabilities EU Austria'!$X$24,0)*$G42</f>
        <v>1.1176540108443416</v>
      </c>
      <c r="K42" s="1060">
        <f t="shared" si="4"/>
        <v>2.6922459484357093</v>
      </c>
      <c r="L42" s="1061">
        <f t="shared" si="5"/>
        <v>0.15306554657625035</v>
      </c>
      <c r="M42" s="1059">
        <f>Tabelle1!$I$9</f>
        <v>21.4</v>
      </c>
      <c r="N42" s="1066" t="s">
        <v>1617</v>
      </c>
    </row>
    <row r="43" spans="1:14">
      <c r="A43" s="1058" t="s">
        <v>1128</v>
      </c>
      <c r="B43" s="1058">
        <v>2</v>
      </c>
      <c r="C43" s="1058" t="s">
        <v>1614</v>
      </c>
      <c r="D43" s="1058" t="s">
        <v>641</v>
      </c>
      <c r="E43" s="1058">
        <v>25</v>
      </c>
      <c r="F43" s="1058" t="s">
        <v>1337</v>
      </c>
      <c r="G43" s="1061">
        <f>IF(ISNUMBER('Availabilities EU Austria'!$AE$25),'Availabilities EU Austria'!$AE$25,IF(ISNUMBER('Availabilities EU Austria'!$AE$16),'Availabilities EU Austria'!$AE$16,1))</f>
        <v>0.5</v>
      </c>
      <c r="H43" s="1060">
        <f>IF(ISNUMBER('Availabilities EU Austria'!$N$25),'Availabilities EU Austria'!$N$25,0)*$G43</f>
        <v>0.37999999999999989</v>
      </c>
      <c r="I43" s="1060">
        <f>IF(ISNUMBER('Availabilities EU Austria'!$Q$25),'Availabilities EU Austria'!$Q$25,0)*$G43</f>
        <v>0.37999999999999989</v>
      </c>
      <c r="J43" s="1060">
        <f>IF(ISNUMBER('Availabilities EU Austria'!$X$25),'Availabilities EU Austria'!$X$25,0)*$G43</f>
        <v>2.2899999999999991</v>
      </c>
      <c r="K43" s="1060">
        <f t="shared" si="4"/>
        <v>3.0499999999999989</v>
      </c>
      <c r="L43" s="1061">
        <f t="shared" si="5"/>
        <v>0.17340537454567248</v>
      </c>
      <c r="M43" s="1059">
        <f>Tabelle1!$I$9</f>
        <v>21.4</v>
      </c>
      <c r="N43" s="1066" t="s">
        <v>1617</v>
      </c>
    </row>
    <row r="44" spans="1:14">
      <c r="A44" s="1058" t="s">
        <v>1128</v>
      </c>
      <c r="B44" s="1058">
        <v>3</v>
      </c>
      <c r="C44" s="1058" t="s">
        <v>46</v>
      </c>
      <c r="D44" s="1058" t="s">
        <v>640</v>
      </c>
      <c r="E44" s="1058">
        <v>17</v>
      </c>
      <c r="F44" s="1058" t="s">
        <v>269</v>
      </c>
      <c r="G44" s="1061">
        <f>IF(ISNUMBER('Availabilities EU Austria'!$AE$17),'Availabilities EU Austria'!$AE$17,IF(ISNUMBER('Availabilities EU Austria'!$AE$17),'Availabilities EU Austria'!$AE$17,1))</f>
        <v>1</v>
      </c>
      <c r="H44" s="1060">
        <f>IF(ISNUMBER('Availabilities EU Austria'!$N$17),'Availabilities EU Austria'!$N$17,0)*$G44</f>
        <v>4.454004235702901</v>
      </c>
      <c r="I44" s="1060">
        <f>IF(ISNUMBER('Availabilities EU Austria'!$Q$17),'Availabilities EU Austria'!$Q$17,0)*$G44</f>
        <v>0</v>
      </c>
      <c r="J44" s="1060">
        <f>IF(ISNUMBER('Availabilities EU Austria'!$X$17),'Availabilities EU Austria'!$X$17,0)*$G44</f>
        <v>10.5</v>
      </c>
      <c r="K44" s="1060">
        <f t="shared" si="4"/>
        <v>14.9540042357029</v>
      </c>
      <c r="L44" s="1061">
        <f t="shared" si="5"/>
        <v>1</v>
      </c>
      <c r="M44" s="1059">
        <f>Tabelle1!$I$26</f>
        <v>55.5</v>
      </c>
      <c r="N44" s="1066" t="s">
        <v>1618</v>
      </c>
    </row>
    <row r="45" spans="1:14">
      <c r="A45" s="1058" t="s">
        <v>1128</v>
      </c>
      <c r="B45" s="1058">
        <v>5</v>
      </c>
      <c r="C45" s="1058" t="s">
        <v>48</v>
      </c>
      <c r="D45" s="1058" t="s">
        <v>640</v>
      </c>
      <c r="E45" s="1058">
        <v>27</v>
      </c>
      <c r="F45" s="1058" t="s">
        <v>272</v>
      </c>
      <c r="G45" s="1061">
        <f>IF(ISNUMBER('Availabilities EU Austria'!$AE$27),'Availabilities EU Austria'!$AE$27,IF(ISNUMBER('Availabilities EU Austria'!$AE$26),'Availabilities EU Austria'!$AE$26,1))</f>
        <v>0.14285714285714285</v>
      </c>
      <c r="H45" s="1060">
        <f>IF(ISNUMBER('Availabilities EU Austria'!$N$27),'Availabilities EU Austria'!$N$27,0)*$G45</f>
        <v>18.698947962916989</v>
      </c>
      <c r="I45" s="1060">
        <f>IF(ISNUMBER('Availabilities EU Austria'!$Q$27),'Availabilities EU Austria'!$Q$27,0)*$G45</f>
        <v>29.629920107091877</v>
      </c>
      <c r="J45" s="1060">
        <f>IF(ISNUMBER('Availabilities EU Austria'!$X$27),'Availabilities EU Austria'!$X$27,0)*$G45</f>
        <v>29.629920107091877</v>
      </c>
      <c r="K45" s="1060">
        <f t="shared" si="4"/>
        <v>77.958788177100743</v>
      </c>
      <c r="L45" s="1061">
        <f t="shared" si="5"/>
        <v>0.65591007025142711</v>
      </c>
      <c r="M45" s="1059">
        <f>Tabelle1!$I$11</f>
        <v>24.4</v>
      </c>
      <c r="N45" s="1066" t="s">
        <v>1619</v>
      </c>
    </row>
    <row r="46" spans="1:14">
      <c r="A46" s="1058" t="s">
        <v>1128</v>
      </c>
      <c r="B46" s="1058">
        <v>5</v>
      </c>
      <c r="C46" s="1058" t="s">
        <v>48</v>
      </c>
      <c r="D46" s="1058" t="s">
        <v>640</v>
      </c>
      <c r="E46" s="1058">
        <v>28</v>
      </c>
      <c r="F46" s="1058" t="s">
        <v>274</v>
      </c>
      <c r="G46" s="1061">
        <f>IF(ISNUMBER('Availabilities EU Austria'!$AE$28),'Availabilities EU Austria'!$AE$28,IF(ISNUMBER('Availabilities EU Austria'!$AE$26),'Availabilities EU Austria'!$AE$26,1))</f>
        <v>0.14285714285714285</v>
      </c>
      <c r="H46" s="1060">
        <f>IF(ISNUMBER('Availabilities EU Austria'!$N$28),'Availabilities EU Austria'!$N$28,0)*$G46</f>
        <v>0.73186950033079479</v>
      </c>
      <c r="I46" s="1060">
        <f>IF(ISNUMBER('Availabilities EU Austria'!$Q$28),'Availabilities EU Austria'!$Q$28,0)*$G46</f>
        <v>1.2483093909272507</v>
      </c>
      <c r="J46" s="1060">
        <f>IF(ISNUMBER('Availabilities EU Austria'!$X$28),'Availabilities EU Austria'!$X$28,0)*$G46</f>
        <v>10.204344080083652</v>
      </c>
      <c r="K46" s="1060">
        <f t="shared" si="4"/>
        <v>12.184522971341698</v>
      </c>
      <c r="L46" s="1061">
        <f t="shared" si="5"/>
        <v>0.10251507886394237</v>
      </c>
      <c r="M46" s="1059">
        <f>Tabelle1!$I$11</f>
        <v>24.4</v>
      </c>
      <c r="N46" s="1066" t="s">
        <v>1619</v>
      </c>
    </row>
    <row r="47" spans="1:14">
      <c r="A47" s="1058" t="s">
        <v>1128</v>
      </c>
      <c r="B47" s="1058">
        <v>5</v>
      </c>
      <c r="C47" s="1058" t="s">
        <v>48</v>
      </c>
      <c r="D47" s="1058" t="s">
        <v>640</v>
      </c>
      <c r="E47" s="1058">
        <v>29</v>
      </c>
      <c r="F47" s="1058" t="s">
        <v>276</v>
      </c>
      <c r="G47" s="1061">
        <f>IF(ISNUMBER('Availabilities EU Austria'!$AE$29),'Availabilities EU Austria'!$AE$29,IF(ISNUMBER('Availabilities EU Austria'!$AE$26),'Availabilities EU Austria'!$AE$26,1))</f>
        <v>0.14285714285714285</v>
      </c>
      <c r="H47" s="1060">
        <f>IF(ISNUMBER('Availabilities EU Austria'!$N$29),'Availabilities EU Austria'!$N$29,0)*$G47</f>
        <v>0.33319692156164937</v>
      </c>
      <c r="I47" s="1060">
        <f>IF(ISNUMBER('Availabilities EU Austria'!$Q$29),'Availabilities EU Austria'!$Q$29,0)*$G47</f>
        <v>0.87705688307233309</v>
      </c>
      <c r="J47" s="1060">
        <f>IF(ISNUMBER('Availabilities EU Austria'!$X$29),'Availabilities EU Austria'!$X$29,0)*$G47</f>
        <v>2.0142016679260926</v>
      </c>
      <c r="K47" s="1060">
        <f t="shared" si="4"/>
        <v>3.2244554725600749</v>
      </c>
      <c r="L47" s="1061">
        <f t="shared" si="5"/>
        <v>2.7129113535280861E-2</v>
      </c>
      <c r="M47" s="1059">
        <f>Tabelle1!$I$11</f>
        <v>24.4</v>
      </c>
      <c r="N47" s="1066" t="s">
        <v>1619</v>
      </c>
    </row>
    <row r="48" spans="1:14">
      <c r="A48" s="1058" t="s">
        <v>1128</v>
      </c>
      <c r="B48" s="1058">
        <v>5</v>
      </c>
      <c r="C48" s="1058" t="s">
        <v>48</v>
      </c>
      <c r="D48" s="1058" t="s">
        <v>640</v>
      </c>
      <c r="E48" s="1058">
        <v>30</v>
      </c>
      <c r="F48" s="1058" t="s">
        <v>270</v>
      </c>
      <c r="G48" s="1061">
        <f>IF(ISNUMBER('Availabilities EU Austria'!$AE$30),'Availabilities EU Austria'!$AE$30,IF(ISNUMBER('Availabilities EU Austria'!$AE$26),'Availabilities EU Austria'!$AE$26,1))</f>
        <v>0.16666666666666666</v>
      </c>
      <c r="H48" s="1060">
        <f>IF(ISNUMBER('Availabilities EU Austria'!$N$30),'Availabilities EU Austria'!$N$30,0)*$G48</f>
        <v>6.546970546508903</v>
      </c>
      <c r="I48" s="1060">
        <f>IF(ISNUMBER('Availabilities EU Austria'!$Q$30),'Availabilities EU Austria'!$Q$30,0)*$G48</f>
        <v>9.1728821445465929</v>
      </c>
      <c r="J48" s="1060">
        <f>IF(ISNUMBER('Availabilities EU Austria'!$X$30),'Availabilities EU Austria'!$X$30,0)*$G48</f>
        <v>9.7682905342676349</v>
      </c>
      <c r="K48" s="1060">
        <f t="shared" si="4"/>
        <v>25.488143225323132</v>
      </c>
      <c r="L48" s="1061">
        <f t="shared" si="5"/>
        <v>0.21444573734934966</v>
      </c>
      <c r="M48" s="1059">
        <f>Tabelle1!$I$11</f>
        <v>24.4</v>
      </c>
      <c r="N48" s="1066" t="s">
        <v>1619</v>
      </c>
    </row>
    <row r="49" spans="1:14">
      <c r="A49" s="1058" t="s">
        <v>1128</v>
      </c>
      <c r="B49" s="1058">
        <v>5</v>
      </c>
      <c r="C49" s="1058" t="s">
        <v>49</v>
      </c>
      <c r="D49" s="1058" t="s">
        <v>643</v>
      </c>
      <c r="E49" s="1058">
        <v>32</v>
      </c>
      <c r="F49" s="1058" t="s">
        <v>272</v>
      </c>
      <c r="G49" s="1061">
        <f>IF(ISNUMBER('Availabilities EU Austria'!$AE$32),'Availabilities EU Austria'!$AE$32,IF(ISNUMBER('Availabilities EU Austria'!$AE$31),'Availabilities EU Austria'!$AE$31,1))</f>
        <v>7.1428571428571425E-2</v>
      </c>
      <c r="H49" s="1060">
        <f>IF(ISNUMBER('Availabilities EU Austria'!$N$32),'Availabilities EU Austria'!$N$32,0)*$G49</f>
        <v>9.3494739814584946</v>
      </c>
      <c r="I49" s="1060">
        <f>IF(ISNUMBER('Availabilities EU Austria'!$Q$32),'Availabilities EU Austria'!$Q$32,0)*$G49</f>
        <v>14.814960053545938</v>
      </c>
      <c r="J49" s="1060">
        <f>IF(ISNUMBER('Availabilities EU Austria'!$X$32),'Availabilities EU Austria'!$X$32,0)*$G49</f>
        <v>14.814960053545938</v>
      </c>
      <c r="K49" s="1060">
        <f t="shared" si="4"/>
        <v>38.979394088550372</v>
      </c>
      <c r="L49" s="1061">
        <f t="shared" si="5"/>
        <v>0.65591007025142711</v>
      </c>
      <c r="M49" s="1059">
        <f>Tabelle1!$I$11</f>
        <v>24.4</v>
      </c>
      <c r="N49" s="1066" t="s">
        <v>1619</v>
      </c>
    </row>
    <row r="50" spans="1:14">
      <c r="A50" s="1058" t="s">
        <v>1128</v>
      </c>
      <c r="B50" s="1058">
        <v>5</v>
      </c>
      <c r="C50" s="1058" t="s">
        <v>49</v>
      </c>
      <c r="D50" s="1058" t="s">
        <v>643</v>
      </c>
      <c r="E50" s="1058">
        <v>33</v>
      </c>
      <c r="F50" s="1058" t="s">
        <v>274</v>
      </c>
      <c r="G50" s="1061">
        <f>IF(ISNUMBER('Availabilities EU Austria'!$AE$33),'Availabilities EU Austria'!$AE$33,IF(ISNUMBER('Availabilities EU Austria'!$AE$31),'Availabilities EU Austria'!$AE$31,1))</f>
        <v>7.1428571428571425E-2</v>
      </c>
      <c r="H50" s="1060">
        <f>IF(ISNUMBER('Availabilities EU Austria'!$N$33),'Availabilities EU Austria'!$N$33,0)*$G50</f>
        <v>0.36593475016539739</v>
      </c>
      <c r="I50" s="1060">
        <f>IF(ISNUMBER('Availabilities EU Austria'!$Q$33),'Availabilities EU Austria'!$Q$33,0)*$G50</f>
        <v>0.62415469546362534</v>
      </c>
      <c r="J50" s="1060">
        <f>IF(ISNUMBER('Availabilities EU Austria'!$X$33),'Availabilities EU Austria'!$X$33,0)*$G50</f>
        <v>5.1021720400418262</v>
      </c>
      <c r="K50" s="1060">
        <f t="shared" si="4"/>
        <v>6.092261485670849</v>
      </c>
      <c r="L50" s="1061">
        <f t="shared" si="5"/>
        <v>0.10251507886394237</v>
      </c>
      <c r="M50" s="1059">
        <f>Tabelle1!$I$11</f>
        <v>24.4</v>
      </c>
      <c r="N50" s="1066" t="s">
        <v>1619</v>
      </c>
    </row>
    <row r="51" spans="1:14">
      <c r="A51" s="1058" t="s">
        <v>1128</v>
      </c>
      <c r="B51" s="1058">
        <v>5</v>
      </c>
      <c r="C51" s="1058" t="s">
        <v>49</v>
      </c>
      <c r="D51" s="1058" t="s">
        <v>643</v>
      </c>
      <c r="E51" s="1058">
        <v>34</v>
      </c>
      <c r="F51" s="1058" t="s">
        <v>276</v>
      </c>
      <c r="G51" s="1061">
        <f>IF(ISNUMBER('Availabilities EU Austria'!$AE$34),'Availabilities EU Austria'!$AE$34,IF(ISNUMBER('Availabilities EU Austria'!$AE$31),'Availabilities EU Austria'!$AE$31,1))</f>
        <v>7.1428571428571425E-2</v>
      </c>
      <c r="H51" s="1060">
        <f>IF(ISNUMBER('Availabilities EU Austria'!$N$34),'Availabilities EU Austria'!$N$34,0)*$G51</f>
        <v>0.16659846078082469</v>
      </c>
      <c r="I51" s="1060">
        <f>IF(ISNUMBER('Availabilities EU Austria'!$Q$34),'Availabilities EU Austria'!$Q$34,0)*$G51</f>
        <v>0.43852844153616655</v>
      </c>
      <c r="J51" s="1060">
        <f>IF(ISNUMBER('Availabilities EU Austria'!$X$34),'Availabilities EU Austria'!$X$34,0)*$G51</f>
        <v>1.0071008339630463</v>
      </c>
      <c r="K51" s="1060">
        <f t="shared" si="4"/>
        <v>1.6122277362800375</v>
      </c>
      <c r="L51" s="1061">
        <f t="shared" si="5"/>
        <v>2.7129113535280861E-2</v>
      </c>
      <c r="M51" s="1059">
        <f>Tabelle1!$I$11</f>
        <v>24.4</v>
      </c>
      <c r="N51" s="1066" t="s">
        <v>1619</v>
      </c>
    </row>
    <row r="52" spans="1:14">
      <c r="A52" s="1058" t="s">
        <v>1128</v>
      </c>
      <c r="B52" s="1058">
        <v>5</v>
      </c>
      <c r="C52" s="1058" t="s">
        <v>49</v>
      </c>
      <c r="D52" s="1058" t="s">
        <v>643</v>
      </c>
      <c r="E52" s="1058">
        <v>35</v>
      </c>
      <c r="F52" s="1058" t="s">
        <v>270</v>
      </c>
      <c r="G52" s="1061">
        <f>IF(ISNUMBER('Availabilities EU Austria'!$AE$35),'Availabilities EU Austria'!$AE$35,IF(ISNUMBER('Availabilities EU Austria'!$AE$31),'Availabilities EU Austria'!$AE$31,1))</f>
        <v>8.3333333333333329E-2</v>
      </c>
      <c r="H52" s="1060">
        <f>IF(ISNUMBER('Availabilities EU Austria'!$N$35),'Availabilities EU Austria'!$N$35,0)*$G52</f>
        <v>3.2734852732544515</v>
      </c>
      <c r="I52" s="1060">
        <f>IF(ISNUMBER('Availabilities EU Austria'!$Q$35),'Availabilities EU Austria'!$Q$35,0)*$G52</f>
        <v>4.5864410722732964</v>
      </c>
      <c r="J52" s="1060">
        <f>IF(ISNUMBER('Availabilities EU Austria'!$X$35),'Availabilities EU Austria'!$X$35,0)*$G52</f>
        <v>4.8841452671338175</v>
      </c>
      <c r="K52" s="1060">
        <f t="shared" si="4"/>
        <v>12.744071612661566</v>
      </c>
      <c r="L52" s="1061">
        <f t="shared" si="5"/>
        <v>0.21444573734934966</v>
      </c>
      <c r="M52" s="1059">
        <f>Tabelle1!$I$11</f>
        <v>24.4</v>
      </c>
      <c r="N52" s="1066" t="s">
        <v>1619</v>
      </c>
    </row>
    <row r="53" spans="1:14">
      <c r="A53" s="1058" t="s">
        <v>1128</v>
      </c>
      <c r="B53" s="1058">
        <v>6</v>
      </c>
      <c r="C53" s="1058" t="s">
        <v>49</v>
      </c>
      <c r="D53" s="1058" t="s">
        <v>641</v>
      </c>
      <c r="E53" s="1058">
        <v>37</v>
      </c>
      <c r="F53" s="1058" t="s">
        <v>278</v>
      </c>
      <c r="G53" s="1061">
        <f>IF(ISNUMBER('Availabilities EU Austria'!$AE$37),'Availabilities EU Austria'!$AE$37,IF(ISNUMBER('Availabilities EU Austria'!$AE$36),'Availabilities EU Austria'!$AE$36,1))</f>
        <v>1</v>
      </c>
      <c r="H53" s="1060">
        <f>IF(ISNUMBER('Availabilities EU Austria'!$N$37),'Availabilities EU Austria'!$N$37,0)*$G53</f>
        <v>0</v>
      </c>
      <c r="I53" s="1060">
        <f>IF(ISNUMBER('Availabilities EU Austria'!$Q$37),'Availabilities EU Austria'!$Q$37,0)*$G53</f>
        <v>0</v>
      </c>
      <c r="J53" s="1060">
        <f>IF(ISNUMBER('Availabilities EU Austria'!$X$37),'Availabilities EU Austria'!$X$37,0)*$G53</f>
        <v>0</v>
      </c>
      <c r="K53" s="1060">
        <f t="shared" si="4"/>
        <v>0</v>
      </c>
      <c r="L53" s="1061">
        <f t="shared" si="5"/>
        <v>1</v>
      </c>
      <c r="M53" s="1059">
        <f>Tabelle1!$I$12</f>
        <v>13.1</v>
      </c>
      <c r="N53" s="1066" t="s">
        <v>1620</v>
      </c>
    </row>
    <row r="54" spans="1:14">
      <c r="A54" s="1058" t="s">
        <v>1128</v>
      </c>
      <c r="B54" s="1058">
        <v>7</v>
      </c>
      <c r="C54" s="1058" t="s">
        <v>50</v>
      </c>
      <c r="D54" s="1058" t="s">
        <v>642</v>
      </c>
      <c r="E54" s="1058">
        <v>41</v>
      </c>
      <c r="F54" s="1058" t="s">
        <v>279</v>
      </c>
      <c r="G54" s="1061">
        <f>IF(ISNUMBER('Availabilities EU Austria'!$AE$41),'Availabilities EU Austria'!$AE$41,IF(ISNUMBER('Availabilities EU Austria'!$AE$40),'Availabilities EU Austria'!$AE$40,1))</f>
        <v>0.16666666666666666</v>
      </c>
      <c r="H54" s="1060">
        <f>IF(ISNUMBER('Availabilities EU Austria'!$N$41),'Availabilities EU Austria'!$N$41,0)*$G54</f>
        <v>1.415880754318724</v>
      </c>
      <c r="I54" s="1060">
        <f>IF(ISNUMBER('Availabilities EU Austria'!$Q$41),'Availabilities EU Austria'!$Q$41,0)*$G54</f>
        <v>2.0427839496832219</v>
      </c>
      <c r="J54" s="1060">
        <f>IF(ISNUMBER('Availabilities EU Austria'!$X$41),'Availabilities EU Austria'!$X$41,0)*$G54</f>
        <v>1.9895846938818926</v>
      </c>
      <c r="K54" s="1060">
        <f t="shared" si="4"/>
        <v>5.4482493978838384</v>
      </c>
      <c r="L54" s="1061">
        <f t="shared" si="5"/>
        <v>9.9921888768541734E-3</v>
      </c>
      <c r="M54" s="1059">
        <f>Tabelle1!$I$13</f>
        <v>9.5</v>
      </c>
      <c r="N54" s="1066" t="s">
        <v>1621</v>
      </c>
    </row>
    <row r="55" spans="1:14">
      <c r="A55" s="1058" t="s">
        <v>1128</v>
      </c>
      <c r="B55" s="1058">
        <v>7</v>
      </c>
      <c r="C55" s="1058" t="s">
        <v>50</v>
      </c>
      <c r="D55" s="1058" t="s">
        <v>642</v>
      </c>
      <c r="E55" s="1058">
        <v>42</v>
      </c>
      <c r="F55" s="1058" t="s">
        <v>274</v>
      </c>
      <c r="G55" s="1061">
        <f>IF(ISNUMBER('Availabilities EU Austria'!$AE$42),'Availabilities EU Austria'!$AE$42,IF(ISNUMBER('Availabilities EU Austria'!$AE$40),'Availabilities EU Austria'!$AE$40,1))</f>
        <v>0.14285714285714285</v>
      </c>
      <c r="H55" s="1060">
        <f>IF(ISNUMBER('Availabilities EU Austria'!$N$42),'Availabilities EU Austria'!$N$42,0)*$G55</f>
        <v>0.73186950033079479</v>
      </c>
      <c r="I55" s="1060">
        <f>IF(ISNUMBER('Availabilities EU Austria'!$Q$42),'Availabilities EU Austria'!$Q$42,0)*$G55</f>
        <v>1.2483093909272507</v>
      </c>
      <c r="J55" s="1060">
        <f>IF(ISNUMBER('Availabilities EU Austria'!$X$42),'Availabilities EU Austria'!$X$42,0)*$G55</f>
        <v>10.204344080083652</v>
      </c>
      <c r="K55" s="1060">
        <f t="shared" si="4"/>
        <v>12.184522971341698</v>
      </c>
      <c r="L55" s="1061">
        <f t="shared" si="5"/>
        <v>2.2346637610110829E-2</v>
      </c>
      <c r="M55" s="1059">
        <f>Tabelle1!$I$13</f>
        <v>9.5</v>
      </c>
      <c r="N55" s="1066" t="s">
        <v>1621</v>
      </c>
    </row>
    <row r="56" spans="1:14">
      <c r="A56" s="1058" t="s">
        <v>1128</v>
      </c>
      <c r="B56" s="1058">
        <v>7</v>
      </c>
      <c r="C56" s="1058" t="s">
        <v>50</v>
      </c>
      <c r="D56" s="1058" t="s">
        <v>642</v>
      </c>
      <c r="E56" s="1058">
        <v>43</v>
      </c>
      <c r="F56" s="1058" t="s">
        <v>276</v>
      </c>
      <c r="G56" s="1061">
        <f>IF(ISNUMBER('Availabilities EU Austria'!$AE$43),'Availabilities EU Austria'!$AE$43,IF(ISNUMBER('Availabilities EU Austria'!$AE$40),'Availabilities EU Austria'!$AE$40,1))</f>
        <v>0.14285714285714285</v>
      </c>
      <c r="H56" s="1060">
        <f>IF(ISNUMBER('Availabilities EU Austria'!$N$43),'Availabilities EU Austria'!$N$43,0)*$G56</f>
        <v>0.33319692156164937</v>
      </c>
      <c r="I56" s="1060">
        <f>IF(ISNUMBER('Availabilities EU Austria'!$Q$43),'Availabilities EU Austria'!$Q$43,0)*$G56</f>
        <v>0.87705688307233309</v>
      </c>
      <c r="J56" s="1060">
        <f>IF(ISNUMBER('Availabilities EU Austria'!$X$43),'Availabilities EU Austria'!$X$43,0)*$G56</f>
        <v>2.0142016679260926</v>
      </c>
      <c r="K56" s="1060">
        <f t="shared" si="4"/>
        <v>3.2244554725600749</v>
      </c>
      <c r="L56" s="1061">
        <f t="shared" si="5"/>
        <v>5.9137102129246709E-3</v>
      </c>
      <c r="M56" s="1059">
        <f>Tabelle1!$I$13</f>
        <v>9.5</v>
      </c>
      <c r="N56" s="1066" t="s">
        <v>1621</v>
      </c>
    </row>
    <row r="57" spans="1:14">
      <c r="A57" s="1058" t="s">
        <v>1128</v>
      </c>
      <c r="B57" s="1058">
        <v>7</v>
      </c>
      <c r="C57" s="1058" t="s">
        <v>50</v>
      </c>
      <c r="D57" s="1058" t="s">
        <v>642</v>
      </c>
      <c r="E57" s="1058">
        <v>44</v>
      </c>
      <c r="F57" s="1058" t="s">
        <v>281</v>
      </c>
      <c r="G57" s="1061">
        <f>IF(ISNUMBER('Availabilities EU Austria'!$AE$44),'Availabilities EU Austria'!$AE$44,IF(ISNUMBER('Availabilities EU Austria'!$AE$40),'Availabilities EU Austria'!$AE$40,1))</f>
        <v>1</v>
      </c>
      <c r="H57" s="1060">
        <f>IF(ISNUMBER('Availabilities EU Austria'!$N$44),'Availabilities EU Austria'!$N$44,0)*$G57</f>
        <v>6.5447342912320421</v>
      </c>
      <c r="I57" s="1060">
        <f>IF(ISNUMBER('Availabilities EU Austria'!$Q$44),'Availabilities EU Austria'!$Q$44,0)*$G57</f>
        <v>9.7773868037813845</v>
      </c>
      <c r="J57" s="1060">
        <f>IF(ISNUMBER('Availabilities EU Austria'!$X$44),'Availabilities EU Austria'!$X$44,0)*$G57</f>
        <v>10.743175764288399</v>
      </c>
      <c r="K57" s="1060">
        <f t="shared" si="4"/>
        <v>27.065296859301824</v>
      </c>
      <c r="L57" s="1061">
        <f t="shared" si="5"/>
        <v>4.9638248632912142E-2</v>
      </c>
      <c r="M57" s="1059">
        <f>Tabelle1!$I$13</f>
        <v>9.5</v>
      </c>
      <c r="N57" s="1066" t="s">
        <v>1621</v>
      </c>
    </row>
    <row r="58" spans="1:14">
      <c r="A58" s="1058" t="s">
        <v>1128</v>
      </c>
      <c r="B58" s="1058">
        <v>7</v>
      </c>
      <c r="C58" s="1058" t="s">
        <v>50</v>
      </c>
      <c r="D58" s="1058" t="s">
        <v>642</v>
      </c>
      <c r="E58" s="1058">
        <v>45</v>
      </c>
      <c r="F58" s="1058" t="s">
        <v>272</v>
      </c>
      <c r="G58" s="1061">
        <f>IF(ISNUMBER('Availabilities EU Austria'!$AE$45),'Availabilities EU Austria'!$AE$45,IF(ISNUMBER('Availabilities EU Austria'!$AE$40),'Availabilities EU Austria'!$AE$40,1))</f>
        <v>0.14285714285714285</v>
      </c>
      <c r="H58" s="1060">
        <f>IF(ISNUMBER('Availabilities EU Austria'!$N$45),'Availabilities EU Austria'!$N$45,0)*$G58</f>
        <v>18.698947962916989</v>
      </c>
      <c r="I58" s="1060">
        <f>IF(ISNUMBER('Availabilities EU Austria'!$Q$45),'Availabilities EU Austria'!$Q$45,0)*$G58</f>
        <v>29.629920107091877</v>
      </c>
      <c r="J58" s="1060">
        <f>IF(ISNUMBER('Availabilities EU Austria'!$X$45),'Availabilities EU Austria'!$X$45,0)*$G58</f>
        <v>29.629920107091877</v>
      </c>
      <c r="K58" s="1060">
        <f t="shared" si="4"/>
        <v>77.958788177100743</v>
      </c>
      <c r="L58" s="1061">
        <f t="shared" si="5"/>
        <v>0.1429778409884872</v>
      </c>
      <c r="M58" s="1059">
        <f>Tabelle1!$I$13</f>
        <v>9.5</v>
      </c>
      <c r="N58" s="1066" t="s">
        <v>1621</v>
      </c>
    </row>
    <row r="59" spans="1:14">
      <c r="A59" s="1058" t="s">
        <v>1128</v>
      </c>
      <c r="B59" s="1058">
        <v>7</v>
      </c>
      <c r="C59" s="1058" t="s">
        <v>50</v>
      </c>
      <c r="D59" s="1058" t="s">
        <v>642</v>
      </c>
      <c r="E59" s="1058">
        <v>46</v>
      </c>
      <c r="F59" s="1058" t="s">
        <v>497</v>
      </c>
      <c r="G59" s="1061">
        <f>IF(ISNUMBER('Availabilities EU Austria'!$AE$46),'Availabilities EU Austria'!$AE$46,IF(ISNUMBER('Availabilities EU Austria'!$AE$40),'Availabilities EU Austria'!$AE$40,1))</f>
        <v>1</v>
      </c>
      <c r="H59" s="1060">
        <f>IF(ISNUMBER('Availabilities EU Austria'!$N$46),'Availabilities EU Austria'!$N$46,0)*$G59</f>
        <v>96.46686757407214</v>
      </c>
      <c r="I59" s="1060">
        <f>IF(ISNUMBER('Availabilities EU Austria'!$Q$46),'Availabilities EU Austria'!$Q$46,0)*$G59</f>
        <v>128.62249009876282</v>
      </c>
      <c r="J59" s="1060">
        <f>IF(ISNUMBER('Availabilities EU Austria'!$X$46),'Availabilities EU Austria'!$X$46,0)*$G59</f>
        <v>122.94419040434806</v>
      </c>
      <c r="K59" s="1060">
        <f t="shared" si="4"/>
        <v>348.03354807718301</v>
      </c>
      <c r="L59" s="1061">
        <f t="shared" si="5"/>
        <v>0.63829988201708709</v>
      </c>
      <c r="M59" s="1059">
        <f>Tabelle1!$I$14</f>
        <v>-103</v>
      </c>
      <c r="N59" s="1066" t="s">
        <v>1622</v>
      </c>
    </row>
    <row r="60" spans="1:14">
      <c r="A60" s="1058" t="s">
        <v>1128</v>
      </c>
      <c r="B60" s="1058">
        <v>7</v>
      </c>
      <c r="C60" s="1058" t="s">
        <v>50</v>
      </c>
      <c r="D60" s="1058" t="s">
        <v>642</v>
      </c>
      <c r="E60" s="1058">
        <v>47</v>
      </c>
      <c r="F60" s="1058" t="s">
        <v>285</v>
      </c>
      <c r="G60" s="1061">
        <f>IF(ISNUMBER('Availabilities EU Austria'!$AE$47),'Availabilities EU Austria'!$AE$47,IF(ISNUMBER('Availabilities EU Austria'!$AE$40),'Availabilities EU Austria'!$AE$40,1))</f>
        <v>0.25</v>
      </c>
      <c r="H60" s="1060">
        <f>IF(ISNUMBER('Availabilities EU Austria'!$N$47),'Availabilities EU Austria'!$N$47,0)*$G60</f>
        <v>2.2042904017629494</v>
      </c>
      <c r="I60" s="1060">
        <f>IF(ISNUMBER('Availabilities EU Austria'!$Q$47),'Availabilities EU Austria'!$Q$47,0)*$G60</f>
        <v>2.463618684323297</v>
      </c>
      <c r="J60" s="1060">
        <f>IF(ISNUMBER('Availabilities EU Austria'!$X$47),'Availabilities EU Austria'!$X$47,0)*$G60</f>
        <v>2.2901825701455727</v>
      </c>
      <c r="K60" s="1060">
        <f t="shared" si="4"/>
        <v>6.9580916562318187</v>
      </c>
      <c r="L60" s="1061">
        <f t="shared" si="5"/>
        <v>1.2761267147303556E-2</v>
      </c>
      <c r="M60" s="1059">
        <f>Tabelle1!$I$13</f>
        <v>9.5</v>
      </c>
      <c r="N60" s="1066" t="s">
        <v>1621</v>
      </c>
    </row>
    <row r="61" spans="1:14">
      <c r="A61" s="1058" t="s">
        <v>1128</v>
      </c>
      <c r="B61" s="1058">
        <v>7</v>
      </c>
      <c r="C61" s="1058" t="s">
        <v>50</v>
      </c>
      <c r="D61" s="1058" t="s">
        <v>642</v>
      </c>
      <c r="E61" s="1058">
        <v>48</v>
      </c>
      <c r="F61" s="1058" t="s">
        <v>286</v>
      </c>
      <c r="G61" s="1061">
        <f>IF(ISNUMBER('Availabilities EU Austria'!$AE$48),'Availabilities EU Austria'!$AE$48,IF(ISNUMBER('Availabilities EU Austria'!$AE$40),'Availabilities EU Austria'!$AE$40,1))</f>
        <v>1</v>
      </c>
      <c r="H61" s="1060">
        <f>IF(ISNUMBER('Availabilities EU Austria'!$N$48),'Availabilities EU Austria'!$N$48,0)*$G61</f>
        <v>18.294938291294546</v>
      </c>
      <c r="I61" s="1060">
        <f>IF(ISNUMBER('Availabilities EU Austria'!$Q$48),'Availabilities EU Austria'!$Q$48,0)*$G61</f>
        <v>23.691276663135103</v>
      </c>
      <c r="J61" s="1060">
        <f>IF(ISNUMBER('Availabilities EU Austria'!$X$48),'Availabilities EU Austria'!$X$48,0)*$G61</f>
        <v>20.468674369523679</v>
      </c>
      <c r="K61" s="1060">
        <f t="shared" si="4"/>
        <v>62.454889323953324</v>
      </c>
      <c r="L61" s="1061">
        <f t="shared" si="5"/>
        <v>0.11454340740171645</v>
      </c>
      <c r="M61" s="1059">
        <f>Tabelle1!$I$13</f>
        <v>9.5</v>
      </c>
      <c r="N61" s="1066" t="s">
        <v>1621</v>
      </c>
    </row>
    <row r="62" spans="1:14">
      <c r="A62" s="1058" t="s">
        <v>1128</v>
      </c>
      <c r="B62" s="1058">
        <v>7</v>
      </c>
      <c r="C62" s="1058" t="s">
        <v>50</v>
      </c>
      <c r="D62" s="1058" t="s">
        <v>642</v>
      </c>
      <c r="E62" s="1058">
        <v>49</v>
      </c>
      <c r="F62" s="1058" t="s">
        <v>289</v>
      </c>
      <c r="G62" s="1061">
        <f>IF(ISNUMBER('Availabilities EU Austria'!$AE$49),'Availabilities EU Austria'!$AE$49,IF(ISNUMBER('Availabilities EU Austria'!$AE$40),'Availabilities EU Austria'!$AE$40,1))</f>
        <v>1</v>
      </c>
      <c r="H62" s="1060">
        <f>IF(ISNUMBER('Availabilities EU Austria'!$N$49),'Availabilities EU Austria'!$N$49,0)*$G62</f>
        <v>0.64100000000000001</v>
      </c>
      <c r="I62" s="1060">
        <f>IF(ISNUMBER('Availabilities EU Austria'!$Q$49),'Availabilities EU Austria'!$Q$49,0)*$G62</f>
        <v>0.64100000000000001</v>
      </c>
      <c r="J62" s="1060">
        <f>IF(ISNUMBER('Availabilities EU Austria'!$X$49),'Availabilities EU Austria'!$X$49,0)*$G62</f>
        <v>0.64100000000000001</v>
      </c>
      <c r="K62" s="1060">
        <f t="shared" si="4"/>
        <v>1.923</v>
      </c>
      <c r="L62" s="1061">
        <f t="shared" si="5"/>
        <v>3.5268171126038926E-3</v>
      </c>
      <c r="M62" s="1059">
        <f>Tabelle1!$I$13</f>
        <v>9.5</v>
      </c>
      <c r="N62" s="1066" t="s">
        <v>1621</v>
      </c>
    </row>
    <row r="63" spans="1:14">
      <c r="A63" s="1058" t="s">
        <v>1128</v>
      </c>
      <c r="B63" s="1058" t="s">
        <v>9</v>
      </c>
      <c r="C63" s="1058" t="s">
        <v>51</v>
      </c>
      <c r="D63" s="1058" t="s">
        <v>645</v>
      </c>
      <c r="E63" s="1058">
        <v>51</v>
      </c>
      <c r="F63" s="1058" t="s">
        <v>272</v>
      </c>
      <c r="G63" s="1061">
        <f>IF(ISNUMBER('Availabilities EU Austria'!$AE$51),'Availabilities EU Austria'!$AE$51,IF(ISNUMBER('Availabilities EU Austria'!$AE$50),'Availabilities EU Austria'!$AE$50,1))</f>
        <v>0.14285714285714285</v>
      </c>
      <c r="H63" s="1060">
        <f>IF(ISNUMBER('Availabilities EU Austria'!$N$51),'Availabilities EU Austria'!$N$51,0)*$G63</f>
        <v>18.698947962916989</v>
      </c>
      <c r="I63" s="1060">
        <f>IF(ISNUMBER('Availabilities EU Austria'!$Q$51),'Availabilities EU Austria'!$Q$51,0)*$G63</f>
        <v>29.629920107091877</v>
      </c>
      <c r="J63" s="1060">
        <f>IF(ISNUMBER('Availabilities EU Austria'!$X$51),'Availabilities EU Austria'!$X$51,0)*$G63</f>
        <v>29.629920107091877</v>
      </c>
      <c r="K63" s="1060">
        <f t="shared" si="4"/>
        <v>77.958788177100743</v>
      </c>
      <c r="L63" s="1061">
        <f t="shared" si="5"/>
        <v>0.45548964319078772</v>
      </c>
      <c r="M63" s="1059">
        <f>Tabelle1!$I$15</f>
        <v>12.5</v>
      </c>
      <c r="N63" s="1066" t="s">
        <v>1623</v>
      </c>
    </row>
    <row r="64" spans="1:14">
      <c r="A64" s="1058" t="s">
        <v>1128</v>
      </c>
      <c r="B64" s="1058" t="s">
        <v>9</v>
      </c>
      <c r="C64" s="1058" t="s">
        <v>51</v>
      </c>
      <c r="D64" s="1058" t="s">
        <v>645</v>
      </c>
      <c r="E64" s="1058">
        <v>52</v>
      </c>
      <c r="F64" s="1058" t="s">
        <v>1065</v>
      </c>
      <c r="G64" s="1061">
        <f>IF(ISNUMBER('Availabilities EU Austria'!$AE$52),'Availabilities EU Austria'!$AE$52,IF(ISNUMBER('Availabilities EU Austria'!$AE$50),'Availabilities EU Austria'!$AE$50,1))</f>
        <v>0.16666666666666666</v>
      </c>
      <c r="H64" s="1060">
        <f>IF(ISNUMBER('Availabilities EU Austria'!$N$52),'Availabilities EU Austria'!$N$52,0)*$G64</f>
        <v>1.415880754318724</v>
      </c>
      <c r="I64" s="1060">
        <f>IF(ISNUMBER('Availabilities EU Austria'!$Q$52),'Availabilities EU Austria'!$Q$52,0)*$G64</f>
        <v>2.0429542180659546</v>
      </c>
      <c r="J64" s="1060">
        <f>IF(ISNUMBER('Availabilities EU Austria'!$X$52),'Availabilities EU Austria'!$X$52,0)*$G64</f>
        <v>1.9897731868222737</v>
      </c>
      <c r="K64" s="1060">
        <f t="shared" si="4"/>
        <v>5.4486081592069517</v>
      </c>
      <c r="L64" s="1061">
        <f t="shared" si="5"/>
        <v>3.1834571115775465E-2</v>
      </c>
      <c r="M64" s="1059">
        <f>Tabelle1!$I$15</f>
        <v>12.5</v>
      </c>
      <c r="N64" s="1066" t="s">
        <v>1623</v>
      </c>
    </row>
    <row r="65" spans="1:14">
      <c r="A65" s="1058" t="s">
        <v>1128</v>
      </c>
      <c r="B65" s="1058" t="s">
        <v>9</v>
      </c>
      <c r="C65" s="1058" t="s">
        <v>51</v>
      </c>
      <c r="D65" s="1058" t="s">
        <v>645</v>
      </c>
      <c r="E65" s="1058">
        <v>53</v>
      </c>
      <c r="F65" s="1058" t="s">
        <v>285</v>
      </c>
      <c r="G65" s="1061">
        <f>IF(ISNUMBER('Availabilities EU Austria'!$AE$53),'Availabilities EU Austria'!$AE$53,IF(ISNUMBER('Availabilities EU Austria'!$AE$50),'Availabilities EU Austria'!$AE$50,1))</f>
        <v>0.25</v>
      </c>
      <c r="H65" s="1060">
        <f>IF(ISNUMBER('Availabilities EU Austria'!$N$53),'Availabilities EU Austria'!$N$53,0)*$G65</f>
        <v>2.2042904017629494</v>
      </c>
      <c r="I65" s="1060">
        <f>IF(ISNUMBER('Availabilities EU Austria'!$Q$53),'Availabilities EU Austria'!$Q$53,0)*$G65</f>
        <v>2.463618684323297</v>
      </c>
      <c r="J65" s="1060">
        <f>IF(ISNUMBER('Availabilities EU Austria'!$X$53),'Availabilities EU Austria'!$X$53,0)*$G65</f>
        <v>2.2901825701455727</v>
      </c>
      <c r="K65" s="1060">
        <f t="shared" si="4"/>
        <v>6.9580916562318187</v>
      </c>
      <c r="L65" s="1061">
        <f t="shared" si="5"/>
        <v>4.0654027081410887E-2</v>
      </c>
      <c r="M65" s="1059">
        <f>Tabelle1!$I$15</f>
        <v>12.5</v>
      </c>
      <c r="N65" s="1066" t="s">
        <v>1623</v>
      </c>
    </row>
    <row r="66" spans="1:14">
      <c r="A66" s="1058" t="s">
        <v>1128</v>
      </c>
      <c r="B66" s="1058" t="s">
        <v>9</v>
      </c>
      <c r="C66" s="1058" t="s">
        <v>51</v>
      </c>
      <c r="D66" s="1058" t="s">
        <v>645</v>
      </c>
      <c r="E66" s="1058">
        <v>54</v>
      </c>
      <c r="F66" s="1058" t="s">
        <v>292</v>
      </c>
      <c r="G66" s="1061">
        <f>IF(ISNUMBER('Availabilities EU Austria'!$AE$54),'Availabilities EU Austria'!$AE$54,IF(ISNUMBER('Availabilities EU Austria'!$AE$50),'Availabilities EU Austria'!$AE$50,1))</f>
        <v>0.2</v>
      </c>
      <c r="H66" s="1060">
        <f>IF(ISNUMBER('Availabilities EU Austria'!$N$54),'Availabilities EU Austria'!$N$54,0)*$G66</f>
        <v>0.69070777727304677</v>
      </c>
      <c r="I66" s="1060">
        <f>IF(ISNUMBER('Availabilities EU Austria'!$Q$54),'Availabilities EU Austria'!$Q$54,0)*$G66</f>
        <v>1.0360616659095701</v>
      </c>
      <c r="J66" s="1060">
        <f>IF(ISNUMBER('Availabilities EU Austria'!$X$54),'Availabilities EU Austria'!$X$54,0)*$G66</f>
        <v>0.88961112873008164</v>
      </c>
      <c r="K66" s="1060">
        <f t="shared" ref="K66:K97" si="6">SUM(H66:J66)</f>
        <v>2.6163805719126985</v>
      </c>
      <c r="L66" s="1061">
        <f t="shared" ref="L66:L97" si="7">IF(SUMIFS($K$34:$K$135,$A$34:$A$135,$A66,$B$34:$B$135,$B66,$C$34:$C$135,$C66,$D$34:$D$135,$D66)=0,1/COUNTIFS($A$34:$A$135,$A66,$B$34:$B$135,$B66,$C$34:$C$135,$C66,$D$34:$D$135,$D66),K66/SUMIFS($K$34:$K$135,$A$34:$A$135,$A66,$B$34:$B$135,$B66,$C$34:$C$135,$C66,$D$34:$D$135,$D66))</f>
        <v>1.5286721112756838E-2</v>
      </c>
      <c r="M66" s="1059">
        <f>Tabelle1!$I$15</f>
        <v>12.5</v>
      </c>
      <c r="N66" s="1066" t="s">
        <v>1623</v>
      </c>
    </row>
    <row r="67" spans="1:14">
      <c r="A67" s="1058" t="s">
        <v>1128</v>
      </c>
      <c r="B67" s="1058" t="s">
        <v>9</v>
      </c>
      <c r="C67" s="1058" t="s">
        <v>51</v>
      </c>
      <c r="D67" s="1058" t="s">
        <v>645</v>
      </c>
      <c r="E67" s="1058">
        <v>55</v>
      </c>
      <c r="F67" s="1058" t="s">
        <v>274</v>
      </c>
      <c r="G67" s="1061">
        <f>IF(ISNUMBER('Availabilities EU Austria'!$AE$55),'Availabilities EU Austria'!$AE$55,IF(ISNUMBER('Availabilities EU Austria'!$AE$50),'Availabilities EU Austria'!$AE$50,1))</f>
        <v>0.14285714285714285</v>
      </c>
      <c r="H67" s="1060">
        <f>IF(ISNUMBER('Availabilities EU Austria'!$N$55),'Availabilities EU Austria'!$N$55,0)*$G67</f>
        <v>0.73186950033079479</v>
      </c>
      <c r="I67" s="1060">
        <f>IF(ISNUMBER('Availabilities EU Austria'!$Q$55),'Availabilities EU Austria'!$Q$55,0)*$G67</f>
        <v>1.2483093909272507</v>
      </c>
      <c r="J67" s="1060">
        <f>IF(ISNUMBER('Availabilities EU Austria'!$X$55),'Availabilities EU Austria'!$X$55,0)*$G67</f>
        <v>10.204344080083652</v>
      </c>
      <c r="K67" s="1060">
        <f t="shared" si="6"/>
        <v>12.184522971341698</v>
      </c>
      <c r="L67" s="1061">
        <f t="shared" si="7"/>
        <v>7.1190486030368996E-2</v>
      </c>
      <c r="M67" s="1059">
        <f>Tabelle1!$I$15</f>
        <v>12.5</v>
      </c>
      <c r="N67" s="1066" t="s">
        <v>1623</v>
      </c>
    </row>
    <row r="68" spans="1:14">
      <c r="A68" s="1058" t="s">
        <v>1128</v>
      </c>
      <c r="B68" s="1058" t="s">
        <v>9</v>
      </c>
      <c r="C68" s="1058" t="s">
        <v>51</v>
      </c>
      <c r="D68" s="1058" t="s">
        <v>645</v>
      </c>
      <c r="E68" s="1058">
        <v>56</v>
      </c>
      <c r="F68" s="1058" t="s">
        <v>276</v>
      </c>
      <c r="G68" s="1061">
        <f>IF(ISNUMBER('Availabilities EU Austria'!$AE$56),'Availabilities EU Austria'!$AE$56,IF(ISNUMBER('Availabilities EU Austria'!$AE$50),'Availabilities EU Austria'!$AE$50,1))</f>
        <v>0.14285714285714285</v>
      </c>
      <c r="H68" s="1060">
        <f>IF(ISNUMBER('Availabilities EU Austria'!$N$56),'Availabilities EU Austria'!$N$56,0)*$G68</f>
        <v>0.33319692156164937</v>
      </c>
      <c r="I68" s="1060">
        <f>IF(ISNUMBER('Availabilities EU Austria'!$Q$56),'Availabilities EU Austria'!$Q$56,0)*$G68</f>
        <v>0.87705688307233309</v>
      </c>
      <c r="J68" s="1060">
        <f>IF(ISNUMBER('Availabilities EU Austria'!$X$56),'Availabilities EU Austria'!$X$56,0)*$G68</f>
        <v>2.0142016679260926</v>
      </c>
      <c r="K68" s="1060">
        <f t="shared" si="6"/>
        <v>3.2244554725600749</v>
      </c>
      <c r="L68" s="1061">
        <f t="shared" si="7"/>
        <v>1.883951902054299E-2</v>
      </c>
      <c r="M68" s="1059">
        <f>Tabelle1!$I$15</f>
        <v>12.5</v>
      </c>
      <c r="N68" s="1066" t="s">
        <v>1623</v>
      </c>
    </row>
    <row r="69" spans="1:14">
      <c r="A69" s="1058" t="s">
        <v>1128</v>
      </c>
      <c r="B69" s="1058" t="s">
        <v>9</v>
      </c>
      <c r="C69" s="1058" t="s">
        <v>51</v>
      </c>
      <c r="D69" s="1058" t="s">
        <v>645</v>
      </c>
      <c r="E69" s="1058">
        <v>57</v>
      </c>
      <c r="F69" s="1058" t="s">
        <v>293</v>
      </c>
      <c r="G69" s="1061">
        <f>IF(ISNUMBER('Availabilities EU Austria'!$AE$57),'Availabilities EU Austria'!$AE$57,IF(ISNUMBER('Availabilities EU Austria'!$AE$50),'Availabilities EU Austria'!$AE$50,1))</f>
        <v>0.2</v>
      </c>
      <c r="H69" s="1060">
        <f>IF(ISNUMBER('Availabilities EU Austria'!$N$57),'Availabilities EU Austria'!$N$57,0)*$G69</f>
        <v>7.4833398856338214</v>
      </c>
      <c r="I69" s="1060">
        <f>IF(ISNUMBER('Availabilities EU Austria'!$Q$57),'Availabilities EU Austria'!$Q$57,0)*$G69</f>
        <v>7.4833398856338214</v>
      </c>
      <c r="J69" s="1060">
        <f>IF(ISNUMBER('Availabilities EU Austria'!$X$57),'Availabilities EU Austria'!$X$57,0)*$G69</f>
        <v>7.6263561572719825</v>
      </c>
      <c r="K69" s="1060">
        <f t="shared" si="6"/>
        <v>22.593035928539624</v>
      </c>
      <c r="L69" s="1061">
        <f t="shared" si="7"/>
        <v>0.13200428218957308</v>
      </c>
      <c r="M69" s="1059">
        <f>Tabelle1!$I$15</f>
        <v>12.5</v>
      </c>
      <c r="N69" s="1066" t="s">
        <v>1623</v>
      </c>
    </row>
    <row r="70" spans="1:14">
      <c r="A70" s="1058" t="s">
        <v>1128</v>
      </c>
      <c r="B70" s="1058" t="s">
        <v>9</v>
      </c>
      <c r="C70" s="1058" t="s">
        <v>51</v>
      </c>
      <c r="D70" s="1058" t="s">
        <v>645</v>
      </c>
      <c r="E70" s="1058">
        <v>58</v>
      </c>
      <c r="F70" s="1058" t="s">
        <v>270</v>
      </c>
      <c r="G70" s="1061">
        <f>IF(ISNUMBER('Availabilities EU Austria'!$AE$58),'Availabilities EU Austria'!$AE$58,IF(ISNUMBER('Availabilities EU Austria'!$AE$50),'Availabilities EU Austria'!$AE$50,1))</f>
        <v>0.16666666666666666</v>
      </c>
      <c r="H70" s="1060">
        <f>IF(ISNUMBER('Availabilities EU Austria'!$N$58),'Availabilities EU Austria'!$N$58,0)*$G70</f>
        <v>6.546970546508903</v>
      </c>
      <c r="I70" s="1060">
        <f>IF(ISNUMBER('Availabilities EU Austria'!$Q$58),'Availabilities EU Austria'!$Q$58,0)*$G70</f>
        <v>9.1728821445465929</v>
      </c>
      <c r="J70" s="1060">
        <f>IF(ISNUMBER('Availabilities EU Austria'!$X$58),'Availabilities EU Austria'!$X$58,0)*$G70</f>
        <v>9.7682905342676349</v>
      </c>
      <c r="K70" s="1060">
        <f t="shared" si="6"/>
        <v>25.488143225323132</v>
      </c>
      <c r="L70" s="1061">
        <f t="shared" si="7"/>
        <v>0.1489195193353233</v>
      </c>
      <c r="M70" s="1059">
        <f>Tabelle1!$I$15</f>
        <v>12.5</v>
      </c>
      <c r="N70" s="1066" t="s">
        <v>1623</v>
      </c>
    </row>
    <row r="71" spans="1:14">
      <c r="A71" s="1058" t="s">
        <v>1128</v>
      </c>
      <c r="B71" s="1058" t="s">
        <v>9</v>
      </c>
      <c r="C71" s="1058" t="s">
        <v>51</v>
      </c>
      <c r="D71" s="1058" t="s">
        <v>645</v>
      </c>
      <c r="E71" s="1058">
        <v>59</v>
      </c>
      <c r="F71" s="1058" t="s">
        <v>295</v>
      </c>
      <c r="G71" s="1061">
        <f>IF(ISNUMBER('Availabilities EU Austria'!$AE$59),'Availabilities EU Austria'!$AE$59,IF(ISNUMBER('Availabilities EU Austria'!$AE$50),'Availabilities EU Austria'!$AE$50,1))</f>
        <v>0.2</v>
      </c>
      <c r="H71" s="1060">
        <f>IF(ISNUMBER('Availabilities EU Austria'!$N$59),'Availabilities EU Austria'!$N$59,0)*$G71</f>
        <v>2.3533671344404845</v>
      </c>
      <c r="I71" s="1060">
        <f>IF(ISNUMBER('Availabilities EU Austria'!$Q$59),'Availabilities EU Austria'!$Q$59,0)*$G71</f>
        <v>3.1378228459206459</v>
      </c>
      <c r="J71" s="1060">
        <f>IF(ISNUMBER('Availabilities EU Austria'!$X$59),'Availabilities EU Austria'!$X$59,0)*$G71</f>
        <v>3.8061026838533483</v>
      </c>
      <c r="K71" s="1060">
        <f t="shared" si="6"/>
        <v>9.2972926642144778</v>
      </c>
      <c r="L71" s="1061">
        <f t="shared" si="7"/>
        <v>5.4321271755059138E-2</v>
      </c>
      <c r="M71" s="1059">
        <f>Tabelle1!$I$15</f>
        <v>12.5</v>
      </c>
      <c r="N71" s="1066" t="s">
        <v>1623</v>
      </c>
    </row>
    <row r="72" spans="1:14">
      <c r="A72" s="1058" t="s">
        <v>1128</v>
      </c>
      <c r="B72" s="1058" t="s">
        <v>9</v>
      </c>
      <c r="C72" s="1058" t="s">
        <v>51</v>
      </c>
      <c r="D72" s="1058" t="s">
        <v>645</v>
      </c>
      <c r="E72" s="1058">
        <v>60</v>
      </c>
      <c r="F72" s="1058" t="s">
        <v>297</v>
      </c>
      <c r="G72" s="1061">
        <f>IF(ISNUMBER('Availabilities EU Austria'!$AE$60),'Availabilities EU Austria'!$AE$60,IF(ISNUMBER('Availabilities EU Austria'!$AE$50),'Availabilities EU Austria'!$AE$50,1))</f>
        <v>0.25</v>
      </c>
      <c r="H72" s="1060">
        <f>IF(ISNUMBER('Availabilities EU Austria'!$N$60),'Availabilities EU Austria'!$N$60,0)*$G72</f>
        <v>1.2970107148692049</v>
      </c>
      <c r="I72" s="1060">
        <f>IF(ISNUMBER('Availabilities EU Austria'!$Q$60),'Availabilities EU Austria'!$Q$60,0)*$G72</f>
        <v>1.852173160313531</v>
      </c>
      <c r="J72" s="1060">
        <f>IF(ISNUMBER('Availabilities EU Austria'!$X$60),'Availabilities EU Austria'!$X$60,0)*$G72</f>
        <v>2.2353080216886831</v>
      </c>
      <c r="K72" s="1060">
        <f t="shared" si="6"/>
        <v>5.3844918968714186</v>
      </c>
      <c r="L72" s="1061">
        <f t="shared" si="7"/>
        <v>3.145995916840149E-2</v>
      </c>
      <c r="M72" s="1059">
        <f>Tabelle1!$I$15</f>
        <v>12.5</v>
      </c>
      <c r="N72" s="1066" t="s">
        <v>1623</v>
      </c>
    </row>
    <row r="73" spans="1:14">
      <c r="A73" s="1058" t="s">
        <v>1128</v>
      </c>
      <c r="B73" s="1058" t="s">
        <v>11</v>
      </c>
      <c r="C73" s="1058" t="s">
        <v>51</v>
      </c>
      <c r="D73" s="1058" t="s">
        <v>645</v>
      </c>
      <c r="E73" s="1058">
        <v>62</v>
      </c>
      <c r="F73" s="1058" t="s">
        <v>298</v>
      </c>
      <c r="G73" s="1061">
        <f>IF(ISNUMBER('Availabilities EU Austria'!$AE$62),'Availabilities EU Austria'!$AE$62,IF(ISNUMBER('Availabilities EU Austria'!$AE$61),'Availabilities EU Austria'!$AE$61,1))</f>
        <v>1</v>
      </c>
      <c r="H73" s="1060">
        <f>IF(ISNUMBER('Availabilities EU Austria'!$N$62),'Availabilities EU Austria'!$N$62,0)*$G73</f>
        <v>2.2959999999999998</v>
      </c>
      <c r="I73" s="1060">
        <f>IF(ISNUMBER('Availabilities EU Austria'!$Q$62),'Availabilities EU Austria'!$Q$62,0)*$G73</f>
        <v>0</v>
      </c>
      <c r="J73" s="1060">
        <f>IF(ISNUMBER('Availabilities EU Austria'!$X$62),'Availabilities EU Austria'!$X$62,0)*$G73</f>
        <v>0</v>
      </c>
      <c r="K73" s="1060">
        <f t="shared" si="6"/>
        <v>2.2959999999999998</v>
      </c>
      <c r="L73" s="1061">
        <f t="shared" si="7"/>
        <v>8.1075169688739762E-2</v>
      </c>
      <c r="M73" s="1059">
        <f>Tabelle1!$I$16</f>
        <v>12</v>
      </c>
      <c r="N73" s="1066" t="s">
        <v>1624</v>
      </c>
    </row>
    <row r="74" spans="1:14">
      <c r="A74" s="1058" t="s">
        <v>1128</v>
      </c>
      <c r="B74" s="1058" t="s">
        <v>11</v>
      </c>
      <c r="C74" s="1058" t="s">
        <v>51</v>
      </c>
      <c r="D74" s="1058" t="s">
        <v>645</v>
      </c>
      <c r="E74" s="1058">
        <v>63</v>
      </c>
      <c r="F74" s="1058" t="s">
        <v>1625</v>
      </c>
      <c r="G74" s="1061">
        <f>IF(ISNUMBER('Availabilities EU Austria'!$AE$63),'Availabilities EU Austria'!$AE$63,IF(ISNUMBER('Availabilities EU Austria'!$AE$61),'Availabilities EU Austria'!$AE$61,1))</f>
        <v>1</v>
      </c>
      <c r="H74" s="1060">
        <f>IF(ISNUMBER('Availabilities EU Austria'!$N$63),'Availabilities EU Austria'!$N$63,0)*$G74</f>
        <v>0</v>
      </c>
      <c r="I74" s="1060">
        <f>IF(ISNUMBER('Availabilities EU Austria'!$Q$63),'Availabilities EU Austria'!$Q$63,0)*$G74</f>
        <v>1.7283950617283947</v>
      </c>
      <c r="J74" s="1060">
        <f>IF(ISNUMBER('Availabilities EU Austria'!$X$63),'Availabilities EU Austria'!$X$63,0)*$G74</f>
        <v>0</v>
      </c>
      <c r="K74" s="1060">
        <f t="shared" si="6"/>
        <v>1.7283950617283947</v>
      </c>
      <c r="L74" s="1061">
        <f t="shared" si="7"/>
        <v>6.1032196393209691E-2</v>
      </c>
      <c r="M74" s="1059">
        <f>Tabelle1!$I$16</f>
        <v>12</v>
      </c>
      <c r="N74" s="1066" t="s">
        <v>1624</v>
      </c>
    </row>
    <row r="75" spans="1:14">
      <c r="A75" s="1058" t="s">
        <v>1128</v>
      </c>
      <c r="B75" s="1058" t="s">
        <v>11</v>
      </c>
      <c r="C75" s="1058" t="s">
        <v>51</v>
      </c>
      <c r="D75" s="1058" t="s">
        <v>645</v>
      </c>
      <c r="E75" s="1058">
        <v>64</v>
      </c>
      <c r="F75" s="1058" t="s">
        <v>1625</v>
      </c>
      <c r="G75" s="1061">
        <f>IF(ISNUMBER('Availabilities EU Austria'!$AE$64),'Availabilities EU Austria'!$AE$64,IF(ISNUMBER('Availabilities EU Austria'!$AE$61),'Availabilities EU Austria'!$AE$61,1))</f>
        <v>1</v>
      </c>
      <c r="H75" s="1060">
        <f>IF(ISNUMBER('Availabilities EU Austria'!$N$64),'Availabilities EU Austria'!$N$64,0)*$G75</f>
        <v>0</v>
      </c>
      <c r="I75" s="1060">
        <f>IF(ISNUMBER('Availabilities EU Austria'!$Q$64),'Availabilities EU Austria'!$Q$64,0)*$G75</f>
        <v>24.295002958833294</v>
      </c>
      <c r="J75" s="1060">
        <f>IF(ISNUMBER('Availabilities EU Austria'!$X$64),'Availabilities EU Austria'!$X$64,0)*$G75</f>
        <v>0</v>
      </c>
      <c r="K75" s="1060">
        <f t="shared" si="6"/>
        <v>24.295002958833294</v>
      </c>
      <c r="L75" s="1061">
        <f t="shared" si="7"/>
        <v>0.85789263391805048</v>
      </c>
      <c r="M75" s="1059">
        <f>Tabelle1!$I$16</f>
        <v>12</v>
      </c>
      <c r="N75" s="1066" t="s">
        <v>1624</v>
      </c>
    </row>
    <row r="76" spans="1:14">
      <c r="A76" s="1058" t="s">
        <v>1128</v>
      </c>
      <c r="B76" s="1058" t="s">
        <v>13</v>
      </c>
      <c r="C76" s="1058" t="s">
        <v>1342</v>
      </c>
      <c r="D76" s="1058" t="s">
        <v>646</v>
      </c>
      <c r="E76" s="1058">
        <v>66</v>
      </c>
      <c r="F76" s="1058" t="s">
        <v>299</v>
      </c>
      <c r="G76" s="1061">
        <f>IF(ISNUMBER('Availabilities EU Austria'!$AE$66),'Availabilities EU Austria'!$AE$66,IF(ISNUMBER('Availabilities EU Austria'!$AE$65),'Availabilities EU Austria'!$AE$65,1))</f>
        <v>0.5</v>
      </c>
      <c r="H76" s="1060">
        <f>IF(ISNUMBER('Availabilities EU Austria'!$N$66),'Availabilities EU Austria'!$N$66,0)*$G76</f>
        <v>16.34</v>
      </c>
      <c r="I76" s="1060">
        <f>IF(ISNUMBER('Availabilities EU Austria'!$Q$66),'Availabilities EU Austria'!$Q$66,0)*$G76</f>
        <v>16.34</v>
      </c>
      <c r="J76" s="1060">
        <f>IF(ISNUMBER('Availabilities EU Austria'!$X$66),'Availabilities EU Austria'!$X$66,0)*$G76</f>
        <v>32.195</v>
      </c>
      <c r="K76" s="1060">
        <f t="shared" si="6"/>
        <v>64.875</v>
      </c>
      <c r="L76" s="1061">
        <f t="shared" si="7"/>
        <v>1</v>
      </c>
      <c r="M76" s="1059">
        <f>Tabelle1!$I$17</f>
        <v>1.8</v>
      </c>
      <c r="N76" s="1066" t="s">
        <v>1626</v>
      </c>
    </row>
    <row r="77" spans="1:14">
      <c r="A77" s="1058" t="s">
        <v>1128</v>
      </c>
      <c r="B77" s="1058" t="s">
        <v>15</v>
      </c>
      <c r="C77" s="1058" t="s">
        <v>1598</v>
      </c>
      <c r="D77" s="1058" t="s">
        <v>1640</v>
      </c>
      <c r="E77" s="1058">
        <v>68</v>
      </c>
      <c r="F77" s="1058" t="s">
        <v>300</v>
      </c>
      <c r="G77" s="1061">
        <f>IF(ISNUMBER('Availabilities EU Austria'!$AE$68),'Availabilities EU Austria'!$AE$68,IF(ISNUMBER('Availabilities EU Austria'!$AE$67),'Availabilities EU Austria'!$AE$67,1))</f>
        <v>1</v>
      </c>
      <c r="H77" s="1060">
        <f>IF(ISNUMBER('Availabilities EU Austria'!$N$68),'Availabilities EU Austria'!$N$68,0)*$G77</f>
        <v>0</v>
      </c>
      <c r="I77" s="1060">
        <f>IF(ISNUMBER('Availabilities EU Austria'!$Q$68),'Availabilities EU Austria'!$Q$68,0)*$G77</f>
        <v>0</v>
      </c>
      <c r="J77" s="1060">
        <f>IF(ISNUMBER('Availabilities EU Austria'!$X$68),'Availabilities EU Austria'!$X$68,0)*$G77</f>
        <v>0</v>
      </c>
      <c r="K77" s="1060">
        <f t="shared" si="6"/>
        <v>0</v>
      </c>
      <c r="L77" s="1061">
        <f t="shared" si="7"/>
        <v>1</v>
      </c>
      <c r="M77" s="1059">
        <f>Tabelle1!$I$15</f>
        <v>12.5</v>
      </c>
      <c r="N77" s="1066" t="s">
        <v>1627</v>
      </c>
    </row>
    <row r="78" spans="1:14">
      <c r="A78" s="1058" t="s">
        <v>1128</v>
      </c>
      <c r="B78" s="1058" t="s">
        <v>17</v>
      </c>
      <c r="C78" s="1058" t="s">
        <v>53</v>
      </c>
      <c r="D78" s="1058" t="s">
        <v>1023</v>
      </c>
      <c r="E78" s="1058">
        <v>70</v>
      </c>
      <c r="F78" s="1058" t="s">
        <v>272</v>
      </c>
      <c r="G78" s="1061">
        <f>IF(ISNUMBER('Availabilities EU Austria'!$AE$70),'Availabilities EU Austria'!$AE$70,IF(ISNUMBER('Availabilities EU Austria'!$AE$69),'Availabilities EU Austria'!$AE$69,1))</f>
        <v>0.14285714285714285</v>
      </c>
      <c r="H78" s="1060">
        <f>IF(ISNUMBER('Availabilities EU Austria'!$N$70),'Availabilities EU Austria'!$N$70,0)*$G78</f>
        <v>18.698947962916989</v>
      </c>
      <c r="I78" s="1060">
        <f>IF(ISNUMBER('Availabilities EU Austria'!$Q$70),'Availabilities EU Austria'!$Q$70,0)*$G78</f>
        <v>29.629920107091877</v>
      </c>
      <c r="J78" s="1060">
        <f>IF(ISNUMBER('Availabilities EU Austria'!$X$70),'Availabilities EU Austria'!$X$70,0)*$G78</f>
        <v>29.629920107091877</v>
      </c>
      <c r="K78" s="1060">
        <f t="shared" si="6"/>
        <v>77.958788177100743</v>
      </c>
      <c r="L78" s="1061">
        <f t="shared" si="7"/>
        <v>0.45548964319078772</v>
      </c>
      <c r="M78" s="1059">
        <f>Tabelle1!$I$18</f>
        <v>21</v>
      </c>
      <c r="N78" s="1066" t="s">
        <v>1628</v>
      </c>
    </row>
    <row r="79" spans="1:14">
      <c r="A79" s="1058" t="s">
        <v>1128</v>
      </c>
      <c r="B79" s="1058" t="s">
        <v>17</v>
      </c>
      <c r="C79" s="1058" t="s">
        <v>53</v>
      </c>
      <c r="D79" s="1058" t="s">
        <v>1023</v>
      </c>
      <c r="E79" s="1058">
        <v>71</v>
      </c>
      <c r="F79" s="1058" t="s">
        <v>1065</v>
      </c>
      <c r="G79" s="1061">
        <f>IF(ISNUMBER('Availabilities EU Austria'!$AE$71),'Availabilities EU Austria'!$AE$71,IF(ISNUMBER('Availabilities EU Austria'!$AE$69),'Availabilities EU Austria'!$AE$69,1))</f>
        <v>0.16666666666666666</v>
      </c>
      <c r="H79" s="1060">
        <f>IF(ISNUMBER('Availabilities EU Austria'!$N$71),'Availabilities EU Austria'!$N$71,0)*$G79</f>
        <v>1.415880754318724</v>
      </c>
      <c r="I79" s="1060">
        <f>IF(ISNUMBER('Availabilities EU Austria'!$Q$71),'Availabilities EU Austria'!$Q$71,0)*$G79</f>
        <v>2.0429542180659546</v>
      </c>
      <c r="J79" s="1060">
        <f>IF(ISNUMBER('Availabilities EU Austria'!$X$71),'Availabilities EU Austria'!$X$71,0)*$G79</f>
        <v>1.9897731868222737</v>
      </c>
      <c r="K79" s="1060">
        <f t="shared" si="6"/>
        <v>5.4486081592069517</v>
      </c>
      <c r="L79" s="1061">
        <f t="shared" si="7"/>
        <v>3.1834571115775465E-2</v>
      </c>
      <c r="M79" s="1059">
        <f>Tabelle1!$I$18</f>
        <v>21</v>
      </c>
      <c r="N79" s="1066" t="s">
        <v>1628</v>
      </c>
    </row>
    <row r="80" spans="1:14">
      <c r="A80" s="1058" t="s">
        <v>1128</v>
      </c>
      <c r="B80" s="1058" t="s">
        <v>17</v>
      </c>
      <c r="C80" s="1058" t="s">
        <v>53</v>
      </c>
      <c r="D80" s="1058" t="s">
        <v>1023</v>
      </c>
      <c r="E80" s="1058">
        <v>72</v>
      </c>
      <c r="F80" s="1058" t="s">
        <v>285</v>
      </c>
      <c r="G80" s="1061">
        <f>IF(ISNUMBER('Availabilities EU Austria'!$AE$72),'Availabilities EU Austria'!$AE$72,IF(ISNUMBER('Availabilities EU Austria'!$AE$69),'Availabilities EU Austria'!$AE$69,1))</f>
        <v>0.25</v>
      </c>
      <c r="H80" s="1060">
        <f>IF(ISNUMBER('Availabilities EU Austria'!$N$72),'Availabilities EU Austria'!$N$72,0)*$G80</f>
        <v>2.2042904017629494</v>
      </c>
      <c r="I80" s="1060">
        <f>IF(ISNUMBER('Availabilities EU Austria'!$Q$72),'Availabilities EU Austria'!$Q$72,0)*$G80</f>
        <v>2.463618684323297</v>
      </c>
      <c r="J80" s="1060">
        <f>IF(ISNUMBER('Availabilities EU Austria'!$X$72),'Availabilities EU Austria'!$X$72,0)*$G80</f>
        <v>2.2901825701455727</v>
      </c>
      <c r="K80" s="1060">
        <f t="shared" si="6"/>
        <v>6.9580916562318187</v>
      </c>
      <c r="L80" s="1061">
        <f t="shared" si="7"/>
        <v>4.0654027081410887E-2</v>
      </c>
      <c r="M80" s="1059">
        <f>Tabelle1!$I$18</f>
        <v>21</v>
      </c>
      <c r="N80" s="1066" t="s">
        <v>1628</v>
      </c>
    </row>
    <row r="81" spans="1:14">
      <c r="A81" s="1058" t="s">
        <v>1128</v>
      </c>
      <c r="B81" s="1058" t="s">
        <v>17</v>
      </c>
      <c r="C81" s="1058" t="s">
        <v>53</v>
      </c>
      <c r="D81" s="1058" t="s">
        <v>1023</v>
      </c>
      <c r="E81" s="1058">
        <v>73</v>
      </c>
      <c r="F81" s="1058" t="s">
        <v>292</v>
      </c>
      <c r="G81" s="1061">
        <f>IF(ISNUMBER('Availabilities EU Austria'!$AE$73),'Availabilities EU Austria'!$AE$73,IF(ISNUMBER('Availabilities EU Austria'!$AE$69),'Availabilities EU Austria'!$AE$69,1))</f>
        <v>0.2</v>
      </c>
      <c r="H81" s="1060">
        <f>IF(ISNUMBER('Availabilities EU Austria'!$N$73),'Availabilities EU Austria'!$N$73,0)*$G81</f>
        <v>0.69070777727304677</v>
      </c>
      <c r="I81" s="1060">
        <f>IF(ISNUMBER('Availabilities EU Austria'!$Q$73),'Availabilities EU Austria'!$Q$73,0)*$G81</f>
        <v>1.0360616659095701</v>
      </c>
      <c r="J81" s="1060">
        <f>IF(ISNUMBER('Availabilities EU Austria'!$X$73),'Availabilities EU Austria'!$X$73,0)*$G81</f>
        <v>0.88961112873008164</v>
      </c>
      <c r="K81" s="1060">
        <f t="shared" si="6"/>
        <v>2.6163805719126985</v>
      </c>
      <c r="L81" s="1061">
        <f t="shared" si="7"/>
        <v>1.5286721112756838E-2</v>
      </c>
      <c r="M81" s="1059">
        <f>Tabelle1!$I$18</f>
        <v>21</v>
      </c>
      <c r="N81" s="1066" t="s">
        <v>1628</v>
      </c>
    </row>
    <row r="82" spans="1:14">
      <c r="A82" s="1058" t="s">
        <v>1128</v>
      </c>
      <c r="B82" s="1058" t="s">
        <v>17</v>
      </c>
      <c r="C82" s="1058" t="s">
        <v>53</v>
      </c>
      <c r="D82" s="1058" t="s">
        <v>1023</v>
      </c>
      <c r="E82" s="1058">
        <v>74</v>
      </c>
      <c r="F82" s="1058" t="s">
        <v>274</v>
      </c>
      <c r="G82" s="1061">
        <f>IF(ISNUMBER('Availabilities EU Austria'!$AE$74),'Availabilities EU Austria'!$AE$74,IF(ISNUMBER('Availabilities EU Austria'!$AE$69),'Availabilities EU Austria'!$AE$69,1))</f>
        <v>0.14285714285714285</v>
      </c>
      <c r="H82" s="1060">
        <f>IF(ISNUMBER('Availabilities EU Austria'!$N$74),'Availabilities EU Austria'!$N$74,0)*$G82</f>
        <v>0.73186950033079479</v>
      </c>
      <c r="I82" s="1060">
        <f>IF(ISNUMBER('Availabilities EU Austria'!$Q$74),'Availabilities EU Austria'!$Q$74,0)*$G82</f>
        <v>1.2483093909272507</v>
      </c>
      <c r="J82" s="1060">
        <f>IF(ISNUMBER('Availabilities EU Austria'!$X$74),'Availabilities EU Austria'!$X$74,0)*$G82</f>
        <v>10.204344080083652</v>
      </c>
      <c r="K82" s="1060">
        <f t="shared" si="6"/>
        <v>12.184522971341698</v>
      </c>
      <c r="L82" s="1061">
        <f t="shared" si="7"/>
        <v>7.1190486030368996E-2</v>
      </c>
      <c r="M82" s="1059">
        <f>Tabelle1!$I$19</f>
        <v>24.4</v>
      </c>
      <c r="N82" s="1066" t="s">
        <v>1629</v>
      </c>
    </row>
    <row r="83" spans="1:14">
      <c r="A83" s="1058" t="s">
        <v>1128</v>
      </c>
      <c r="B83" s="1058" t="s">
        <v>17</v>
      </c>
      <c r="C83" s="1058" t="s">
        <v>53</v>
      </c>
      <c r="D83" s="1058" t="s">
        <v>1023</v>
      </c>
      <c r="E83" s="1058">
        <v>75</v>
      </c>
      <c r="F83" s="1058" t="s">
        <v>276</v>
      </c>
      <c r="G83" s="1061">
        <f>IF(ISNUMBER('Availabilities EU Austria'!$AE$75),'Availabilities EU Austria'!$AE$75,IF(ISNUMBER('Availabilities EU Austria'!$AE$69),'Availabilities EU Austria'!$AE$69,1))</f>
        <v>0.14285714285714285</v>
      </c>
      <c r="H83" s="1060">
        <f>IF(ISNUMBER('Availabilities EU Austria'!$N$75),'Availabilities EU Austria'!$N$75,0)*$G83</f>
        <v>0.33319692156164937</v>
      </c>
      <c r="I83" s="1060">
        <f>IF(ISNUMBER('Availabilities EU Austria'!$Q$75),'Availabilities EU Austria'!$Q$75,0)*$G83</f>
        <v>0.87705688307233309</v>
      </c>
      <c r="J83" s="1060">
        <f>IF(ISNUMBER('Availabilities EU Austria'!$X$75),'Availabilities EU Austria'!$X$75,0)*$G83</f>
        <v>2.0142016679260926</v>
      </c>
      <c r="K83" s="1060">
        <f t="shared" si="6"/>
        <v>3.2244554725600749</v>
      </c>
      <c r="L83" s="1061">
        <f t="shared" si="7"/>
        <v>1.883951902054299E-2</v>
      </c>
      <c r="M83" s="1059">
        <f>Tabelle1!$I$19</f>
        <v>24.4</v>
      </c>
      <c r="N83" s="1066" t="s">
        <v>1629</v>
      </c>
    </row>
    <row r="84" spans="1:14">
      <c r="A84" s="1058" t="s">
        <v>1128</v>
      </c>
      <c r="B84" s="1058" t="s">
        <v>17</v>
      </c>
      <c r="C84" s="1058" t="s">
        <v>53</v>
      </c>
      <c r="D84" s="1058" t="s">
        <v>1023</v>
      </c>
      <c r="E84" s="1058">
        <v>76</v>
      </c>
      <c r="F84" s="1058" t="s">
        <v>293</v>
      </c>
      <c r="G84" s="1061">
        <f>IF(ISNUMBER('Availabilities EU Austria'!$AE$76),'Availabilities EU Austria'!$AE$76,IF(ISNUMBER('Availabilities EU Austria'!$AE$69),'Availabilities EU Austria'!$AE$69,1))</f>
        <v>0.2</v>
      </c>
      <c r="H84" s="1060">
        <f>IF(ISNUMBER('Availabilities EU Austria'!$N$76),'Availabilities EU Austria'!$N$76,0)*$G84</f>
        <v>7.4833398856338214</v>
      </c>
      <c r="I84" s="1060">
        <f>IF(ISNUMBER('Availabilities EU Austria'!$Q$76),'Availabilities EU Austria'!$Q$76,0)*$G84</f>
        <v>7.4833398856338214</v>
      </c>
      <c r="J84" s="1060">
        <f>IF(ISNUMBER('Availabilities EU Austria'!$X$76),'Availabilities EU Austria'!$X$76,0)*$G84</f>
        <v>7.6263561572719825</v>
      </c>
      <c r="K84" s="1060">
        <f t="shared" si="6"/>
        <v>22.593035928539624</v>
      </c>
      <c r="L84" s="1061">
        <f t="shared" si="7"/>
        <v>0.13200428218957308</v>
      </c>
      <c r="M84" s="1059">
        <f>Tabelle1!$I$19</f>
        <v>24.4</v>
      </c>
      <c r="N84" s="1066" t="s">
        <v>1629</v>
      </c>
    </row>
    <row r="85" spans="1:14">
      <c r="A85" s="1058" t="s">
        <v>1128</v>
      </c>
      <c r="B85" s="1058" t="s">
        <v>17</v>
      </c>
      <c r="C85" s="1058" t="s">
        <v>53</v>
      </c>
      <c r="D85" s="1058" t="s">
        <v>1023</v>
      </c>
      <c r="E85" s="1058">
        <v>77</v>
      </c>
      <c r="F85" s="1058" t="s">
        <v>270</v>
      </c>
      <c r="G85" s="1061">
        <f>IF(ISNUMBER('Availabilities EU Austria'!$AE$77),'Availabilities EU Austria'!$AE$77,IF(ISNUMBER('Availabilities EU Austria'!$AE$69),'Availabilities EU Austria'!$AE$69,1))</f>
        <v>0.16666666666666666</v>
      </c>
      <c r="H85" s="1060">
        <f>IF(ISNUMBER('Availabilities EU Austria'!$N$77),'Availabilities EU Austria'!$N$77,0)*$G85</f>
        <v>6.546970546508903</v>
      </c>
      <c r="I85" s="1060">
        <f>IF(ISNUMBER('Availabilities EU Austria'!$Q$77),'Availabilities EU Austria'!$Q$77,0)*$G85</f>
        <v>9.1728821445465929</v>
      </c>
      <c r="J85" s="1060">
        <f>IF(ISNUMBER('Availabilities EU Austria'!$X$77),'Availabilities EU Austria'!$X$77,0)*$G85</f>
        <v>9.7682905342676349</v>
      </c>
      <c r="K85" s="1060">
        <f t="shared" si="6"/>
        <v>25.488143225323132</v>
      </c>
      <c r="L85" s="1061">
        <f t="shared" si="7"/>
        <v>0.1489195193353233</v>
      </c>
      <c r="M85" s="1059">
        <f>Tabelle1!$I$18</f>
        <v>21</v>
      </c>
      <c r="N85" s="1066" t="s">
        <v>1628</v>
      </c>
    </row>
    <row r="86" spans="1:14">
      <c r="A86" s="1058" t="s">
        <v>1128</v>
      </c>
      <c r="B86" s="1058" t="s">
        <v>17</v>
      </c>
      <c r="C86" s="1058" t="s">
        <v>53</v>
      </c>
      <c r="D86" s="1058" t="s">
        <v>1023</v>
      </c>
      <c r="E86" s="1058">
        <v>78</v>
      </c>
      <c r="F86" s="1058" t="s">
        <v>295</v>
      </c>
      <c r="G86" s="1061">
        <f>IF(ISNUMBER('Availabilities EU Austria'!$AE$78),'Availabilities EU Austria'!$AE$78,IF(ISNUMBER('Availabilities EU Austria'!$AE$69),'Availabilities EU Austria'!$AE$69,1))</f>
        <v>0.2</v>
      </c>
      <c r="H86" s="1060">
        <f>IF(ISNUMBER('Availabilities EU Austria'!$N$78),'Availabilities EU Austria'!$N$78,0)*$G86</f>
        <v>2.3533671344404845</v>
      </c>
      <c r="I86" s="1060">
        <f>IF(ISNUMBER('Availabilities EU Austria'!$Q$78),'Availabilities EU Austria'!$Q$78,0)*$G86</f>
        <v>3.1378228459206459</v>
      </c>
      <c r="J86" s="1060">
        <f>IF(ISNUMBER('Availabilities EU Austria'!$X$78),'Availabilities EU Austria'!$X$78,0)*$G86</f>
        <v>3.8061026838533483</v>
      </c>
      <c r="K86" s="1060">
        <f t="shared" si="6"/>
        <v>9.2972926642144778</v>
      </c>
      <c r="L86" s="1061">
        <f t="shared" si="7"/>
        <v>5.4321271755059138E-2</v>
      </c>
      <c r="M86" s="1059">
        <f>Tabelle1!$I$18</f>
        <v>21</v>
      </c>
      <c r="N86" s="1066" t="s">
        <v>1628</v>
      </c>
    </row>
    <row r="87" spans="1:14">
      <c r="A87" s="1058" t="s">
        <v>1128</v>
      </c>
      <c r="B87" s="1058" t="s">
        <v>17</v>
      </c>
      <c r="C87" s="1058" t="s">
        <v>53</v>
      </c>
      <c r="D87" s="1058" t="s">
        <v>1023</v>
      </c>
      <c r="E87" s="1058">
        <v>79</v>
      </c>
      <c r="F87" s="1058" t="s">
        <v>301</v>
      </c>
      <c r="G87" s="1061">
        <f>IF(ISNUMBER('Availabilities EU Austria'!$AE$79),'Availabilities EU Austria'!$AE$79,IF(ISNUMBER('Availabilities EU Austria'!$AE$69),'Availabilities EU Austria'!$AE$69,1))</f>
        <v>0.25</v>
      </c>
      <c r="H87" s="1060">
        <f>IF(ISNUMBER('Availabilities EU Austria'!$N$79),'Availabilities EU Austria'!$N$79,0)*$G87</f>
        <v>1.2970107148692049</v>
      </c>
      <c r="I87" s="1060">
        <f>IF(ISNUMBER('Availabilities EU Austria'!$Q$79),'Availabilities EU Austria'!$Q$79,0)*$G87</f>
        <v>1.852173160313531</v>
      </c>
      <c r="J87" s="1060">
        <f>IF(ISNUMBER('Availabilities EU Austria'!$X$79),'Availabilities EU Austria'!$X$79,0)*$G87</f>
        <v>2.2353080216886831</v>
      </c>
      <c r="K87" s="1060">
        <f t="shared" si="6"/>
        <v>5.3844918968714186</v>
      </c>
      <c r="L87" s="1061">
        <f t="shared" si="7"/>
        <v>3.145995916840149E-2</v>
      </c>
      <c r="M87" s="1059">
        <f>Tabelle1!$I$18</f>
        <v>21</v>
      </c>
      <c r="N87" s="1066" t="s">
        <v>1628</v>
      </c>
    </row>
    <row r="88" spans="1:14">
      <c r="A88" s="1058" t="s">
        <v>1128</v>
      </c>
      <c r="B88" s="1058" t="s">
        <v>19</v>
      </c>
      <c r="C88" s="1058" t="s">
        <v>1341</v>
      </c>
      <c r="D88" s="1058" t="s">
        <v>964</v>
      </c>
      <c r="E88" s="1058">
        <v>81</v>
      </c>
      <c r="F88" s="1058" t="s">
        <v>299</v>
      </c>
      <c r="G88" s="1061">
        <f>IF(ISNUMBER('Availabilities EU Austria'!$AE$81),'Availabilities EU Austria'!$AE$81,IF(ISNUMBER('Availabilities EU Austria'!$AE$80),'Availabilities EU Austria'!$AE$80,1))</f>
        <v>0.5</v>
      </c>
      <c r="H88" s="1060">
        <f>IF(ISNUMBER('Availabilities EU Austria'!$N$81),'Availabilities EU Austria'!$N$81,0)*$G88</f>
        <v>16.34</v>
      </c>
      <c r="I88" s="1060">
        <f>IF(ISNUMBER('Availabilities EU Austria'!$Q$81),'Availabilities EU Austria'!$Q$81,0)*$G88</f>
        <v>16.34</v>
      </c>
      <c r="J88" s="1060">
        <f>IF(ISNUMBER('Availabilities EU Austria'!$X$81),'Availabilities EU Austria'!$X$81,0)*$G88</f>
        <v>32.195</v>
      </c>
      <c r="K88" s="1060">
        <f t="shared" si="6"/>
        <v>64.875</v>
      </c>
      <c r="L88" s="1061">
        <f t="shared" si="7"/>
        <v>1</v>
      </c>
      <c r="M88" s="1059">
        <f>Tabelle1!$I$20</f>
        <v>2.4</v>
      </c>
      <c r="N88" s="1066" t="s">
        <v>1626</v>
      </c>
    </row>
    <row r="89" spans="1:14" ht="29">
      <c r="A89" s="1058" t="s">
        <v>1128</v>
      </c>
      <c r="B89" s="1058" t="s">
        <v>22</v>
      </c>
      <c r="C89" s="1058" t="s">
        <v>120</v>
      </c>
      <c r="D89" s="1058" t="s">
        <v>640</v>
      </c>
      <c r="E89" s="1058">
        <v>94</v>
      </c>
      <c r="F89" s="1058" t="s">
        <v>272</v>
      </c>
      <c r="G89" s="1061">
        <f>IF(ISNUMBER('Availabilities EU Austria'!$AE$94),'Availabilities EU Austria'!$AE$94,IF(ISNUMBER('Availabilities EU Austria'!$AE$93),'Availabilities EU Austria'!$AE$93,1))</f>
        <v>7.1428571428571425E-2</v>
      </c>
      <c r="H89" s="1060">
        <f>IF(ISNUMBER('Availabilities EU Austria'!$N$94),'Availabilities EU Austria'!$N$94,0)*$G89</f>
        <v>9.3494739814584946</v>
      </c>
      <c r="I89" s="1060">
        <f>IF(ISNUMBER('Availabilities EU Austria'!$Q$94),'Availabilities EU Austria'!$Q$94,0)*$G89</f>
        <v>14.814960053545938</v>
      </c>
      <c r="J89" s="1060">
        <f>IF(ISNUMBER('Availabilities EU Austria'!$X$94),'Availabilities EU Austria'!$X$94,0)*$G89</f>
        <v>14.814960053545938</v>
      </c>
      <c r="K89" s="1060">
        <f t="shared" si="6"/>
        <v>38.979394088550372</v>
      </c>
      <c r="L89" s="1061">
        <f t="shared" si="7"/>
        <v>0.45548964319078772</v>
      </c>
      <c r="M89" s="1059">
        <f>Tabelle1!$I$21</f>
        <v>7.7</v>
      </c>
      <c r="N89" s="1066" t="s">
        <v>1641</v>
      </c>
    </row>
    <row r="90" spans="1:14" ht="29">
      <c r="A90" s="1058" t="s">
        <v>1128</v>
      </c>
      <c r="B90" s="1058" t="s">
        <v>22</v>
      </c>
      <c r="C90" s="1058" t="s">
        <v>120</v>
      </c>
      <c r="D90" s="1058" t="s">
        <v>640</v>
      </c>
      <c r="E90" s="1058">
        <v>95</v>
      </c>
      <c r="F90" s="1058" t="s">
        <v>1065</v>
      </c>
      <c r="G90" s="1061">
        <f>IF(ISNUMBER('Availabilities EU Austria'!$AE$95),'Availabilities EU Austria'!$AE$95,IF(ISNUMBER('Availabilities EU Austria'!$AE$93),'Availabilities EU Austria'!$AE$93,1))</f>
        <v>8.3333333333333329E-2</v>
      </c>
      <c r="H90" s="1060">
        <f>IF(ISNUMBER('Availabilities EU Austria'!$N$95),'Availabilities EU Austria'!$N$95,0)*$G90</f>
        <v>0.70794037715936198</v>
      </c>
      <c r="I90" s="1060">
        <f>IF(ISNUMBER('Availabilities EU Austria'!$Q$95),'Availabilities EU Austria'!$Q$95,0)*$G90</f>
        <v>1.0214771090329773</v>
      </c>
      <c r="J90" s="1060">
        <f>IF(ISNUMBER('Availabilities EU Austria'!$X$95),'Availabilities EU Austria'!$X$95,0)*$G90</f>
        <v>0.99488659341113683</v>
      </c>
      <c r="K90" s="1060">
        <f t="shared" si="6"/>
        <v>2.7243040796034759</v>
      </c>
      <c r="L90" s="1061">
        <f t="shared" si="7"/>
        <v>3.1834571115775465E-2</v>
      </c>
      <c r="M90" s="1059">
        <f>Tabelle1!$I$21</f>
        <v>7.7</v>
      </c>
      <c r="N90" s="1066" t="s">
        <v>1641</v>
      </c>
    </row>
    <row r="91" spans="1:14" ht="29">
      <c r="A91" s="1058" t="s">
        <v>1128</v>
      </c>
      <c r="B91" s="1058" t="s">
        <v>22</v>
      </c>
      <c r="C91" s="1058" t="s">
        <v>120</v>
      </c>
      <c r="D91" s="1058" t="s">
        <v>640</v>
      </c>
      <c r="E91" s="1058">
        <v>96</v>
      </c>
      <c r="F91" s="1058" t="s">
        <v>285</v>
      </c>
      <c r="G91" s="1061">
        <f>IF(ISNUMBER('Availabilities EU Austria'!$AE$96),'Availabilities EU Austria'!$AE$96,IF(ISNUMBER('Availabilities EU Austria'!$AE$93),'Availabilities EU Austria'!$AE$93,1))</f>
        <v>0.125</v>
      </c>
      <c r="H91" s="1060">
        <f>IF(ISNUMBER('Availabilities EU Austria'!$N$96),'Availabilities EU Austria'!$N$96,0)*$G91</f>
        <v>1.1021452008814747</v>
      </c>
      <c r="I91" s="1060">
        <f>IF(ISNUMBER('Availabilities EU Austria'!$Q$96),'Availabilities EU Austria'!$Q$96,0)*$G91</f>
        <v>1.2318093421616485</v>
      </c>
      <c r="J91" s="1060">
        <f>IF(ISNUMBER('Availabilities EU Austria'!$X$96),'Availabilities EU Austria'!$X$96,0)*$G91</f>
        <v>1.1450912850727863</v>
      </c>
      <c r="K91" s="1060">
        <f t="shared" si="6"/>
        <v>3.4790458281159093</v>
      </c>
      <c r="L91" s="1061">
        <f t="shared" si="7"/>
        <v>4.0654027081410887E-2</v>
      </c>
      <c r="M91" s="1059">
        <f>Tabelle1!$I$21</f>
        <v>7.7</v>
      </c>
      <c r="N91" s="1066" t="s">
        <v>1641</v>
      </c>
    </row>
    <row r="92" spans="1:14" ht="29">
      <c r="A92" s="1058" t="s">
        <v>1128</v>
      </c>
      <c r="B92" s="1058" t="s">
        <v>22</v>
      </c>
      <c r="C92" s="1058" t="s">
        <v>120</v>
      </c>
      <c r="D92" s="1058" t="s">
        <v>640</v>
      </c>
      <c r="E92" s="1058">
        <v>97</v>
      </c>
      <c r="F92" s="1058" t="s">
        <v>292</v>
      </c>
      <c r="G92" s="1061">
        <f>IF(ISNUMBER('Availabilities EU Austria'!$AE$97),'Availabilities EU Austria'!$AE$97,IF(ISNUMBER('Availabilities EU Austria'!$AE$93),'Availabilities EU Austria'!$AE$93,1))</f>
        <v>0.1</v>
      </c>
      <c r="H92" s="1060">
        <f>IF(ISNUMBER('Availabilities EU Austria'!$N$97),'Availabilities EU Austria'!$N$97,0)*$G92</f>
        <v>0.34535388863652339</v>
      </c>
      <c r="I92" s="1060">
        <f>IF(ISNUMBER('Availabilities EU Austria'!$Q$97),'Availabilities EU Austria'!$Q$97,0)*$G92</f>
        <v>0.51803083295478503</v>
      </c>
      <c r="J92" s="1060">
        <f>IF(ISNUMBER('Availabilities EU Austria'!$X$97),'Availabilities EU Austria'!$X$97,0)*$G92</f>
        <v>0.44480556436504082</v>
      </c>
      <c r="K92" s="1060">
        <f t="shared" si="6"/>
        <v>1.3081902859563492</v>
      </c>
      <c r="L92" s="1061">
        <f t="shared" si="7"/>
        <v>1.5286721112756838E-2</v>
      </c>
      <c r="M92" s="1059">
        <f>Tabelle1!$I$21</f>
        <v>7.7</v>
      </c>
      <c r="N92" s="1066" t="s">
        <v>1641</v>
      </c>
    </row>
    <row r="93" spans="1:14" ht="29">
      <c r="A93" s="1058" t="s">
        <v>1128</v>
      </c>
      <c r="B93" s="1058" t="s">
        <v>22</v>
      </c>
      <c r="C93" s="1058" t="s">
        <v>120</v>
      </c>
      <c r="D93" s="1058" t="s">
        <v>640</v>
      </c>
      <c r="E93" s="1058">
        <v>98</v>
      </c>
      <c r="F93" s="1058" t="s">
        <v>274</v>
      </c>
      <c r="G93" s="1061">
        <f>IF(ISNUMBER('Availabilities EU Austria'!$AE$98),'Availabilities EU Austria'!$AE$98,IF(ISNUMBER('Availabilities EU Austria'!$AE$93),'Availabilities EU Austria'!$AE$93,1))</f>
        <v>7.1428571428571425E-2</v>
      </c>
      <c r="H93" s="1060">
        <f>IF(ISNUMBER('Availabilities EU Austria'!$N$98),'Availabilities EU Austria'!$N$98,0)*$G93</f>
        <v>0.36593475016539739</v>
      </c>
      <c r="I93" s="1060">
        <f>IF(ISNUMBER('Availabilities EU Austria'!$Q$98),'Availabilities EU Austria'!$Q$98,0)*$G93</f>
        <v>0.62415469546362534</v>
      </c>
      <c r="J93" s="1060">
        <f>IF(ISNUMBER('Availabilities EU Austria'!$X$98),'Availabilities EU Austria'!$X$98,0)*$G93</f>
        <v>5.1021720400418262</v>
      </c>
      <c r="K93" s="1060">
        <f t="shared" si="6"/>
        <v>6.092261485670849</v>
      </c>
      <c r="L93" s="1061">
        <f t="shared" si="7"/>
        <v>7.1190486030368996E-2</v>
      </c>
      <c r="M93" s="1059">
        <f>Tabelle1!$I$22</f>
        <v>12.2</v>
      </c>
      <c r="N93" s="1066" t="s">
        <v>1641</v>
      </c>
    </row>
    <row r="94" spans="1:14" ht="29">
      <c r="A94" s="1058" t="s">
        <v>1128</v>
      </c>
      <c r="B94" s="1058" t="s">
        <v>22</v>
      </c>
      <c r="C94" s="1058" t="s">
        <v>120</v>
      </c>
      <c r="D94" s="1058" t="s">
        <v>640</v>
      </c>
      <c r="E94" s="1058">
        <v>99</v>
      </c>
      <c r="F94" s="1058" t="s">
        <v>276</v>
      </c>
      <c r="G94" s="1061">
        <f>IF(ISNUMBER('Availabilities EU Austria'!$AE$99),'Availabilities EU Austria'!$AE$99,IF(ISNUMBER('Availabilities EU Austria'!$AE$93),'Availabilities EU Austria'!$AE$93,1))</f>
        <v>7.1428571428571425E-2</v>
      </c>
      <c r="H94" s="1060">
        <f>IF(ISNUMBER('Availabilities EU Austria'!$N$99),'Availabilities EU Austria'!$N$99,0)*$G94</f>
        <v>0.16659846078082469</v>
      </c>
      <c r="I94" s="1060">
        <f>IF(ISNUMBER('Availabilities EU Austria'!$Q$99),'Availabilities EU Austria'!$Q$99,0)*$G94</f>
        <v>0.43852844153616655</v>
      </c>
      <c r="J94" s="1060">
        <f>IF(ISNUMBER('Availabilities EU Austria'!$X$99),'Availabilities EU Austria'!$X$99,0)*$G94</f>
        <v>1.0071008339630463</v>
      </c>
      <c r="K94" s="1060">
        <f t="shared" si="6"/>
        <v>1.6122277362800375</v>
      </c>
      <c r="L94" s="1061">
        <f t="shared" si="7"/>
        <v>1.883951902054299E-2</v>
      </c>
      <c r="M94" s="1059">
        <f>Tabelle1!$I$22</f>
        <v>12.2</v>
      </c>
      <c r="N94" s="1066" t="s">
        <v>1641</v>
      </c>
    </row>
    <row r="95" spans="1:14" ht="29">
      <c r="A95" s="1058" t="s">
        <v>1128</v>
      </c>
      <c r="B95" s="1058" t="s">
        <v>22</v>
      </c>
      <c r="C95" s="1058" t="s">
        <v>120</v>
      </c>
      <c r="D95" s="1058" t="s">
        <v>640</v>
      </c>
      <c r="E95" s="1058">
        <v>100</v>
      </c>
      <c r="F95" s="1058" t="s">
        <v>293</v>
      </c>
      <c r="G95" s="1061">
        <f>IF(ISNUMBER('Availabilities EU Austria'!$AE$100),'Availabilities EU Austria'!$AE$100,IF(ISNUMBER('Availabilities EU Austria'!$AE$93),'Availabilities EU Austria'!$AE$93,1))</f>
        <v>0.1</v>
      </c>
      <c r="H95" s="1060">
        <f>IF(ISNUMBER('Availabilities EU Austria'!$N$100),'Availabilities EU Austria'!$N$100,0)*$G95</f>
        <v>3.7416699428169107</v>
      </c>
      <c r="I95" s="1060">
        <f>IF(ISNUMBER('Availabilities EU Austria'!$Q$100),'Availabilities EU Austria'!$Q$100,0)*$G95</f>
        <v>3.7416699428169107</v>
      </c>
      <c r="J95" s="1060">
        <f>IF(ISNUMBER('Availabilities EU Austria'!$X$100),'Availabilities EU Austria'!$X$100,0)*$G95</f>
        <v>3.8131780786359912</v>
      </c>
      <c r="K95" s="1060">
        <f t="shared" si="6"/>
        <v>11.296517964269812</v>
      </c>
      <c r="L95" s="1061">
        <f t="shared" si="7"/>
        <v>0.13200428218957308</v>
      </c>
      <c r="M95" s="1059">
        <f>Tabelle1!$I$22</f>
        <v>12.2</v>
      </c>
      <c r="N95" s="1066" t="s">
        <v>1641</v>
      </c>
    </row>
    <row r="96" spans="1:14" ht="29">
      <c r="A96" s="1058" t="s">
        <v>1128</v>
      </c>
      <c r="B96" s="1058" t="s">
        <v>22</v>
      </c>
      <c r="C96" s="1058" t="s">
        <v>120</v>
      </c>
      <c r="D96" s="1058" t="s">
        <v>640</v>
      </c>
      <c r="E96" s="1058">
        <v>101</v>
      </c>
      <c r="F96" s="1058" t="s">
        <v>270</v>
      </c>
      <c r="G96" s="1061">
        <f>IF(ISNUMBER('Availabilities EU Austria'!$AE$101),'Availabilities EU Austria'!$AE$101,IF(ISNUMBER('Availabilities EU Austria'!$AE$93),'Availabilities EU Austria'!$AE$93,1))</f>
        <v>8.3333333333333329E-2</v>
      </c>
      <c r="H96" s="1060">
        <f>IF(ISNUMBER('Availabilities EU Austria'!$N$101),'Availabilities EU Austria'!$N$101,0)*$G96</f>
        <v>3.2734852732544515</v>
      </c>
      <c r="I96" s="1060">
        <f>IF(ISNUMBER('Availabilities EU Austria'!$Q$101),'Availabilities EU Austria'!$Q$101,0)*$G96</f>
        <v>4.5864410722732964</v>
      </c>
      <c r="J96" s="1060">
        <f>IF(ISNUMBER('Availabilities EU Austria'!$X$101),'Availabilities EU Austria'!$X$101,0)*$G96</f>
        <v>4.8841452671338175</v>
      </c>
      <c r="K96" s="1060">
        <f t="shared" si="6"/>
        <v>12.744071612661566</v>
      </c>
      <c r="L96" s="1061">
        <f t="shared" si="7"/>
        <v>0.1489195193353233</v>
      </c>
      <c r="M96" s="1059">
        <f>Tabelle1!$I$21</f>
        <v>7.7</v>
      </c>
      <c r="N96" s="1066" t="s">
        <v>1641</v>
      </c>
    </row>
    <row r="97" spans="1:14" ht="29">
      <c r="A97" s="1058" t="s">
        <v>1128</v>
      </c>
      <c r="B97" s="1058" t="s">
        <v>22</v>
      </c>
      <c r="C97" s="1058" t="s">
        <v>120</v>
      </c>
      <c r="D97" s="1058" t="s">
        <v>640</v>
      </c>
      <c r="E97" s="1058">
        <v>102</v>
      </c>
      <c r="F97" s="1058" t="s">
        <v>295</v>
      </c>
      <c r="G97" s="1061">
        <f>IF(ISNUMBER('Availabilities EU Austria'!$AE$102),'Availabilities EU Austria'!$AE$102,IF(ISNUMBER('Availabilities EU Austria'!$AE$93),'Availabilities EU Austria'!$AE$93,1))</f>
        <v>0.1</v>
      </c>
      <c r="H97" s="1060">
        <f>IF(ISNUMBER('Availabilities EU Austria'!$N$102),'Availabilities EU Austria'!$N$102,0)*$G97</f>
        <v>1.1766835672202423</v>
      </c>
      <c r="I97" s="1060">
        <f>IF(ISNUMBER('Availabilities EU Austria'!$Q$102),'Availabilities EU Austria'!$Q$102,0)*$G97</f>
        <v>1.5689114229603229</v>
      </c>
      <c r="J97" s="1060">
        <f>IF(ISNUMBER('Availabilities EU Austria'!$X$102),'Availabilities EU Austria'!$X$102,0)*$G97</f>
        <v>1.9030513419266741</v>
      </c>
      <c r="K97" s="1060">
        <f t="shared" si="6"/>
        <v>4.6486463321072389</v>
      </c>
      <c r="L97" s="1061">
        <f t="shared" si="7"/>
        <v>5.4321271755059138E-2</v>
      </c>
      <c r="M97" s="1059">
        <f>Tabelle1!$I$21</f>
        <v>7.7</v>
      </c>
      <c r="N97" s="1066" t="s">
        <v>1641</v>
      </c>
    </row>
    <row r="98" spans="1:14" ht="29">
      <c r="A98" s="1058" t="s">
        <v>1128</v>
      </c>
      <c r="B98" s="1058" t="s">
        <v>22</v>
      </c>
      <c r="C98" s="1058" t="s">
        <v>120</v>
      </c>
      <c r="D98" s="1058" t="s">
        <v>640</v>
      </c>
      <c r="E98" s="1058">
        <v>103</v>
      </c>
      <c r="F98" s="1058" t="s">
        <v>301</v>
      </c>
      <c r="G98" s="1061">
        <f>IF(ISNUMBER('Availabilities EU Austria'!$AE$103),'Availabilities EU Austria'!$AE$103,IF(ISNUMBER('Availabilities EU Austria'!$AE$93),'Availabilities EU Austria'!$AE$93,1))</f>
        <v>0.125</v>
      </c>
      <c r="H98" s="1060">
        <f>IF(ISNUMBER('Availabilities EU Austria'!$N$103),'Availabilities EU Austria'!$N$103,0)*$G98</f>
        <v>0.64850535743460247</v>
      </c>
      <c r="I98" s="1060">
        <f>IF(ISNUMBER('Availabilities EU Austria'!$Q$103),'Availabilities EU Austria'!$Q$103,0)*$G98</f>
        <v>0.92608658015676548</v>
      </c>
      <c r="J98" s="1060">
        <f>IF(ISNUMBER('Availabilities EU Austria'!$X$103),'Availabilities EU Austria'!$X$103,0)*$G98</f>
        <v>1.1176540108443416</v>
      </c>
      <c r="K98" s="1060">
        <f t="shared" ref="K98:K129" si="8">SUM(H98:J98)</f>
        <v>2.6922459484357093</v>
      </c>
      <c r="L98" s="1061">
        <f t="shared" ref="L98:L129" si="9">IF(SUMIFS($K$34:$K$135,$A$34:$A$135,$A98,$B$34:$B$135,$B98,$C$34:$C$135,$C98,$D$34:$D$135,$D98)=0,1/COUNTIFS($A$34:$A$135,$A98,$B$34:$B$135,$B98,$C$34:$C$135,$C98,$D$34:$D$135,$D98),K98/SUMIFS($K$34:$K$135,$A$34:$A$135,$A98,$B$34:$B$135,$B98,$C$34:$C$135,$C98,$D$34:$D$135,$D98))</f>
        <v>3.145995916840149E-2</v>
      </c>
      <c r="M98" s="1059">
        <f>Tabelle1!$I$21</f>
        <v>7.7</v>
      </c>
      <c r="N98" s="1066" t="s">
        <v>1641</v>
      </c>
    </row>
    <row r="99" spans="1:14" ht="29">
      <c r="A99" s="1058" t="s">
        <v>1128</v>
      </c>
      <c r="B99" s="1058" t="s">
        <v>22</v>
      </c>
      <c r="C99" s="1058" t="s">
        <v>57</v>
      </c>
      <c r="D99" s="1058" t="s">
        <v>641</v>
      </c>
      <c r="E99" s="1058">
        <v>105</v>
      </c>
      <c r="F99" s="1058" t="s">
        <v>272</v>
      </c>
      <c r="G99" s="1061">
        <f>IF(ISNUMBER('Availabilities EU Austria'!$AE$105),'Availabilities EU Austria'!$AE$105,IF(ISNUMBER('Availabilities EU Austria'!$AE$104),'Availabilities EU Austria'!$AE$104,1))</f>
        <v>7.1428571428571425E-2</v>
      </c>
      <c r="H99" s="1060">
        <f>IF(ISNUMBER('Availabilities EU Austria'!$N$105),'Availabilities EU Austria'!$N$105,0)*$G99</f>
        <v>9.3494739814584946</v>
      </c>
      <c r="I99" s="1060">
        <f>IF(ISNUMBER('Availabilities EU Austria'!$Q$105),'Availabilities EU Austria'!$Q$105,0)*$G99</f>
        <v>14.814960053545938</v>
      </c>
      <c r="J99" s="1060">
        <f>IF(ISNUMBER('Availabilities EU Austria'!$X$105),'Availabilities EU Austria'!$X$105,0)*$G99</f>
        <v>14.814960053545938</v>
      </c>
      <c r="K99" s="1060">
        <f t="shared" si="8"/>
        <v>38.979394088550372</v>
      </c>
      <c r="L99" s="1061">
        <f t="shared" si="9"/>
        <v>0.45548964319078772</v>
      </c>
      <c r="M99" s="1059">
        <f>Tabelle1!$I$23</f>
        <v>7.7</v>
      </c>
      <c r="N99" s="1066" t="s">
        <v>1642</v>
      </c>
    </row>
    <row r="100" spans="1:14" ht="29">
      <c r="A100" s="1058" t="s">
        <v>1128</v>
      </c>
      <c r="B100" s="1058" t="s">
        <v>22</v>
      </c>
      <c r="C100" s="1058" t="s">
        <v>57</v>
      </c>
      <c r="D100" s="1058" t="s">
        <v>641</v>
      </c>
      <c r="E100" s="1058">
        <v>106</v>
      </c>
      <c r="F100" s="1058" t="s">
        <v>1065</v>
      </c>
      <c r="G100" s="1061">
        <f>IF(ISNUMBER('Availabilities EU Austria'!$AE$106),'Availabilities EU Austria'!$AE$106,IF(ISNUMBER('Availabilities EU Austria'!$AE$104),'Availabilities EU Austria'!$AE$104,1))</f>
        <v>8.3333333333333329E-2</v>
      </c>
      <c r="H100" s="1060">
        <f>IF(ISNUMBER('Availabilities EU Austria'!$N$106),'Availabilities EU Austria'!$N$106,0)*$G100</f>
        <v>0.70794037715936198</v>
      </c>
      <c r="I100" s="1060">
        <f>IF(ISNUMBER('Availabilities EU Austria'!$Q$106),'Availabilities EU Austria'!$Q$106,0)*$G100</f>
        <v>1.0214771090329773</v>
      </c>
      <c r="J100" s="1060">
        <f>IF(ISNUMBER('Availabilities EU Austria'!$X$106),'Availabilities EU Austria'!$X$106,0)*$G100</f>
        <v>0.99488659341113683</v>
      </c>
      <c r="K100" s="1060">
        <f t="shared" si="8"/>
        <v>2.7243040796034759</v>
      </c>
      <c r="L100" s="1061">
        <f t="shared" si="9"/>
        <v>3.1834571115775465E-2</v>
      </c>
      <c r="M100" s="1059">
        <f>Tabelle1!$I$23</f>
        <v>7.7</v>
      </c>
      <c r="N100" s="1066" t="s">
        <v>1642</v>
      </c>
    </row>
    <row r="101" spans="1:14" ht="29">
      <c r="A101" s="1058" t="s">
        <v>1128</v>
      </c>
      <c r="B101" s="1058" t="s">
        <v>22</v>
      </c>
      <c r="C101" s="1058" t="s">
        <v>57</v>
      </c>
      <c r="D101" s="1058" t="s">
        <v>641</v>
      </c>
      <c r="E101" s="1058">
        <v>107</v>
      </c>
      <c r="F101" s="1058" t="s">
        <v>285</v>
      </c>
      <c r="G101" s="1061">
        <f>IF(ISNUMBER('Availabilities EU Austria'!$AE$107),'Availabilities EU Austria'!$AE$107,IF(ISNUMBER('Availabilities EU Austria'!$AE$104),'Availabilities EU Austria'!$AE$104,1))</f>
        <v>0.125</v>
      </c>
      <c r="H101" s="1060">
        <f>IF(ISNUMBER('Availabilities EU Austria'!$N$107),'Availabilities EU Austria'!$N$107,0)*$G101</f>
        <v>1.1021452008814747</v>
      </c>
      <c r="I101" s="1060">
        <f>IF(ISNUMBER('Availabilities EU Austria'!$Q$107),'Availabilities EU Austria'!$Q$107,0)*$G101</f>
        <v>1.2318093421616485</v>
      </c>
      <c r="J101" s="1060">
        <f>IF(ISNUMBER('Availabilities EU Austria'!$X$107),'Availabilities EU Austria'!$X$107,0)*$G101</f>
        <v>1.1450912850727863</v>
      </c>
      <c r="K101" s="1060">
        <f t="shared" si="8"/>
        <v>3.4790458281159093</v>
      </c>
      <c r="L101" s="1061">
        <f t="shared" si="9"/>
        <v>4.0654027081410887E-2</v>
      </c>
      <c r="M101" s="1059">
        <f>Tabelle1!$I$23</f>
        <v>7.7</v>
      </c>
      <c r="N101" s="1066" t="s">
        <v>1642</v>
      </c>
    </row>
    <row r="102" spans="1:14" ht="29">
      <c r="A102" s="1058" t="s">
        <v>1128</v>
      </c>
      <c r="B102" s="1058" t="s">
        <v>22</v>
      </c>
      <c r="C102" s="1058" t="s">
        <v>57</v>
      </c>
      <c r="D102" s="1058" t="s">
        <v>641</v>
      </c>
      <c r="E102" s="1058">
        <v>108</v>
      </c>
      <c r="F102" s="1058" t="s">
        <v>292</v>
      </c>
      <c r="G102" s="1061">
        <f>IF(ISNUMBER('Availabilities EU Austria'!$AE$108),'Availabilities EU Austria'!$AE$108,IF(ISNUMBER('Availabilities EU Austria'!$AE$104),'Availabilities EU Austria'!$AE$104,1))</f>
        <v>0.1</v>
      </c>
      <c r="H102" s="1060">
        <f>IF(ISNUMBER('Availabilities EU Austria'!$N$108),'Availabilities EU Austria'!$N$108,0)*$G102</f>
        <v>0.34535388863652339</v>
      </c>
      <c r="I102" s="1060">
        <f>IF(ISNUMBER('Availabilities EU Austria'!$Q$108),'Availabilities EU Austria'!$Q$108,0)*$G102</f>
        <v>0.51803083295478503</v>
      </c>
      <c r="J102" s="1060">
        <f>IF(ISNUMBER('Availabilities EU Austria'!$X$108),'Availabilities EU Austria'!$X$108,0)*$G102</f>
        <v>0.44480556436504082</v>
      </c>
      <c r="K102" s="1060">
        <f t="shared" si="8"/>
        <v>1.3081902859563492</v>
      </c>
      <c r="L102" s="1061">
        <f t="shared" si="9"/>
        <v>1.5286721112756838E-2</v>
      </c>
      <c r="M102" s="1059">
        <f>Tabelle1!$I$23</f>
        <v>7.7</v>
      </c>
      <c r="N102" s="1066" t="s">
        <v>1642</v>
      </c>
    </row>
    <row r="103" spans="1:14" ht="29">
      <c r="A103" s="1058" t="s">
        <v>1128</v>
      </c>
      <c r="B103" s="1058" t="s">
        <v>22</v>
      </c>
      <c r="C103" s="1058" t="s">
        <v>57</v>
      </c>
      <c r="D103" s="1058" t="s">
        <v>641</v>
      </c>
      <c r="E103" s="1058">
        <v>109</v>
      </c>
      <c r="F103" s="1058" t="s">
        <v>274</v>
      </c>
      <c r="G103" s="1061">
        <f>IF(ISNUMBER('Availabilities EU Austria'!$AE$109),'Availabilities EU Austria'!$AE$109,IF(ISNUMBER('Availabilities EU Austria'!$AE$104),'Availabilities EU Austria'!$AE$104,1))</f>
        <v>7.1428571428571425E-2</v>
      </c>
      <c r="H103" s="1060">
        <f>IF(ISNUMBER('Availabilities EU Austria'!$N$109),'Availabilities EU Austria'!$N$109,0)*$G103</f>
        <v>0.36593475016539739</v>
      </c>
      <c r="I103" s="1060">
        <f>IF(ISNUMBER('Availabilities EU Austria'!$Q$109),'Availabilities EU Austria'!$Q$109,0)*$G103</f>
        <v>0.62415469546362534</v>
      </c>
      <c r="J103" s="1060">
        <f>IF(ISNUMBER('Availabilities EU Austria'!$X$109),'Availabilities EU Austria'!$X$109,0)*$G103</f>
        <v>5.1021720400418262</v>
      </c>
      <c r="K103" s="1060">
        <f t="shared" si="8"/>
        <v>6.092261485670849</v>
      </c>
      <c r="L103" s="1061">
        <f t="shared" si="9"/>
        <v>7.1190486030368996E-2</v>
      </c>
      <c r="M103" s="1059">
        <f>Tabelle1!$I$24</f>
        <v>12.2</v>
      </c>
      <c r="N103" s="1066" t="s">
        <v>1642</v>
      </c>
    </row>
    <row r="104" spans="1:14" ht="29">
      <c r="A104" s="1058" t="s">
        <v>1128</v>
      </c>
      <c r="B104" s="1058" t="s">
        <v>22</v>
      </c>
      <c r="C104" s="1058" t="s">
        <v>57</v>
      </c>
      <c r="D104" s="1058" t="s">
        <v>641</v>
      </c>
      <c r="E104" s="1058">
        <v>110</v>
      </c>
      <c r="F104" s="1058" t="s">
        <v>276</v>
      </c>
      <c r="G104" s="1061">
        <f>IF(ISNUMBER('Availabilities EU Austria'!$AE$110),'Availabilities EU Austria'!$AE$110,IF(ISNUMBER('Availabilities EU Austria'!$AE$104),'Availabilities EU Austria'!$AE$104,1))</f>
        <v>7.1428571428571425E-2</v>
      </c>
      <c r="H104" s="1060">
        <f>IF(ISNUMBER('Availabilities EU Austria'!$N$110),'Availabilities EU Austria'!$N$110,0)*$G104</f>
        <v>0.16659846078082469</v>
      </c>
      <c r="I104" s="1060">
        <f>IF(ISNUMBER('Availabilities EU Austria'!$Q$110),'Availabilities EU Austria'!$Q$110,0)*$G104</f>
        <v>0.43852844153616655</v>
      </c>
      <c r="J104" s="1060">
        <f>IF(ISNUMBER('Availabilities EU Austria'!$X$110),'Availabilities EU Austria'!$X$110,0)*$G104</f>
        <v>1.0071008339630463</v>
      </c>
      <c r="K104" s="1060">
        <f t="shared" si="8"/>
        <v>1.6122277362800375</v>
      </c>
      <c r="L104" s="1061">
        <f t="shared" si="9"/>
        <v>1.883951902054299E-2</v>
      </c>
      <c r="M104" s="1059">
        <f>Tabelle1!$I$24</f>
        <v>12.2</v>
      </c>
      <c r="N104" s="1066" t="s">
        <v>1642</v>
      </c>
    </row>
    <row r="105" spans="1:14" ht="29">
      <c r="A105" s="1058" t="s">
        <v>1128</v>
      </c>
      <c r="B105" s="1058" t="s">
        <v>22</v>
      </c>
      <c r="C105" s="1058" t="s">
        <v>57</v>
      </c>
      <c r="D105" s="1058" t="s">
        <v>641</v>
      </c>
      <c r="E105" s="1058">
        <v>111</v>
      </c>
      <c r="F105" s="1058" t="s">
        <v>293</v>
      </c>
      <c r="G105" s="1061">
        <f>IF(ISNUMBER('Availabilities EU Austria'!$AE$111),'Availabilities EU Austria'!$AE$111,IF(ISNUMBER('Availabilities EU Austria'!$AE$104),'Availabilities EU Austria'!$AE$104,1))</f>
        <v>0.1</v>
      </c>
      <c r="H105" s="1060">
        <f>IF(ISNUMBER('Availabilities EU Austria'!$N$111),'Availabilities EU Austria'!$N$111,0)*$G105</f>
        <v>3.7416699428169107</v>
      </c>
      <c r="I105" s="1060">
        <f>IF(ISNUMBER('Availabilities EU Austria'!$Q$111),'Availabilities EU Austria'!$Q$111,0)*$G105</f>
        <v>3.7416699428169107</v>
      </c>
      <c r="J105" s="1060">
        <f>IF(ISNUMBER('Availabilities EU Austria'!$X$111),'Availabilities EU Austria'!$X$111,0)*$G105</f>
        <v>3.8131780786359912</v>
      </c>
      <c r="K105" s="1060">
        <f t="shared" si="8"/>
        <v>11.296517964269812</v>
      </c>
      <c r="L105" s="1061">
        <f t="shared" si="9"/>
        <v>0.13200428218957308</v>
      </c>
      <c r="M105" s="1059">
        <f>Tabelle1!$I$24</f>
        <v>12.2</v>
      </c>
      <c r="N105" s="1066" t="s">
        <v>1642</v>
      </c>
    </row>
    <row r="106" spans="1:14" ht="29">
      <c r="A106" s="1058" t="s">
        <v>1128</v>
      </c>
      <c r="B106" s="1058" t="s">
        <v>22</v>
      </c>
      <c r="C106" s="1058" t="s">
        <v>57</v>
      </c>
      <c r="D106" s="1058" t="s">
        <v>641</v>
      </c>
      <c r="E106" s="1058">
        <v>112</v>
      </c>
      <c r="F106" s="1058" t="s">
        <v>270</v>
      </c>
      <c r="G106" s="1061">
        <f>IF(ISNUMBER('Availabilities EU Austria'!$AE$112),'Availabilities EU Austria'!$AE$112,IF(ISNUMBER('Availabilities EU Austria'!$AE$104),'Availabilities EU Austria'!$AE$104,1))</f>
        <v>8.3333333333333329E-2</v>
      </c>
      <c r="H106" s="1060">
        <f>IF(ISNUMBER('Availabilities EU Austria'!$N$112),'Availabilities EU Austria'!$N$112,0)*$G106</f>
        <v>3.2734852732544515</v>
      </c>
      <c r="I106" s="1060">
        <f>IF(ISNUMBER('Availabilities EU Austria'!$Q$112),'Availabilities EU Austria'!$Q$112,0)*$G106</f>
        <v>4.5864410722732964</v>
      </c>
      <c r="J106" s="1060">
        <f>IF(ISNUMBER('Availabilities EU Austria'!$X$112),'Availabilities EU Austria'!$X$112,0)*$G106</f>
        <v>4.8841452671338175</v>
      </c>
      <c r="K106" s="1060">
        <f t="shared" si="8"/>
        <v>12.744071612661566</v>
      </c>
      <c r="L106" s="1061">
        <f t="shared" si="9"/>
        <v>0.1489195193353233</v>
      </c>
      <c r="M106" s="1059">
        <f>Tabelle1!$I$23</f>
        <v>7.7</v>
      </c>
      <c r="N106" s="1066" t="s">
        <v>1642</v>
      </c>
    </row>
    <row r="107" spans="1:14" ht="29">
      <c r="A107" s="1058" t="s">
        <v>1128</v>
      </c>
      <c r="B107" s="1058" t="s">
        <v>22</v>
      </c>
      <c r="C107" s="1058" t="s">
        <v>57</v>
      </c>
      <c r="D107" s="1058" t="s">
        <v>641</v>
      </c>
      <c r="E107" s="1058">
        <v>113</v>
      </c>
      <c r="F107" s="1058" t="s">
        <v>295</v>
      </c>
      <c r="G107" s="1061">
        <f>IF(ISNUMBER('Availabilities EU Austria'!$AE$113),'Availabilities EU Austria'!$AE$113,IF(ISNUMBER('Availabilities EU Austria'!$AE$104),'Availabilities EU Austria'!$AE$104,1))</f>
        <v>0.1</v>
      </c>
      <c r="H107" s="1060">
        <f>IF(ISNUMBER('Availabilities EU Austria'!$N$113),'Availabilities EU Austria'!$N$113,0)*$G107</f>
        <v>1.1766835672202423</v>
      </c>
      <c r="I107" s="1060">
        <f>IF(ISNUMBER('Availabilities EU Austria'!$Q$113),'Availabilities EU Austria'!$Q$113,0)*$G107</f>
        <v>1.5689114229603229</v>
      </c>
      <c r="J107" s="1060">
        <f>IF(ISNUMBER('Availabilities EU Austria'!$X$113),'Availabilities EU Austria'!$X$113,0)*$G107</f>
        <v>1.9030513419266741</v>
      </c>
      <c r="K107" s="1060">
        <f t="shared" si="8"/>
        <v>4.6486463321072389</v>
      </c>
      <c r="L107" s="1061">
        <f t="shared" si="9"/>
        <v>5.4321271755059138E-2</v>
      </c>
      <c r="M107" s="1059">
        <f>Tabelle1!$I$23</f>
        <v>7.7</v>
      </c>
      <c r="N107" s="1066" t="s">
        <v>1642</v>
      </c>
    </row>
    <row r="108" spans="1:14" ht="29">
      <c r="A108" s="1058" t="s">
        <v>1128</v>
      </c>
      <c r="B108" s="1058" t="s">
        <v>22</v>
      </c>
      <c r="C108" s="1058" t="s">
        <v>57</v>
      </c>
      <c r="D108" s="1058" t="s">
        <v>641</v>
      </c>
      <c r="E108" s="1058">
        <v>114</v>
      </c>
      <c r="F108" s="1058" t="s">
        <v>301</v>
      </c>
      <c r="G108" s="1061">
        <f>IF(ISNUMBER('Availabilities EU Austria'!$AE$114),'Availabilities EU Austria'!$AE$114,IF(ISNUMBER('Availabilities EU Austria'!$AE$104),'Availabilities EU Austria'!$AE$104,1))</f>
        <v>0.125</v>
      </c>
      <c r="H108" s="1060">
        <f>IF(ISNUMBER('Availabilities EU Austria'!$N$114),'Availabilities EU Austria'!$N$114,0)*$G108</f>
        <v>0.64850535743460247</v>
      </c>
      <c r="I108" s="1060">
        <f>IF(ISNUMBER('Availabilities EU Austria'!$Q$114),'Availabilities EU Austria'!$Q$114,0)*$G108</f>
        <v>0.92608658015676548</v>
      </c>
      <c r="J108" s="1060">
        <f>IF(ISNUMBER('Availabilities EU Austria'!$X$114),'Availabilities EU Austria'!$X$114,0)*$G108</f>
        <v>1.1176540108443416</v>
      </c>
      <c r="K108" s="1060">
        <f t="shared" si="8"/>
        <v>2.6922459484357093</v>
      </c>
      <c r="L108" s="1061">
        <f t="shared" si="9"/>
        <v>3.145995916840149E-2</v>
      </c>
      <c r="M108" s="1059">
        <f>Tabelle1!$I$23</f>
        <v>7.7</v>
      </c>
      <c r="N108" s="1066" t="s">
        <v>1642</v>
      </c>
    </row>
    <row r="109" spans="1:14">
      <c r="A109" s="1058" t="s">
        <v>1128</v>
      </c>
      <c r="B109" s="1058">
        <v>12</v>
      </c>
      <c r="C109" s="1058" t="s">
        <v>1598</v>
      </c>
      <c r="D109" s="1058" t="s">
        <v>62</v>
      </c>
      <c r="E109" s="1058">
        <v>116</v>
      </c>
      <c r="F109" s="1058" t="s">
        <v>302</v>
      </c>
      <c r="G109" s="1061">
        <f>IF(ISNUMBER('Availabilities EU Austria'!$AE$116),'Availabilities EU Austria'!$AE$116,IF(ISNUMBER('Availabilities EU Austria'!$AE$115),'Availabilities EU Austria'!$AE$115,1))</f>
        <v>1</v>
      </c>
      <c r="H109" s="1060">
        <f>IF(ISNUMBER('Availabilities EU Austria'!$N$116),'Availabilities EU Austria'!$N$116,0)*$G109</f>
        <v>0.4999999999999995</v>
      </c>
      <c r="I109" s="1060">
        <f>IF(ISNUMBER('Availabilities EU Austria'!$Q$116),'Availabilities EU Austria'!$Q$116,0)*$G109</f>
        <v>0</v>
      </c>
      <c r="J109" s="1060">
        <f>IF(ISNUMBER('Availabilities EU Austria'!$X$116),'Availabilities EU Austria'!$X$116,0)*$G109</f>
        <v>0</v>
      </c>
      <c r="K109" s="1060">
        <f t="shared" si="8"/>
        <v>0.4999999999999995</v>
      </c>
      <c r="L109" s="1061">
        <f t="shared" si="9"/>
        <v>1.25613167433244E-2</v>
      </c>
      <c r="M109" s="1059">
        <f>29.4</f>
        <v>29.4</v>
      </c>
      <c r="N109" s="1066" t="s">
        <v>1630</v>
      </c>
    </row>
    <row r="110" spans="1:14">
      <c r="A110" s="1058" t="s">
        <v>1128</v>
      </c>
      <c r="B110" s="1058">
        <v>12</v>
      </c>
      <c r="C110" s="1058" t="s">
        <v>1598</v>
      </c>
      <c r="D110" s="1058" t="s">
        <v>62</v>
      </c>
      <c r="E110" s="1058">
        <v>117</v>
      </c>
      <c r="F110" s="1058" t="s">
        <v>1631</v>
      </c>
      <c r="G110" s="1061">
        <f>IF(ISNUMBER('Availabilities EU Austria'!$AE$117),'Availabilities EU Austria'!$AE$117,IF(ISNUMBER('Availabilities EU Austria'!$AE$115),'Availabilities EU Austria'!$AE$115,1))</f>
        <v>1</v>
      </c>
      <c r="H110" s="1060">
        <f>IF(ISNUMBER('Availabilities EU Austria'!$N$117),'Availabilities EU Austria'!$N$117,0)*$G110</f>
        <v>0</v>
      </c>
      <c r="I110" s="1060">
        <f>IF(ISNUMBER('Availabilities EU Austria'!$Q$117),'Availabilities EU Austria'!$Q$117,0)*$G110</f>
        <v>7.8199999999999923</v>
      </c>
      <c r="J110" s="1060">
        <f>IF(ISNUMBER('Availabilities EU Austria'!$X$117),'Availabilities EU Austria'!$X$117,0)*$G110</f>
        <v>0</v>
      </c>
      <c r="K110" s="1060">
        <f t="shared" si="8"/>
        <v>7.8199999999999923</v>
      </c>
      <c r="L110" s="1061">
        <f t="shared" si="9"/>
        <v>0.19645899386559362</v>
      </c>
      <c r="M110" s="1059">
        <f>29.4</f>
        <v>29.4</v>
      </c>
      <c r="N110" s="1066" t="s">
        <v>1630</v>
      </c>
    </row>
    <row r="111" spans="1:14">
      <c r="A111" s="1058" t="s">
        <v>1128</v>
      </c>
      <c r="B111" s="1058">
        <v>12</v>
      </c>
      <c r="C111" s="1058" t="s">
        <v>1598</v>
      </c>
      <c r="D111" s="1058" t="s">
        <v>62</v>
      </c>
      <c r="E111" s="1058">
        <v>118</v>
      </c>
      <c r="F111" s="1058" t="s">
        <v>1631</v>
      </c>
      <c r="G111" s="1061">
        <f>IF(ISNUMBER('Availabilities EU Austria'!$AE$118),'Availabilities EU Austria'!$AE$118,IF(ISNUMBER('Availabilities EU Austria'!$AE$115),'Availabilities EU Austria'!$AE$115,1))</f>
        <v>1</v>
      </c>
      <c r="H111" s="1060">
        <f>IF(ISNUMBER('Availabilities EU Austria'!$N$118),'Availabilities EU Austria'!$N$118,0)*$G111</f>
        <v>0</v>
      </c>
      <c r="I111" s="1060">
        <f>IF(ISNUMBER('Availabilities EU Austria'!$Q$118),'Availabilities EU Austria'!$Q$118,0)*$G111</f>
        <v>31.484744217258921</v>
      </c>
      <c r="J111" s="1060">
        <f>IF(ISNUMBER('Availabilities EU Austria'!$X$118),'Availabilities EU Austria'!$X$118,0)*$G111</f>
        <v>0</v>
      </c>
      <c r="K111" s="1060">
        <f t="shared" si="8"/>
        <v>31.484744217258921</v>
      </c>
      <c r="L111" s="1061">
        <f t="shared" si="9"/>
        <v>0.79097968939108199</v>
      </c>
      <c r="M111" s="1059">
        <f>29.4</f>
        <v>29.4</v>
      </c>
      <c r="N111" s="1066" t="s">
        <v>1630</v>
      </c>
    </row>
    <row r="112" spans="1:14">
      <c r="A112" s="1058" t="s">
        <v>1128</v>
      </c>
      <c r="B112" s="1058" t="s">
        <v>27</v>
      </c>
      <c r="C112" s="1058" t="s">
        <v>99</v>
      </c>
      <c r="D112" s="1058" t="s">
        <v>1513</v>
      </c>
      <c r="E112" s="1058">
        <v>120</v>
      </c>
      <c r="F112" s="1058" t="s">
        <v>272</v>
      </c>
      <c r="G112" s="1061">
        <f>IF(ISNUMBER('Availabilities EU Austria'!$AE$120),'Availabilities EU Austria'!$AE$120,IF(ISNUMBER('Availabilities EU Austria'!$AE$119),'Availabilities EU Austria'!$AE$119,1))</f>
        <v>0.14285714285714285</v>
      </c>
      <c r="H112" s="1060">
        <f>IF(ISNUMBER('Availabilities EU Austria'!$N$120),'Availabilities EU Austria'!$N$120,0)*$G112</f>
        <v>18.698947962916989</v>
      </c>
      <c r="I112" s="1060">
        <f>IF(ISNUMBER('Availabilities EU Austria'!$Q$120),'Availabilities EU Austria'!$Q$120,0)*$G112</f>
        <v>29.629920107091877</v>
      </c>
      <c r="J112" s="1060">
        <f>IF(ISNUMBER('Availabilities EU Austria'!$X$120),'Availabilities EU Austria'!$X$120,0)*$G112</f>
        <v>29.629920107091877</v>
      </c>
      <c r="K112" s="1060">
        <f t="shared" si="8"/>
        <v>77.958788177100743</v>
      </c>
      <c r="L112" s="1061">
        <f t="shared" si="9"/>
        <v>0.490889652867877</v>
      </c>
      <c r="M112" s="1059">
        <f>Tabelle1!$I$26</f>
        <v>55.5</v>
      </c>
      <c r="N112" s="1066" t="s">
        <v>1632</v>
      </c>
    </row>
    <row r="113" spans="1:14">
      <c r="A113" s="1058" t="s">
        <v>1128</v>
      </c>
      <c r="B113" s="1058" t="s">
        <v>27</v>
      </c>
      <c r="C113" s="1058" t="s">
        <v>99</v>
      </c>
      <c r="D113" s="1058" t="s">
        <v>1513</v>
      </c>
      <c r="E113" s="1058">
        <v>121</v>
      </c>
      <c r="F113" s="1058" t="s">
        <v>1065</v>
      </c>
      <c r="G113" s="1061">
        <f>IF(ISNUMBER('Availabilities EU Austria'!$AE$121),'Availabilities EU Austria'!$AE$121,IF(ISNUMBER('Availabilities EU Austria'!$AE$119),'Availabilities EU Austria'!$AE$119,1))</f>
        <v>0.16666666666666666</v>
      </c>
      <c r="H113" s="1060">
        <f>IF(ISNUMBER('Availabilities EU Austria'!$N$121),'Availabilities EU Austria'!$N$121,0)*$G113</f>
        <v>1.415880754318724</v>
      </c>
      <c r="I113" s="1060">
        <f>IF(ISNUMBER('Availabilities EU Austria'!$Q$121),'Availabilities EU Austria'!$Q$121,0)*$G113</f>
        <v>2.0429542180659546</v>
      </c>
      <c r="J113" s="1060">
        <f>IF(ISNUMBER('Availabilities EU Austria'!$X$121),'Availabilities EU Austria'!$X$121,0)*$G113</f>
        <v>1.9897731868222737</v>
      </c>
      <c r="K113" s="1060">
        <f t="shared" si="8"/>
        <v>5.4486081592069517</v>
      </c>
      <c r="L113" s="1061">
        <f t="shared" si="9"/>
        <v>3.4308708875901012E-2</v>
      </c>
      <c r="M113" s="1059">
        <f>Tabelle1!$I$26</f>
        <v>55.5</v>
      </c>
      <c r="N113" s="1066" t="s">
        <v>1632</v>
      </c>
    </row>
    <row r="114" spans="1:14">
      <c r="A114" s="1058" t="s">
        <v>1128</v>
      </c>
      <c r="B114" s="1058" t="s">
        <v>27</v>
      </c>
      <c r="C114" s="1058" t="s">
        <v>99</v>
      </c>
      <c r="D114" s="1058" t="s">
        <v>1513</v>
      </c>
      <c r="E114" s="1058">
        <v>122</v>
      </c>
      <c r="F114" s="1058" t="s">
        <v>292</v>
      </c>
      <c r="G114" s="1061">
        <f>IF(ISNUMBER('Availabilities EU Austria'!$AE$122),'Availabilities EU Austria'!$AE$122,IF(ISNUMBER('Availabilities EU Austria'!$AE$119),'Availabilities EU Austria'!$AE$119,1))</f>
        <v>0.2</v>
      </c>
      <c r="H114" s="1060">
        <f>IF(ISNUMBER('Availabilities EU Austria'!$N$122),'Availabilities EU Austria'!$N$122,0)*$G114</f>
        <v>0.69070777727304677</v>
      </c>
      <c r="I114" s="1060">
        <f>IF(ISNUMBER('Availabilities EU Austria'!$Q$122),'Availabilities EU Austria'!$Q$122,0)*$G114</f>
        <v>1.0360616659095701</v>
      </c>
      <c r="J114" s="1060">
        <f>IF(ISNUMBER('Availabilities EU Austria'!$X$122),'Availabilities EU Austria'!$X$122,0)*$G114</f>
        <v>0.88961112873008164</v>
      </c>
      <c r="K114" s="1060">
        <f t="shared" si="8"/>
        <v>2.6163805719126985</v>
      </c>
      <c r="L114" s="1061">
        <f t="shared" si="9"/>
        <v>1.6474783417602459E-2</v>
      </c>
      <c r="M114" s="1059">
        <f>Tabelle1!$I$26</f>
        <v>55.5</v>
      </c>
      <c r="N114" s="1066" t="s">
        <v>1632</v>
      </c>
    </row>
    <row r="115" spans="1:14">
      <c r="A115" s="1058" t="s">
        <v>1128</v>
      </c>
      <c r="B115" s="1058" t="s">
        <v>27</v>
      </c>
      <c r="C115" s="1058" t="s">
        <v>99</v>
      </c>
      <c r="D115" s="1058" t="s">
        <v>1513</v>
      </c>
      <c r="E115" s="1058">
        <v>123</v>
      </c>
      <c r="F115" s="1058" t="s">
        <v>274</v>
      </c>
      <c r="G115" s="1061">
        <f>IF(ISNUMBER('Availabilities EU Austria'!$AE$123),'Availabilities EU Austria'!$AE$123,IF(ISNUMBER('Availabilities EU Austria'!$AE$119),'Availabilities EU Austria'!$AE$119,1))</f>
        <v>0.14285714285714285</v>
      </c>
      <c r="H115" s="1060">
        <f>IF(ISNUMBER('Availabilities EU Austria'!$N$123),'Availabilities EU Austria'!$N$123,0)*$G115</f>
        <v>0.73186950033079479</v>
      </c>
      <c r="I115" s="1060">
        <f>IF(ISNUMBER('Availabilities EU Austria'!$Q$123),'Availabilities EU Austria'!$Q$123,0)*$G115</f>
        <v>1.2483093909272507</v>
      </c>
      <c r="J115" s="1060">
        <f>IF(ISNUMBER('Availabilities EU Austria'!$X$123),'Availabilities EU Austria'!$X$123,0)*$G115</f>
        <v>10.204344080083652</v>
      </c>
      <c r="K115" s="1060">
        <f t="shared" si="8"/>
        <v>12.184522971341698</v>
      </c>
      <c r="L115" s="1061">
        <f t="shared" si="9"/>
        <v>7.6723309733533113E-2</v>
      </c>
      <c r="M115" s="1059">
        <f>Tabelle1!$I$26</f>
        <v>55.5</v>
      </c>
      <c r="N115" s="1066" t="s">
        <v>1632</v>
      </c>
    </row>
    <row r="116" spans="1:14">
      <c r="A116" s="1058" t="s">
        <v>1128</v>
      </c>
      <c r="B116" s="1058" t="s">
        <v>27</v>
      </c>
      <c r="C116" s="1058" t="s">
        <v>99</v>
      </c>
      <c r="D116" s="1058" t="s">
        <v>1513</v>
      </c>
      <c r="E116" s="1058">
        <v>124</v>
      </c>
      <c r="F116" s="1058" t="s">
        <v>276</v>
      </c>
      <c r="G116" s="1061">
        <f>IF(ISNUMBER('Availabilities EU Austria'!$AE$124),'Availabilities EU Austria'!$AE$124,IF(ISNUMBER('Availabilities EU Austria'!$AE$119),'Availabilities EU Austria'!$AE$119,1))</f>
        <v>0.14285714285714285</v>
      </c>
      <c r="H116" s="1060">
        <f>IF(ISNUMBER('Availabilities EU Austria'!$N$124),'Availabilities EU Austria'!$N$124,0)*$G116</f>
        <v>0.33319692156164937</v>
      </c>
      <c r="I116" s="1060">
        <f>IF(ISNUMBER('Availabilities EU Austria'!$Q$124),'Availabilities EU Austria'!$Q$124,0)*$G116</f>
        <v>0.87705688307233309</v>
      </c>
      <c r="J116" s="1060">
        <f>IF(ISNUMBER('Availabilities EU Austria'!$X$124),'Availabilities EU Austria'!$X$124,0)*$G116</f>
        <v>2.0142016679260926</v>
      </c>
      <c r="K116" s="1060">
        <f t="shared" si="8"/>
        <v>3.2244554725600749</v>
      </c>
      <c r="L116" s="1061">
        <f t="shared" si="9"/>
        <v>2.0303699744756695E-2</v>
      </c>
      <c r="M116" s="1059">
        <f>Tabelle1!$I$26</f>
        <v>55.5</v>
      </c>
      <c r="N116" s="1066" t="s">
        <v>1632</v>
      </c>
    </row>
    <row r="117" spans="1:14">
      <c r="A117" s="1058" t="s">
        <v>1128</v>
      </c>
      <c r="B117" s="1058" t="s">
        <v>27</v>
      </c>
      <c r="C117" s="1058" t="s">
        <v>99</v>
      </c>
      <c r="D117" s="1058" t="s">
        <v>1513</v>
      </c>
      <c r="E117" s="1058">
        <v>125</v>
      </c>
      <c r="F117" s="1058" t="s">
        <v>293</v>
      </c>
      <c r="G117" s="1061">
        <f>IF(ISNUMBER('Availabilities EU Austria'!$AE$125),'Availabilities EU Austria'!$AE$125,IF(ISNUMBER('Availabilities EU Austria'!$AE$119),'Availabilities EU Austria'!$AE$119,1))</f>
        <v>0.2</v>
      </c>
      <c r="H117" s="1060">
        <f>IF(ISNUMBER('Availabilities EU Austria'!$N$125),'Availabilities EU Austria'!$N$125,0)*$G117</f>
        <v>7.4833398856338214</v>
      </c>
      <c r="I117" s="1060">
        <f>IF(ISNUMBER('Availabilities EU Austria'!$Q$125),'Availabilities EU Austria'!$Q$125,0)*$G117</f>
        <v>7.4833398856338214</v>
      </c>
      <c r="J117" s="1060">
        <f>IF(ISNUMBER('Availabilities EU Austria'!$X$125),'Availabilities EU Austria'!$X$125,0)*$G117</f>
        <v>7.6263561572719825</v>
      </c>
      <c r="K117" s="1060">
        <f t="shared" si="8"/>
        <v>22.593035928539624</v>
      </c>
      <c r="L117" s="1061">
        <f t="shared" si="9"/>
        <v>0.14226346796203815</v>
      </c>
      <c r="M117" s="1059">
        <f>Tabelle1!$I$26</f>
        <v>55.5</v>
      </c>
      <c r="N117" s="1066" t="s">
        <v>1632</v>
      </c>
    </row>
    <row r="118" spans="1:14">
      <c r="A118" s="1058" t="s">
        <v>1128</v>
      </c>
      <c r="B118" s="1058" t="s">
        <v>27</v>
      </c>
      <c r="C118" s="1058" t="s">
        <v>99</v>
      </c>
      <c r="D118" s="1058" t="s">
        <v>1513</v>
      </c>
      <c r="E118" s="1058">
        <v>126</v>
      </c>
      <c r="F118" s="1058" t="s">
        <v>270</v>
      </c>
      <c r="G118" s="1061">
        <f>IF(ISNUMBER('Availabilities EU Austria'!$AE$126),'Availabilities EU Austria'!$AE$126,IF(ISNUMBER('Availabilities EU Austria'!$AE$119),'Availabilities EU Austria'!$AE$119,1))</f>
        <v>0.16666666666666666</v>
      </c>
      <c r="H118" s="1060">
        <f>IF(ISNUMBER('Availabilities EU Austria'!$N$126),'Availabilities EU Austria'!$N$126,0)*$G118</f>
        <v>6.546970546508903</v>
      </c>
      <c r="I118" s="1060">
        <f>IF(ISNUMBER('Availabilities EU Austria'!$Q$126),'Availabilities EU Austria'!$Q$126,0)*$G118</f>
        <v>9.1728821445465929</v>
      </c>
      <c r="J118" s="1060">
        <f>IF(ISNUMBER('Availabilities EU Austria'!$X$126),'Availabilities EU Austria'!$X$126,0)*$G118</f>
        <v>9.7682905342676349</v>
      </c>
      <c r="K118" s="1060">
        <f t="shared" si="8"/>
        <v>25.488143225323132</v>
      </c>
      <c r="L118" s="1061">
        <f t="shared" si="9"/>
        <v>0.16049333337124372</v>
      </c>
      <c r="M118" s="1059">
        <f>Tabelle1!$I$26</f>
        <v>55.5</v>
      </c>
      <c r="N118" s="1066" t="s">
        <v>1632</v>
      </c>
    </row>
    <row r="119" spans="1:14">
      <c r="A119" s="1058" t="s">
        <v>1128</v>
      </c>
      <c r="B119" s="1058" t="s">
        <v>27</v>
      </c>
      <c r="C119" s="1058" t="s">
        <v>99</v>
      </c>
      <c r="D119" s="1058" t="s">
        <v>1513</v>
      </c>
      <c r="E119" s="1058">
        <v>127</v>
      </c>
      <c r="F119" s="1058" t="s">
        <v>295</v>
      </c>
      <c r="G119" s="1061">
        <f>IF(ISNUMBER('Availabilities EU Austria'!$AE$127),'Availabilities EU Austria'!$AE$127,IF(ISNUMBER('Availabilities EU Austria'!$AE$119),'Availabilities EU Austria'!$AE$119,1))</f>
        <v>0.2</v>
      </c>
      <c r="H119" s="1060">
        <f>IF(ISNUMBER('Availabilities EU Austria'!$N$127),'Availabilities EU Austria'!$N$127,0)*$G119</f>
        <v>2.3533671344404845</v>
      </c>
      <c r="I119" s="1060">
        <f>IF(ISNUMBER('Availabilities EU Austria'!$Q$127),'Availabilities EU Austria'!$Q$127,0)*$G119</f>
        <v>3.1378228459206459</v>
      </c>
      <c r="J119" s="1060">
        <f>IF(ISNUMBER('Availabilities EU Austria'!$X$127),'Availabilities EU Austria'!$X$127,0)*$G119</f>
        <v>3.8061026838533483</v>
      </c>
      <c r="K119" s="1060">
        <f t="shared" si="8"/>
        <v>9.2972926642144778</v>
      </c>
      <c r="L119" s="1061">
        <f t="shared" si="9"/>
        <v>5.8543044027047825E-2</v>
      </c>
      <c r="M119" s="1059">
        <f>Tabelle1!$I$26</f>
        <v>55.5</v>
      </c>
      <c r="N119" s="1066" t="s">
        <v>1632</v>
      </c>
    </row>
    <row r="120" spans="1:14" ht="29">
      <c r="A120" s="1058" t="s">
        <v>1128</v>
      </c>
      <c r="B120" s="1058" t="s">
        <v>29</v>
      </c>
      <c r="C120" s="1058" t="s">
        <v>239</v>
      </c>
      <c r="D120" s="1058" t="s">
        <v>640</v>
      </c>
      <c r="E120" s="1058">
        <v>129</v>
      </c>
      <c r="F120" s="1058" t="s">
        <v>272</v>
      </c>
      <c r="G120" s="1061">
        <f>IF(ISNUMBER('Availabilities EU Austria'!$AE$129),'Availabilities EU Austria'!$AE$129,IF(ISNUMBER('Availabilities EU Austria'!$AE$128),'Availabilities EU Austria'!$AE$128,1))</f>
        <v>7.1428571428571425E-2</v>
      </c>
      <c r="H120" s="1060">
        <f>IF(ISNUMBER('Availabilities EU Austria'!$N$129),'Availabilities EU Austria'!$N$129,0)*$G120</f>
        <v>9.3494739814584946</v>
      </c>
      <c r="I120" s="1060">
        <f>IF(ISNUMBER('Availabilities EU Austria'!$Q$129),'Availabilities EU Austria'!$Q$129,0)*$G120</f>
        <v>14.814960053545938</v>
      </c>
      <c r="J120" s="1060">
        <f>IF(ISNUMBER('Availabilities EU Austria'!$X$129),'Availabilities EU Austria'!$X$129,0)*$G120</f>
        <v>14.814960053545938</v>
      </c>
      <c r="K120" s="1060">
        <f t="shared" si="8"/>
        <v>38.979394088550372</v>
      </c>
      <c r="L120" s="1061">
        <f t="shared" si="9"/>
        <v>0.45591067680085989</v>
      </c>
      <c r="M120" s="1059">
        <f>Tabelle1!$I$27</f>
        <v>26.8</v>
      </c>
      <c r="N120" s="1066" t="s">
        <v>1643</v>
      </c>
    </row>
    <row r="121" spans="1:14" ht="29">
      <c r="A121" s="1058" t="s">
        <v>1128</v>
      </c>
      <c r="B121" s="1058" t="s">
        <v>29</v>
      </c>
      <c r="C121" s="1058" t="s">
        <v>239</v>
      </c>
      <c r="D121" s="1058" t="s">
        <v>640</v>
      </c>
      <c r="E121" s="1058">
        <v>130</v>
      </c>
      <c r="F121" s="1058" t="s">
        <v>1065</v>
      </c>
      <c r="G121" s="1061">
        <f>IF(ISNUMBER('Availabilities EU Austria'!$AE$130),'Availabilities EU Austria'!$AE$130,IF(ISNUMBER('Availabilities EU Austria'!$AE$128),'Availabilities EU Austria'!$AE$128,1))</f>
        <v>8.3333333333333329E-2</v>
      </c>
      <c r="H121" s="1060">
        <f>IF(ISNUMBER('Availabilities EU Austria'!$N$130),'Availabilities EU Austria'!$N$130,0)*$G121</f>
        <v>0.70794037715936198</v>
      </c>
      <c r="I121" s="1060">
        <f>IF(ISNUMBER('Availabilities EU Austria'!$Q$130),'Availabilities EU Austria'!$Q$130,0)*$G121</f>
        <v>1.0214771090329773</v>
      </c>
      <c r="J121" s="1060">
        <f>IF(ISNUMBER('Availabilities EU Austria'!$X$130),'Availabilities EU Austria'!$X$130,0)*$G121</f>
        <v>0.99488659341113683</v>
      </c>
      <c r="K121" s="1060">
        <f t="shared" si="8"/>
        <v>2.7243040796034759</v>
      </c>
      <c r="L121" s="1061">
        <f t="shared" si="9"/>
        <v>3.1863997524481665E-2</v>
      </c>
      <c r="M121" s="1059">
        <f>Tabelle1!$I$27</f>
        <v>26.8</v>
      </c>
      <c r="N121" s="1066" t="s">
        <v>1643</v>
      </c>
    </row>
    <row r="122" spans="1:14" ht="29">
      <c r="A122" s="1058" t="s">
        <v>1128</v>
      </c>
      <c r="B122" s="1058" t="s">
        <v>29</v>
      </c>
      <c r="C122" s="1058" t="s">
        <v>239</v>
      </c>
      <c r="D122" s="1058" t="s">
        <v>640</v>
      </c>
      <c r="E122" s="1058">
        <v>131</v>
      </c>
      <c r="F122" s="1058" t="s">
        <v>292</v>
      </c>
      <c r="G122" s="1061">
        <f>IF(ISNUMBER('Availabilities EU Austria'!$AE$131),'Availabilities EU Austria'!$AE$131,IF(ISNUMBER('Availabilities EU Austria'!$AE$128),'Availabilities EU Austria'!$AE$128,1))</f>
        <v>0.1</v>
      </c>
      <c r="H122" s="1060">
        <f>IF(ISNUMBER('Availabilities EU Austria'!$N$131),'Availabilities EU Austria'!$N$131,0)*$G122</f>
        <v>0.34535388863652339</v>
      </c>
      <c r="I122" s="1060">
        <f>IF(ISNUMBER('Availabilities EU Austria'!$Q$131),'Availabilities EU Austria'!$Q$131,0)*$G122</f>
        <v>0.51803083295478503</v>
      </c>
      <c r="J122" s="1060">
        <f>IF(ISNUMBER('Availabilities EU Austria'!$X$131),'Availabilities EU Austria'!$X$131,0)*$G122</f>
        <v>0.44480556436504082</v>
      </c>
      <c r="K122" s="1060">
        <f t="shared" si="8"/>
        <v>1.3081902859563492</v>
      </c>
      <c r="L122" s="1061">
        <f t="shared" si="9"/>
        <v>1.5300851452430828E-2</v>
      </c>
      <c r="M122" s="1059">
        <f>Tabelle1!$I$27</f>
        <v>26.8</v>
      </c>
      <c r="N122" s="1066" t="s">
        <v>1643</v>
      </c>
    </row>
    <row r="123" spans="1:14" ht="29">
      <c r="A123" s="1058" t="s">
        <v>1128</v>
      </c>
      <c r="B123" s="1058" t="s">
        <v>29</v>
      </c>
      <c r="C123" s="1058" t="s">
        <v>239</v>
      </c>
      <c r="D123" s="1058" t="s">
        <v>640</v>
      </c>
      <c r="E123" s="1058">
        <v>132</v>
      </c>
      <c r="F123" s="1058" t="s">
        <v>274</v>
      </c>
      <c r="G123" s="1061">
        <f>IF(ISNUMBER('Availabilities EU Austria'!$AE$132),'Availabilities EU Austria'!$AE$132,IF(ISNUMBER('Availabilities EU Austria'!$AE$128),'Availabilities EU Austria'!$AE$128,1))</f>
        <v>0.14285714285714285</v>
      </c>
      <c r="H123" s="1060">
        <f>IF(ISNUMBER('Availabilities EU Austria'!$N$132),'Availabilities EU Austria'!$N$132,0)*$G123</f>
        <v>0.73186950033079479</v>
      </c>
      <c r="I123" s="1060">
        <f>IF(ISNUMBER('Availabilities EU Austria'!$Q$132),'Availabilities EU Austria'!$Q$132,0)*$G123</f>
        <v>1.2483093909272507</v>
      </c>
      <c r="J123" s="1060">
        <f>IF(ISNUMBER('Availabilities EU Austria'!$X$132),'Availabilities EU Austria'!$X$132,0)*$G123</f>
        <v>10.204344080083652</v>
      </c>
      <c r="K123" s="1060">
        <f t="shared" si="8"/>
        <v>12.184522971341698</v>
      </c>
      <c r="L123" s="1061">
        <f t="shared" si="9"/>
        <v>0.14251258246191503</v>
      </c>
      <c r="M123" s="1059">
        <f>Tabelle1!$I$27</f>
        <v>26.8</v>
      </c>
      <c r="N123" s="1066" t="s">
        <v>1643</v>
      </c>
    </row>
    <row r="124" spans="1:14" ht="29">
      <c r="A124" s="1058" t="s">
        <v>1128</v>
      </c>
      <c r="B124" s="1058" t="s">
        <v>29</v>
      </c>
      <c r="C124" s="1058" t="s">
        <v>239</v>
      </c>
      <c r="D124" s="1058" t="s">
        <v>640</v>
      </c>
      <c r="E124" s="1058">
        <v>133</v>
      </c>
      <c r="F124" s="1058" t="s">
        <v>276</v>
      </c>
      <c r="G124" s="1061">
        <f>IF(ISNUMBER('Availabilities EU Austria'!$AE$133),'Availabilities EU Austria'!$AE$133,IF(ISNUMBER('Availabilities EU Austria'!$AE$128),'Availabilities EU Austria'!$AE$128,1))</f>
        <v>7.1428571428571425E-2</v>
      </c>
      <c r="H124" s="1060">
        <f>IF(ISNUMBER('Availabilities EU Austria'!$N$133),'Availabilities EU Austria'!$N$133,0)*$G124</f>
        <v>0.16659846078082469</v>
      </c>
      <c r="I124" s="1060">
        <f>IF(ISNUMBER('Availabilities EU Austria'!$Q$133),'Availabilities EU Austria'!$Q$133,0)*$G124</f>
        <v>0.43852844153616655</v>
      </c>
      <c r="J124" s="1060">
        <f>IF(ISNUMBER('Availabilities EU Austria'!$X$133),'Availabilities EU Austria'!$X$133,0)*$G124</f>
        <v>1.0071008339630463</v>
      </c>
      <c r="K124" s="1060">
        <f t="shared" si="8"/>
        <v>1.6122277362800375</v>
      </c>
      <c r="L124" s="1061">
        <f t="shared" si="9"/>
        <v>1.885693340267839E-2</v>
      </c>
      <c r="M124" s="1059">
        <f>Tabelle1!$I$27</f>
        <v>26.8</v>
      </c>
      <c r="N124" s="1066" t="s">
        <v>1643</v>
      </c>
    </row>
    <row r="125" spans="1:14" ht="29">
      <c r="A125" s="1058" t="s">
        <v>1128</v>
      </c>
      <c r="B125" s="1058" t="s">
        <v>29</v>
      </c>
      <c r="C125" s="1058" t="s">
        <v>239</v>
      </c>
      <c r="D125" s="1058" t="s">
        <v>640</v>
      </c>
      <c r="E125" s="1058">
        <v>134</v>
      </c>
      <c r="F125" s="1058" t="s">
        <v>293</v>
      </c>
      <c r="G125" s="1061">
        <f>IF(ISNUMBER('Availabilities EU Austria'!$AE$134),'Availabilities EU Austria'!$AE$134,IF(ISNUMBER('Availabilities EU Austria'!$AE$128),'Availabilities EU Austria'!$AE$128,1))</f>
        <v>0.1</v>
      </c>
      <c r="H125" s="1060">
        <f>IF(ISNUMBER('Availabilities EU Austria'!$N$134),'Availabilities EU Austria'!$N$134,0)*$G125</f>
        <v>3.7416699428169107</v>
      </c>
      <c r="I125" s="1060">
        <f>IF(ISNUMBER('Availabilities EU Austria'!$Q$134),'Availabilities EU Austria'!$Q$134,0)*$G125</f>
        <v>3.7416699428169107</v>
      </c>
      <c r="J125" s="1060">
        <f>IF(ISNUMBER('Availabilities EU Austria'!$X$134),'Availabilities EU Austria'!$X$134,0)*$G125</f>
        <v>3.8131780786359912</v>
      </c>
      <c r="K125" s="1060">
        <f t="shared" si="8"/>
        <v>11.296517964269812</v>
      </c>
      <c r="L125" s="1061">
        <f t="shared" si="9"/>
        <v>0.13212630085740915</v>
      </c>
      <c r="M125" s="1059">
        <f>Tabelle1!$I$27</f>
        <v>26.8</v>
      </c>
      <c r="N125" s="1066" t="s">
        <v>1643</v>
      </c>
    </row>
    <row r="126" spans="1:14" ht="29">
      <c r="A126" s="1058" t="s">
        <v>1128</v>
      </c>
      <c r="B126" s="1058" t="s">
        <v>29</v>
      </c>
      <c r="C126" s="1058" t="s">
        <v>239</v>
      </c>
      <c r="D126" s="1058" t="s">
        <v>640</v>
      </c>
      <c r="E126" s="1058">
        <v>135</v>
      </c>
      <c r="F126" s="1058" t="s">
        <v>270</v>
      </c>
      <c r="G126" s="1061">
        <f>IF(ISNUMBER('Availabilities EU Austria'!$AE$135),'Availabilities EU Austria'!$AE$135,IF(ISNUMBER('Availabilities EU Austria'!$AE$128),'Availabilities EU Austria'!$AE$128,1))</f>
        <v>8.3333333333333329E-2</v>
      </c>
      <c r="H126" s="1060">
        <f>IF(ISNUMBER('Availabilities EU Austria'!$N$135),'Availabilities EU Austria'!$N$135,0)*$G126</f>
        <v>3.2734852732544515</v>
      </c>
      <c r="I126" s="1060">
        <f>IF(ISNUMBER('Availabilities EU Austria'!$Q$135),'Availabilities EU Austria'!$Q$135,0)*$G126</f>
        <v>4.5864410722732964</v>
      </c>
      <c r="J126" s="1060">
        <f>IF(ISNUMBER('Availabilities EU Austria'!$X$135),'Availabilities EU Austria'!$X$135,0)*$G126</f>
        <v>4.8841452671338175</v>
      </c>
      <c r="K126" s="1060">
        <f t="shared" si="8"/>
        <v>12.744071612661566</v>
      </c>
      <c r="L126" s="1061">
        <f t="shared" si="9"/>
        <v>0.14905717366791521</v>
      </c>
      <c r="M126" s="1059">
        <f>Tabelle1!$I$27</f>
        <v>26.8</v>
      </c>
      <c r="N126" s="1066" t="s">
        <v>1643</v>
      </c>
    </row>
    <row r="127" spans="1:14" ht="29">
      <c r="A127" s="1058" t="s">
        <v>1128</v>
      </c>
      <c r="B127" s="1058" t="s">
        <v>29</v>
      </c>
      <c r="C127" s="1058" t="s">
        <v>239</v>
      </c>
      <c r="D127" s="1058" t="s">
        <v>640</v>
      </c>
      <c r="E127" s="1058">
        <v>136</v>
      </c>
      <c r="F127" s="1058" t="s">
        <v>295</v>
      </c>
      <c r="G127" s="1061">
        <f>IF(ISNUMBER('Availabilities EU Austria'!$AE$136),'Availabilities EU Austria'!$AE$136,IF(ISNUMBER('Availabilities EU Austria'!$AE$128),'Availabilities EU Austria'!$AE$128,1))</f>
        <v>0.1</v>
      </c>
      <c r="H127" s="1060">
        <f>IF(ISNUMBER('Availabilities EU Austria'!$N$136),'Availabilities EU Austria'!$N$136,0)*$G127</f>
        <v>1.1766835672202423</v>
      </c>
      <c r="I127" s="1060">
        <f>IF(ISNUMBER('Availabilities EU Austria'!$Q$136),'Availabilities EU Austria'!$Q$136,0)*$G127</f>
        <v>1.5689114229603229</v>
      </c>
      <c r="J127" s="1060">
        <f>IF(ISNUMBER('Availabilities EU Austria'!$X$136),'Availabilities EU Austria'!$X$136,0)*$G127</f>
        <v>1.9030513419266741</v>
      </c>
      <c r="K127" s="1060">
        <f t="shared" si="8"/>
        <v>4.6486463321072389</v>
      </c>
      <c r="L127" s="1061">
        <f t="shared" si="9"/>
        <v>5.4371483832309733E-2</v>
      </c>
      <c r="M127" s="1059">
        <f>Tabelle1!$I$27</f>
        <v>26.8</v>
      </c>
      <c r="N127" s="1066" t="s">
        <v>1643</v>
      </c>
    </row>
    <row r="128" spans="1:14" ht="29">
      <c r="A128" s="1058" t="s">
        <v>1128</v>
      </c>
      <c r="B128" s="1058" t="s">
        <v>29</v>
      </c>
      <c r="C128" s="1058" t="s">
        <v>230</v>
      </c>
      <c r="D128" s="1058" t="s">
        <v>644</v>
      </c>
      <c r="E128" s="1058">
        <v>141</v>
      </c>
      <c r="F128" s="1058" t="s">
        <v>272</v>
      </c>
      <c r="G128" s="1061">
        <f>IF(ISNUMBER('Availabilities EU Austria'!$AE$141),'Availabilities EU Austria'!$AE$141,IF(ISNUMBER('Availabilities EU Austria'!$AE$137),'Availabilities EU Austria'!$AE$137,1))</f>
        <v>7.1428571428571425E-2</v>
      </c>
      <c r="H128" s="1060">
        <f>IF(ISNUMBER('Availabilities EU Austria'!$N$141),'Availabilities EU Austria'!$N$141,0)*$G128</f>
        <v>9.3494739814584946</v>
      </c>
      <c r="I128" s="1060">
        <f>IF(ISNUMBER('Availabilities EU Austria'!$Q$141),'Availabilities EU Austria'!$Q$141,0)*$G128</f>
        <v>14.814960053545938</v>
      </c>
      <c r="J128" s="1060">
        <f>IF(ISNUMBER('Availabilities EU Austria'!$X$141),'Availabilities EU Austria'!$X$141,0)*$G128</f>
        <v>14.814960053545938</v>
      </c>
      <c r="K128" s="1060">
        <f t="shared" si="8"/>
        <v>38.979394088550372</v>
      </c>
      <c r="L128" s="1061">
        <f t="shared" si="9"/>
        <v>0.45591067680085989</v>
      </c>
      <c r="M128" s="1059">
        <f>Tabelle1!$I$28</f>
        <v>26.8</v>
      </c>
      <c r="N128" s="1066" t="s">
        <v>1644</v>
      </c>
    </row>
    <row r="129" spans="1:14" ht="29">
      <c r="A129" s="1058" t="s">
        <v>1128</v>
      </c>
      <c r="B129" s="1058" t="s">
        <v>29</v>
      </c>
      <c r="C129" s="1058" t="s">
        <v>230</v>
      </c>
      <c r="D129" s="1058" t="s">
        <v>644</v>
      </c>
      <c r="E129" s="1058">
        <v>142</v>
      </c>
      <c r="F129" s="1058" t="s">
        <v>1065</v>
      </c>
      <c r="G129" s="1061">
        <f>IF(ISNUMBER('Availabilities EU Austria'!$AE$142),'Availabilities EU Austria'!$AE$142,IF(ISNUMBER('Availabilities EU Austria'!$AE$137),'Availabilities EU Austria'!$AE$137,1))</f>
        <v>8.3333333333333329E-2</v>
      </c>
      <c r="H129" s="1060">
        <f>IF(ISNUMBER('Availabilities EU Austria'!$N$142),'Availabilities EU Austria'!$N$142,0)*$G129</f>
        <v>0.70794037715936198</v>
      </c>
      <c r="I129" s="1060">
        <f>IF(ISNUMBER('Availabilities EU Austria'!$Q$142),'Availabilities EU Austria'!$Q$142,0)*$G129</f>
        <v>1.0214771090329773</v>
      </c>
      <c r="J129" s="1060">
        <f>IF(ISNUMBER('Availabilities EU Austria'!$X$142),'Availabilities EU Austria'!$X$142,0)*$G129</f>
        <v>0.99488659341113683</v>
      </c>
      <c r="K129" s="1060">
        <f t="shared" si="8"/>
        <v>2.7243040796034759</v>
      </c>
      <c r="L129" s="1061">
        <f t="shared" si="9"/>
        <v>3.1863997524481665E-2</v>
      </c>
      <c r="M129" s="1059">
        <f>Tabelle1!$I$28</f>
        <v>26.8</v>
      </c>
      <c r="N129" s="1066" t="s">
        <v>1644</v>
      </c>
    </row>
    <row r="130" spans="1:14" ht="29">
      <c r="A130" s="1058" t="s">
        <v>1128</v>
      </c>
      <c r="B130" s="1058" t="s">
        <v>29</v>
      </c>
      <c r="C130" s="1058" t="s">
        <v>230</v>
      </c>
      <c r="D130" s="1058" t="s">
        <v>644</v>
      </c>
      <c r="E130" s="1058">
        <v>143</v>
      </c>
      <c r="F130" s="1058" t="s">
        <v>292</v>
      </c>
      <c r="G130" s="1061">
        <f>IF(ISNUMBER('Availabilities EU Austria'!$AE$143),'Availabilities EU Austria'!$AE$143,IF(ISNUMBER('Availabilities EU Austria'!$AE$137),'Availabilities EU Austria'!$AE$137,1))</f>
        <v>0.1</v>
      </c>
      <c r="H130" s="1060">
        <f>IF(ISNUMBER('Availabilities EU Austria'!$N$143),'Availabilities EU Austria'!$N$143,0)*$G130</f>
        <v>0.34535388863652339</v>
      </c>
      <c r="I130" s="1060">
        <f>IF(ISNUMBER('Availabilities EU Austria'!$Q$143),'Availabilities EU Austria'!$Q$143,0)*$G130</f>
        <v>0.51803083295478503</v>
      </c>
      <c r="J130" s="1060">
        <f>IF(ISNUMBER('Availabilities EU Austria'!$X$143),'Availabilities EU Austria'!$X$143,0)*$G130</f>
        <v>0.44480556436504082</v>
      </c>
      <c r="K130" s="1060">
        <f t="shared" ref="K130:K161" si="10">SUM(H130:J130)</f>
        <v>1.3081902859563492</v>
      </c>
      <c r="L130" s="1061">
        <f t="shared" ref="L130:L161" si="11">IF(SUMIFS($K$34:$K$135,$A$34:$A$135,$A130,$B$34:$B$135,$B130,$C$34:$C$135,$C130,$D$34:$D$135,$D130)=0,1/COUNTIFS($A$34:$A$135,$A130,$B$34:$B$135,$B130,$C$34:$C$135,$C130,$D$34:$D$135,$D130),K130/SUMIFS($K$34:$K$135,$A$34:$A$135,$A130,$B$34:$B$135,$B130,$C$34:$C$135,$C130,$D$34:$D$135,$D130))</f>
        <v>1.5300851452430828E-2</v>
      </c>
      <c r="M130" s="1059">
        <f>Tabelle1!$I$28</f>
        <v>26.8</v>
      </c>
      <c r="N130" s="1066" t="s">
        <v>1644</v>
      </c>
    </row>
    <row r="131" spans="1:14" ht="29">
      <c r="A131" s="1058" t="s">
        <v>1128</v>
      </c>
      <c r="B131" s="1058" t="s">
        <v>29</v>
      </c>
      <c r="C131" s="1058" t="s">
        <v>230</v>
      </c>
      <c r="D131" s="1058" t="s">
        <v>644</v>
      </c>
      <c r="E131" s="1058">
        <v>144</v>
      </c>
      <c r="F131" s="1058" t="s">
        <v>274</v>
      </c>
      <c r="G131" s="1061">
        <f>IF(ISNUMBER('Availabilities EU Austria'!$AE$144),'Availabilities EU Austria'!$AE$144,IF(ISNUMBER('Availabilities EU Austria'!$AE$137),'Availabilities EU Austria'!$AE$137,1))</f>
        <v>0.14285714285714285</v>
      </c>
      <c r="H131" s="1060">
        <f>IF(ISNUMBER('Availabilities EU Austria'!$N$144),'Availabilities EU Austria'!$N$144,0)*$G131</f>
        <v>0.73186950033079479</v>
      </c>
      <c r="I131" s="1060">
        <f>IF(ISNUMBER('Availabilities EU Austria'!$Q$144),'Availabilities EU Austria'!$Q$144,0)*$G131</f>
        <v>1.2483093909272507</v>
      </c>
      <c r="J131" s="1060">
        <f>IF(ISNUMBER('Availabilities EU Austria'!$X$144),'Availabilities EU Austria'!$X$144,0)*$G131</f>
        <v>10.204344080083652</v>
      </c>
      <c r="K131" s="1060">
        <f t="shared" si="10"/>
        <v>12.184522971341698</v>
      </c>
      <c r="L131" s="1061">
        <f t="shared" si="11"/>
        <v>0.14251258246191503</v>
      </c>
      <c r="M131" s="1059">
        <f>Tabelle1!$I$28</f>
        <v>26.8</v>
      </c>
      <c r="N131" s="1066" t="s">
        <v>1644</v>
      </c>
    </row>
    <row r="132" spans="1:14" ht="29">
      <c r="A132" s="1058" t="s">
        <v>1128</v>
      </c>
      <c r="B132" s="1058" t="s">
        <v>29</v>
      </c>
      <c r="C132" s="1058" t="s">
        <v>230</v>
      </c>
      <c r="D132" s="1058" t="s">
        <v>644</v>
      </c>
      <c r="E132" s="1058">
        <v>145</v>
      </c>
      <c r="F132" s="1058" t="s">
        <v>276</v>
      </c>
      <c r="G132" s="1061">
        <f>IF(ISNUMBER('Availabilities EU Austria'!$AE$145),'Availabilities EU Austria'!$AE$145,IF(ISNUMBER('Availabilities EU Austria'!$AE$137),'Availabilities EU Austria'!$AE$137,1))</f>
        <v>7.1428571428571425E-2</v>
      </c>
      <c r="H132" s="1060">
        <f>IF(ISNUMBER('Availabilities EU Austria'!$N$145),'Availabilities EU Austria'!$N$145,0)*$G132</f>
        <v>0.16659846078082469</v>
      </c>
      <c r="I132" s="1060">
        <f>IF(ISNUMBER('Availabilities EU Austria'!$Q$145),'Availabilities EU Austria'!$Q$145,0)*$G132</f>
        <v>0.43852844153616655</v>
      </c>
      <c r="J132" s="1060">
        <f>IF(ISNUMBER('Availabilities EU Austria'!$X$145),'Availabilities EU Austria'!$X$145,0)*$G132</f>
        <v>1.0071008339630463</v>
      </c>
      <c r="K132" s="1060">
        <f t="shared" si="10"/>
        <v>1.6122277362800375</v>
      </c>
      <c r="L132" s="1061">
        <f t="shared" si="11"/>
        <v>1.885693340267839E-2</v>
      </c>
      <c r="M132" s="1059">
        <f>Tabelle1!$I$28</f>
        <v>26.8</v>
      </c>
      <c r="N132" s="1066" t="s">
        <v>1644</v>
      </c>
    </row>
    <row r="133" spans="1:14" ht="29">
      <c r="A133" s="1058" t="s">
        <v>1128</v>
      </c>
      <c r="B133" s="1058" t="s">
        <v>29</v>
      </c>
      <c r="C133" s="1058" t="s">
        <v>230</v>
      </c>
      <c r="D133" s="1058" t="s">
        <v>644</v>
      </c>
      <c r="E133" s="1058">
        <v>146</v>
      </c>
      <c r="F133" s="1058" t="s">
        <v>293</v>
      </c>
      <c r="G133" s="1061">
        <f>IF(ISNUMBER('Availabilities EU Austria'!$AE$146),'Availabilities EU Austria'!$AE$146,IF(ISNUMBER('Availabilities EU Austria'!$AE$137),'Availabilities EU Austria'!$AE$137,1))</f>
        <v>0.1</v>
      </c>
      <c r="H133" s="1060">
        <f>IF(ISNUMBER('Availabilities EU Austria'!$N$146),'Availabilities EU Austria'!$N$146,0)*$G133</f>
        <v>3.7416699428169107</v>
      </c>
      <c r="I133" s="1060">
        <f>IF(ISNUMBER('Availabilities EU Austria'!$Q$146),'Availabilities EU Austria'!$Q$146,0)*$G133</f>
        <v>3.7416699428169107</v>
      </c>
      <c r="J133" s="1060">
        <f>IF(ISNUMBER('Availabilities EU Austria'!$X$146),'Availabilities EU Austria'!$X$146,0)*$G133</f>
        <v>3.8131780786359912</v>
      </c>
      <c r="K133" s="1060">
        <f t="shared" si="10"/>
        <v>11.296517964269812</v>
      </c>
      <c r="L133" s="1061">
        <f t="shared" si="11"/>
        <v>0.13212630085740915</v>
      </c>
      <c r="M133" s="1059">
        <f>Tabelle1!$I$28</f>
        <v>26.8</v>
      </c>
      <c r="N133" s="1066" t="s">
        <v>1644</v>
      </c>
    </row>
    <row r="134" spans="1:14" ht="29">
      <c r="A134" s="1058" t="s">
        <v>1128</v>
      </c>
      <c r="B134" s="1058" t="s">
        <v>29</v>
      </c>
      <c r="C134" s="1058" t="s">
        <v>230</v>
      </c>
      <c r="D134" s="1058" t="s">
        <v>644</v>
      </c>
      <c r="E134" s="1058">
        <v>147</v>
      </c>
      <c r="F134" s="1058" t="s">
        <v>270</v>
      </c>
      <c r="G134" s="1061">
        <f>IF(ISNUMBER('Availabilities EU Austria'!$AE$147),'Availabilities EU Austria'!$AE$147,IF(ISNUMBER('Availabilities EU Austria'!$AE$137),'Availabilities EU Austria'!$AE$137,1))</f>
        <v>8.3333333333333329E-2</v>
      </c>
      <c r="H134" s="1060">
        <f>IF(ISNUMBER('Availabilities EU Austria'!$N$147),'Availabilities EU Austria'!$N$147,0)*$G134</f>
        <v>3.2734852732544515</v>
      </c>
      <c r="I134" s="1060">
        <f>IF(ISNUMBER('Availabilities EU Austria'!$Q$147),'Availabilities EU Austria'!$Q$147,0)*$G134</f>
        <v>4.5864410722732964</v>
      </c>
      <c r="J134" s="1060">
        <f>IF(ISNUMBER('Availabilities EU Austria'!$X$147),'Availabilities EU Austria'!$X$147,0)*$G134</f>
        <v>4.8841452671338175</v>
      </c>
      <c r="K134" s="1060">
        <f t="shared" si="10"/>
        <v>12.744071612661566</v>
      </c>
      <c r="L134" s="1061">
        <f t="shared" si="11"/>
        <v>0.14905717366791521</v>
      </c>
      <c r="M134" s="1059">
        <f>Tabelle1!$I$28</f>
        <v>26.8</v>
      </c>
      <c r="N134" s="1066" t="s">
        <v>1644</v>
      </c>
    </row>
    <row r="135" spans="1:14" ht="29">
      <c r="A135" s="1058" t="s">
        <v>1128</v>
      </c>
      <c r="B135" s="1058" t="s">
        <v>29</v>
      </c>
      <c r="C135" s="1058" t="s">
        <v>230</v>
      </c>
      <c r="D135" s="1058" t="s">
        <v>644</v>
      </c>
      <c r="E135" s="1058">
        <v>148</v>
      </c>
      <c r="F135" s="1058" t="s">
        <v>295</v>
      </c>
      <c r="G135" s="1061">
        <f>IF(ISNUMBER('Availabilities EU Austria'!$AE$148),'Availabilities EU Austria'!$AE$148,IF(ISNUMBER('Availabilities EU Austria'!$AE$137),'Availabilities EU Austria'!$AE$137,1))</f>
        <v>0.1</v>
      </c>
      <c r="H135" s="1060">
        <f>IF(ISNUMBER('Availabilities EU Austria'!$N$148),'Availabilities EU Austria'!$N$148,0)*$G135</f>
        <v>1.1766835672202423</v>
      </c>
      <c r="I135" s="1060">
        <f>IF(ISNUMBER('Availabilities EU Austria'!$Q$148),'Availabilities EU Austria'!$Q$148,0)*$G135</f>
        <v>1.5689114229603229</v>
      </c>
      <c r="J135" s="1060">
        <f>IF(ISNUMBER('Availabilities EU Austria'!$X$148),'Availabilities EU Austria'!$X$148,0)*$G135</f>
        <v>1.9030513419266741</v>
      </c>
      <c r="K135" s="1060">
        <f t="shared" si="10"/>
        <v>4.6486463321072389</v>
      </c>
      <c r="L135" s="1061">
        <f t="shared" si="11"/>
        <v>5.4371483832309733E-2</v>
      </c>
      <c r="M135" s="1059">
        <f>Tabelle1!$I$28</f>
        <v>26.8</v>
      </c>
      <c r="N135" s="1066" t="s">
        <v>1644</v>
      </c>
    </row>
    <row r="136" spans="1:14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4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4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4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4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4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4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4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4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</sheetData>
  <mergeCells count="3">
    <mergeCell ref="A1:N1"/>
    <mergeCell ref="A2:N2"/>
    <mergeCell ref="A32:N3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697F-743E-4400-BCDB-0D2D9EA9645B}">
  <sheetPr codeName="Tabelle2">
    <tabColor theme="4" tint="0.39997558519241921"/>
  </sheetPr>
  <dimension ref="A1:BI360"/>
  <sheetViews>
    <sheetView tabSelected="1" zoomScale="91" zoomScaleNormal="91" workbookViewId="0">
      <pane ySplit="6" topLeftCell="A71" activePane="bottomLeft" state="frozen"/>
      <selection pane="bottomLeft" activeCell="N79" sqref="N79"/>
    </sheetView>
  </sheetViews>
  <sheetFormatPr baseColWidth="10" defaultColWidth="10.81640625" defaultRowHeight="14.5" outlineLevelRow="1"/>
  <cols>
    <col min="1" max="1" width="4.453125" style="494" customWidth="1"/>
    <col min="2" max="2" width="16.453125" style="494" customWidth="1"/>
    <col min="3" max="3" width="14.1796875" style="494" customWidth="1"/>
    <col min="4" max="5" width="15.81640625" style="496" customWidth="1"/>
    <col min="6" max="6" width="11" style="494" customWidth="1"/>
    <col min="7" max="7" width="7" style="494" hidden="1" customWidth="1"/>
    <col min="8" max="8" width="6.26953125" style="494" hidden="1" customWidth="1"/>
    <col min="9" max="9" width="1.54296875" style="494" hidden="1" customWidth="1"/>
    <col min="10" max="10" width="9.54296875" style="503" customWidth="1"/>
    <col min="11" max="11" width="12.54296875" style="494" customWidth="1"/>
    <col min="12" max="12" width="13.26953125" style="494" hidden="1" customWidth="1"/>
    <col min="13" max="13" width="15.453125" style="494" hidden="1" customWidth="1"/>
    <col min="14" max="14" width="13.26953125" style="494" customWidth="1"/>
    <col min="15" max="15" width="6.453125" style="494" hidden="1" customWidth="1"/>
    <col min="16" max="16" width="6.1796875" style="494" hidden="1" customWidth="1"/>
    <col min="17" max="17" width="12.26953125" style="494" customWidth="1"/>
    <col min="18" max="18" width="11.453125" style="494" hidden="1" customWidth="1"/>
    <col min="19" max="19" width="13" style="494" hidden="1" customWidth="1"/>
    <col min="20" max="20" width="14.1796875" style="494" hidden="1" customWidth="1"/>
    <col min="21" max="21" width="6.81640625" style="494" hidden="1" customWidth="1"/>
    <col min="22" max="23" width="11.7265625" style="494" hidden="1" customWidth="1"/>
    <col min="24" max="24" width="13" style="494" customWidth="1"/>
    <col min="25" max="26" width="13" style="494" hidden="1" customWidth="1"/>
    <col min="27" max="30" width="13.453125" style="497" customWidth="1"/>
    <col min="31" max="31" width="15.1796875" style="963" customWidth="1"/>
    <col min="32" max="32" width="15.453125" style="963" customWidth="1"/>
    <col min="33" max="33" width="15.1796875" style="494" customWidth="1"/>
    <col min="34" max="34" width="19.26953125" style="494" customWidth="1"/>
    <col min="35" max="35" width="15.453125" style="498" customWidth="1"/>
    <col min="36" max="36" width="14.7265625" style="498" customWidth="1"/>
    <col min="37" max="37" width="13.54296875" style="657" customWidth="1"/>
    <col min="38" max="38" width="16.1796875" style="1002" customWidth="1"/>
    <col min="39" max="40" width="16.1796875" style="1003" customWidth="1"/>
    <col min="41" max="41" width="19.26953125" style="494" customWidth="1"/>
    <col min="42" max="42" width="15.1796875" style="494" hidden="1" customWidth="1"/>
    <col min="43" max="43" width="16.7265625" style="494" hidden="1" customWidth="1"/>
    <col min="44" max="44" width="16.1796875" style="494" hidden="1" customWidth="1"/>
    <col min="45" max="45" width="13.54296875" style="499" hidden="1" customWidth="1"/>
    <col min="46" max="46" width="11.7265625" style="499" hidden="1" customWidth="1"/>
    <col min="47" max="47" width="12.453125" style="499" hidden="1" customWidth="1"/>
    <col min="48" max="53" width="0" style="494" hidden="1" customWidth="1"/>
    <col min="54" max="54" width="14.1796875" style="494" hidden="1" customWidth="1"/>
    <col min="55" max="55" width="17.81640625" style="494" hidden="1" customWidth="1"/>
    <col min="56" max="58" width="0" style="499" hidden="1" customWidth="1"/>
    <col min="59" max="59" width="16.81640625" style="494" customWidth="1"/>
    <col min="60" max="16384" width="10.81640625" style="494"/>
  </cols>
  <sheetData>
    <row r="1" spans="1:61" customFormat="1" ht="15" customHeight="1">
      <c r="A1" s="494"/>
      <c r="B1" s="495"/>
      <c r="C1" s="494"/>
      <c r="D1" s="496"/>
      <c r="E1" s="496"/>
      <c r="F1" s="494"/>
      <c r="G1" s="1079" t="s">
        <v>34</v>
      </c>
      <c r="H1" s="1079"/>
      <c r="I1" s="494" t="s">
        <v>84</v>
      </c>
      <c r="J1" s="503"/>
      <c r="K1" s="494"/>
      <c r="L1" s="494"/>
      <c r="M1" s="494"/>
      <c r="N1" s="494" t="s">
        <v>84</v>
      </c>
      <c r="O1" s="494" t="s">
        <v>84</v>
      </c>
      <c r="P1" s="494" t="s">
        <v>84</v>
      </c>
      <c r="Q1" s="494"/>
      <c r="R1" s="494"/>
      <c r="S1" s="494" t="s">
        <v>84</v>
      </c>
      <c r="T1" s="494" t="s">
        <v>84</v>
      </c>
      <c r="U1" s="494" t="s">
        <v>84</v>
      </c>
      <c r="V1" s="494" t="s">
        <v>84</v>
      </c>
      <c r="W1" s="494"/>
      <c r="X1" s="494" t="s">
        <v>84</v>
      </c>
      <c r="Y1" s="494"/>
      <c r="Z1" s="494"/>
      <c r="AA1" s="497"/>
      <c r="AB1" s="497"/>
      <c r="AC1" s="497"/>
      <c r="AD1" s="497"/>
      <c r="AE1" s="963"/>
      <c r="AF1" s="963"/>
      <c r="AG1" s="494" t="s">
        <v>305</v>
      </c>
      <c r="AH1" s="494"/>
      <c r="AI1" s="498"/>
      <c r="AJ1" s="498"/>
      <c r="AK1" s="657"/>
      <c r="AL1" s="1002"/>
      <c r="AM1" s="1003"/>
      <c r="AN1" s="1003"/>
      <c r="AO1" s="494" t="s">
        <v>305</v>
      </c>
      <c r="AP1" s="494">
        <v>3</v>
      </c>
      <c r="AQ1" s="494" t="s">
        <v>303</v>
      </c>
      <c r="AR1" s="494" t="s">
        <v>303</v>
      </c>
      <c r="AS1" s="499" t="s">
        <v>306</v>
      </c>
      <c r="AT1" s="499" t="s">
        <v>306</v>
      </c>
      <c r="AU1" s="499" t="s">
        <v>306</v>
      </c>
      <c r="AV1" s="494" t="s">
        <v>307</v>
      </c>
      <c r="AW1" s="494" t="s">
        <v>307</v>
      </c>
      <c r="AX1" s="494" t="s">
        <v>307</v>
      </c>
      <c r="AY1" s="494" t="s">
        <v>307</v>
      </c>
      <c r="AZ1" s="494" t="s">
        <v>307</v>
      </c>
      <c r="BA1" s="494" t="s">
        <v>307</v>
      </c>
      <c r="BB1" s="494" t="s">
        <v>308</v>
      </c>
      <c r="BC1" s="494" t="s">
        <v>309</v>
      </c>
      <c r="BD1" s="499" t="s">
        <v>310</v>
      </c>
      <c r="BE1" s="499" t="s">
        <v>310</v>
      </c>
      <c r="BF1" s="499" t="s">
        <v>310</v>
      </c>
    </row>
    <row r="2" spans="1:61" s="69" customFormat="1" ht="15" customHeight="1">
      <c r="A2" s="500"/>
      <c r="B2" s="501"/>
      <c r="C2" s="500"/>
      <c r="D2" s="500"/>
      <c r="E2" s="500"/>
      <c r="F2" s="500"/>
      <c r="G2" s="1079"/>
      <c r="H2" s="1079"/>
      <c r="I2" s="500"/>
      <c r="J2" s="852"/>
      <c r="K2" s="500"/>
      <c r="L2" s="500"/>
      <c r="M2" s="500"/>
      <c r="N2" s="500"/>
      <c r="O2" s="500"/>
      <c r="P2" s="500"/>
      <c r="Q2" s="500"/>
      <c r="R2" s="500"/>
      <c r="S2" s="500"/>
      <c r="T2" s="500"/>
      <c r="U2" s="500"/>
      <c r="V2" s="500"/>
      <c r="W2" s="500"/>
      <c r="X2" s="500"/>
      <c r="Y2" s="500"/>
      <c r="Z2" s="500"/>
      <c r="AA2" s="497"/>
      <c r="AB2" s="497"/>
      <c r="AC2" s="497"/>
      <c r="AD2" s="497"/>
      <c r="AE2" s="963"/>
      <c r="AF2" s="963"/>
      <c r="AG2" s="500"/>
      <c r="AH2" s="500"/>
      <c r="AI2" s="500"/>
      <c r="AJ2" s="500"/>
      <c r="AK2" s="502"/>
      <c r="AL2" s="502"/>
      <c r="AM2" s="502"/>
      <c r="AN2" s="502"/>
      <c r="AO2" s="500"/>
      <c r="AP2" s="500"/>
      <c r="AQ2" s="500"/>
      <c r="AR2" s="500"/>
      <c r="AS2" s="502"/>
      <c r="AT2" s="502"/>
      <c r="AU2" s="502"/>
      <c r="AV2" s="500"/>
      <c r="AW2" s="500"/>
      <c r="AX2" s="500"/>
      <c r="AY2" s="500"/>
      <c r="AZ2" s="500"/>
      <c r="BA2" s="500"/>
      <c r="BB2" s="500"/>
      <c r="BC2" s="500"/>
      <c r="BD2" s="502"/>
      <c r="BE2" s="502"/>
      <c r="BF2" s="502"/>
    </row>
    <row r="3" spans="1:61" s="69" customFormat="1" ht="15" customHeight="1">
      <c r="A3" s="500" t="s">
        <v>787</v>
      </c>
      <c r="B3" s="501"/>
      <c r="C3" s="500"/>
      <c r="D3" s="500"/>
      <c r="E3" s="500"/>
      <c r="F3" s="500"/>
      <c r="G3" s="1079"/>
      <c r="H3" s="1079"/>
      <c r="I3" s="500"/>
      <c r="J3" s="852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0"/>
      <c r="Y3" s="500"/>
      <c r="Z3" s="500"/>
      <c r="AA3" s="497"/>
      <c r="AB3" s="497"/>
      <c r="AC3" s="497"/>
      <c r="AD3" s="497"/>
      <c r="AE3" s="963"/>
      <c r="AF3" s="963"/>
      <c r="AG3" s="500"/>
      <c r="AH3" s="500"/>
      <c r="AI3" s="500"/>
      <c r="AJ3" s="500"/>
      <c r="AK3" s="502"/>
      <c r="AL3" s="502"/>
      <c r="AM3" s="502"/>
      <c r="AN3" s="502"/>
      <c r="AO3" s="500"/>
      <c r="AP3" s="500"/>
      <c r="AQ3" s="500"/>
      <c r="AR3" s="500"/>
      <c r="AS3" s="502"/>
      <c r="AT3" s="502"/>
      <c r="AU3" s="502"/>
      <c r="AV3" s="500"/>
      <c r="AW3" s="500"/>
      <c r="AX3" s="500"/>
      <c r="AY3" s="500"/>
      <c r="AZ3" s="500"/>
      <c r="BA3" s="500"/>
      <c r="BB3" s="500"/>
      <c r="BC3" s="500"/>
      <c r="BD3" s="502"/>
      <c r="BE3" s="502"/>
      <c r="BF3" s="502"/>
    </row>
    <row r="4" spans="1:61" s="6" customFormat="1" ht="15" customHeight="1">
      <c r="A4" s="503"/>
      <c r="B4" s="503"/>
      <c r="C4" s="503"/>
      <c r="D4" s="504"/>
      <c r="E4" s="504"/>
      <c r="F4" s="503"/>
      <c r="G4" s="1079"/>
      <c r="H4" s="1079"/>
      <c r="I4" s="505">
        <v>2030</v>
      </c>
      <c r="J4" s="837"/>
      <c r="K4" s="505"/>
      <c r="L4" s="505"/>
      <c r="M4" s="505"/>
      <c r="N4" s="506" t="s">
        <v>261</v>
      </c>
      <c r="O4" s="506">
        <v>2030</v>
      </c>
      <c r="P4" s="506">
        <v>2040</v>
      </c>
      <c r="Q4" s="507" t="s">
        <v>961</v>
      </c>
      <c r="R4" s="508">
        <v>2035</v>
      </c>
      <c r="S4" s="508">
        <v>2040</v>
      </c>
      <c r="T4" s="508">
        <v>2040</v>
      </c>
      <c r="U4" s="508">
        <v>2050</v>
      </c>
      <c r="V4" s="508">
        <v>2050</v>
      </c>
      <c r="W4" s="508">
        <v>2045</v>
      </c>
      <c r="X4" s="507" t="s">
        <v>263</v>
      </c>
      <c r="Y4" s="582" t="s">
        <v>160</v>
      </c>
      <c r="Z4" s="582"/>
      <c r="AA4" s="582"/>
      <c r="AB4" s="582" t="s">
        <v>662</v>
      </c>
      <c r="AC4" s="582"/>
      <c r="AD4" s="582"/>
      <c r="AE4" s="963" t="s">
        <v>628</v>
      </c>
      <c r="AF4" s="963"/>
      <c r="AG4" s="503"/>
      <c r="AH4" s="494"/>
      <c r="AI4" s="498"/>
      <c r="AJ4" s="498"/>
      <c r="AK4" s="657"/>
      <c r="AL4" s="1002"/>
      <c r="AM4" s="1003"/>
      <c r="AN4" s="1003"/>
      <c r="AO4" s="494"/>
      <c r="AP4" s="503" t="s">
        <v>65</v>
      </c>
      <c r="AQ4" s="503" t="s">
        <v>66</v>
      </c>
      <c r="AR4" s="503" t="s">
        <v>67</v>
      </c>
      <c r="AS4" s="494" t="s">
        <v>628</v>
      </c>
      <c r="AT4" s="494" t="s">
        <v>628</v>
      </c>
      <c r="AU4" s="494" t="s">
        <v>628</v>
      </c>
      <c r="AV4" s="503" t="s">
        <v>65</v>
      </c>
      <c r="AW4" s="503" t="s">
        <v>66</v>
      </c>
      <c r="AX4" s="503" t="s">
        <v>67</v>
      </c>
      <c r="AY4" s="503" t="s">
        <v>65</v>
      </c>
      <c r="AZ4" s="503" t="s">
        <v>66</v>
      </c>
      <c r="BA4" s="503" t="s">
        <v>67</v>
      </c>
      <c r="BB4" s="503" t="s">
        <v>78</v>
      </c>
      <c r="BC4" s="494" t="s">
        <v>309</v>
      </c>
      <c r="BD4" s="499" t="s">
        <v>310</v>
      </c>
      <c r="BE4" s="499" t="s">
        <v>310</v>
      </c>
      <c r="BF4" s="499" t="s">
        <v>310</v>
      </c>
    </row>
    <row r="5" spans="1:61" s="6" customFormat="1">
      <c r="A5" s="509" t="s">
        <v>0</v>
      </c>
      <c r="B5" s="509" t="s">
        <v>1</v>
      </c>
      <c r="C5" s="509" t="s">
        <v>42</v>
      </c>
      <c r="D5" s="509" t="s">
        <v>965</v>
      </c>
      <c r="E5" s="509" t="s">
        <v>1176</v>
      </c>
      <c r="F5" s="509" t="s">
        <v>41</v>
      </c>
      <c r="G5" s="510" t="s">
        <v>32</v>
      </c>
      <c r="H5" s="510" t="s">
        <v>33</v>
      </c>
      <c r="I5" s="511" t="s">
        <v>83</v>
      </c>
      <c r="J5" s="509" t="s">
        <v>1024</v>
      </c>
      <c r="K5" s="511" t="s">
        <v>260</v>
      </c>
      <c r="L5" s="511" t="s">
        <v>784</v>
      </c>
      <c r="M5" s="511" t="s">
        <v>965</v>
      </c>
      <c r="N5" s="511" t="s">
        <v>962</v>
      </c>
      <c r="O5" s="511" t="s">
        <v>83</v>
      </c>
      <c r="P5" s="511" t="s">
        <v>83</v>
      </c>
      <c r="Q5" s="511" t="s">
        <v>962</v>
      </c>
      <c r="R5" s="511"/>
      <c r="S5" s="511" t="s">
        <v>83</v>
      </c>
      <c r="T5" s="511" t="s">
        <v>83</v>
      </c>
      <c r="U5" s="511" t="s">
        <v>83</v>
      </c>
      <c r="V5" s="511" t="s">
        <v>83</v>
      </c>
      <c r="W5" s="511"/>
      <c r="X5" s="511" t="s">
        <v>962</v>
      </c>
      <c r="Y5" s="284" t="s">
        <v>480</v>
      </c>
      <c r="Z5" s="578" t="s">
        <v>375</v>
      </c>
      <c r="AA5" s="818" t="s">
        <v>1043</v>
      </c>
      <c r="AB5" s="818" t="s">
        <v>1358</v>
      </c>
      <c r="AC5" s="818"/>
      <c r="AD5" s="818"/>
      <c r="AE5" s="1001" t="s">
        <v>1356</v>
      </c>
      <c r="AF5" s="1001" t="s">
        <v>1357</v>
      </c>
      <c r="AG5" s="511" t="s">
        <v>85</v>
      </c>
      <c r="AH5" s="511" t="s">
        <v>783</v>
      </c>
      <c r="AI5" s="511" t="s">
        <v>1032</v>
      </c>
      <c r="AJ5" s="511" t="s">
        <v>1032</v>
      </c>
      <c r="AK5" s="513" t="s">
        <v>85</v>
      </c>
      <c r="AL5" s="513" t="s">
        <v>85</v>
      </c>
      <c r="AM5" s="513"/>
      <c r="AN5" s="513" t="s">
        <v>85</v>
      </c>
      <c r="AO5" s="511" t="s">
        <v>85</v>
      </c>
      <c r="AP5" s="512" t="s">
        <v>72</v>
      </c>
      <c r="AQ5" s="512" t="s">
        <v>72</v>
      </c>
      <c r="AR5" s="512" t="s">
        <v>72</v>
      </c>
      <c r="AS5" s="513" t="s">
        <v>442</v>
      </c>
      <c r="AT5" s="513" t="s">
        <v>442</v>
      </c>
      <c r="AU5" s="513" t="s">
        <v>442</v>
      </c>
      <c r="AV5" s="511" t="s">
        <v>72</v>
      </c>
      <c r="AW5" s="511" t="s">
        <v>72</v>
      </c>
      <c r="AX5" s="511" t="s">
        <v>72</v>
      </c>
      <c r="AY5" s="511" t="s">
        <v>75</v>
      </c>
      <c r="AZ5" s="511" t="s">
        <v>75</v>
      </c>
      <c r="BA5" s="511" t="s">
        <v>75</v>
      </c>
      <c r="BB5" s="510" t="s">
        <v>76</v>
      </c>
      <c r="BC5" s="510" t="s">
        <v>89</v>
      </c>
      <c r="BD5" s="513" t="s">
        <v>97</v>
      </c>
      <c r="BE5" s="513" t="s">
        <v>97</v>
      </c>
      <c r="BF5" s="513" t="s">
        <v>97</v>
      </c>
      <c r="BG5" s="511" t="s">
        <v>85</v>
      </c>
    </row>
    <row r="6" spans="1:61" customFormat="1" ht="39.5" customHeight="1">
      <c r="A6" s="514"/>
      <c r="B6" s="514"/>
      <c r="C6" s="514"/>
      <c r="D6" s="515"/>
      <c r="E6" s="515"/>
      <c r="F6" s="514"/>
      <c r="G6" s="516" t="s">
        <v>37</v>
      </c>
      <c r="H6" s="516" t="s">
        <v>38</v>
      </c>
      <c r="I6" s="516" t="s">
        <v>80</v>
      </c>
      <c r="J6" s="516"/>
      <c r="K6" s="516"/>
      <c r="L6" s="516"/>
      <c r="M6" s="516"/>
      <c r="N6" s="517" t="s">
        <v>960</v>
      </c>
      <c r="O6" s="516" t="s">
        <v>82</v>
      </c>
      <c r="P6" s="516" t="s">
        <v>80</v>
      </c>
      <c r="Q6" s="518" t="s">
        <v>960</v>
      </c>
      <c r="R6" s="518" t="s">
        <v>785</v>
      </c>
      <c r="S6" s="518" t="s">
        <v>81</v>
      </c>
      <c r="T6" s="518" t="s">
        <v>82</v>
      </c>
      <c r="U6" s="518" t="s">
        <v>80</v>
      </c>
      <c r="V6" s="518" t="s">
        <v>81</v>
      </c>
      <c r="W6" s="518" t="s">
        <v>786</v>
      </c>
      <c r="X6" s="518" t="s">
        <v>960</v>
      </c>
      <c r="Y6" s="581"/>
      <c r="Z6" s="581"/>
      <c r="AA6" s="519"/>
      <c r="AB6" s="519"/>
      <c r="AC6" s="519"/>
      <c r="AD6" s="519"/>
      <c r="AE6" s="964"/>
      <c r="AF6" s="964"/>
      <c r="AG6" s="796" t="s">
        <v>951</v>
      </c>
      <c r="AH6" s="796" t="s">
        <v>1081</v>
      </c>
      <c r="AI6" s="797" t="s">
        <v>953</v>
      </c>
      <c r="AJ6" s="797" t="s">
        <v>1042</v>
      </c>
      <c r="AK6" s="798" t="s">
        <v>1349</v>
      </c>
      <c r="AL6" s="1004" t="s">
        <v>1350</v>
      </c>
      <c r="AM6" s="798" t="s">
        <v>963</v>
      </c>
      <c r="AN6" s="1005" t="s">
        <v>1355</v>
      </c>
      <c r="AO6" s="516" t="s">
        <v>952</v>
      </c>
      <c r="AP6" s="516" t="s">
        <v>86</v>
      </c>
      <c r="AQ6" s="516" t="s">
        <v>87</v>
      </c>
      <c r="AR6" s="516" t="s">
        <v>88</v>
      </c>
      <c r="AS6" s="520" t="s">
        <v>94</v>
      </c>
      <c r="AT6" s="520" t="s">
        <v>95</v>
      </c>
      <c r="AU6" s="520" t="s">
        <v>96</v>
      </c>
      <c r="AV6" s="516">
        <v>2030</v>
      </c>
      <c r="AW6" s="516">
        <v>2040</v>
      </c>
      <c r="AX6" s="516">
        <v>2050</v>
      </c>
      <c r="AY6" s="516">
        <v>2030</v>
      </c>
      <c r="AZ6" s="516">
        <v>2040</v>
      </c>
      <c r="BA6" s="516">
        <v>2050</v>
      </c>
      <c r="BB6" s="516" t="s">
        <v>77</v>
      </c>
      <c r="BC6" s="494"/>
      <c r="BD6" s="520" t="s">
        <v>86</v>
      </c>
      <c r="BE6" s="520" t="s">
        <v>87</v>
      </c>
      <c r="BF6" s="520" t="s">
        <v>88</v>
      </c>
      <c r="BG6" s="516" t="s">
        <v>1079</v>
      </c>
    </row>
    <row r="7" spans="1:61" s="601" customFormat="1">
      <c r="A7" s="515">
        <v>1</v>
      </c>
      <c r="B7" s="563" t="s">
        <v>2</v>
      </c>
      <c r="C7" s="563" t="s">
        <v>43</v>
      </c>
      <c r="D7" s="563" t="s">
        <v>966</v>
      </c>
      <c r="E7" s="563" t="s">
        <v>1140</v>
      </c>
      <c r="F7" s="563" t="s">
        <v>640</v>
      </c>
      <c r="G7" s="515">
        <v>9</v>
      </c>
      <c r="H7" s="515">
        <v>6</v>
      </c>
      <c r="I7" s="593">
        <v>2.5399439848742444</v>
      </c>
      <c r="J7" s="853" t="s">
        <v>1030</v>
      </c>
      <c r="K7" s="515" t="s">
        <v>950</v>
      </c>
      <c r="L7" s="515"/>
      <c r="M7" s="515"/>
      <c r="N7" s="593"/>
      <c r="O7" s="593">
        <f t="shared" ref="O7:W7" si="0">SUM(O8:O8)</f>
        <v>0</v>
      </c>
      <c r="P7" s="593">
        <f t="shared" si="0"/>
        <v>0</v>
      </c>
      <c r="Q7" s="593"/>
      <c r="R7" s="593">
        <f t="shared" si="0"/>
        <v>0</v>
      </c>
      <c r="S7" s="593">
        <f t="shared" si="0"/>
        <v>0</v>
      </c>
      <c r="T7" s="593">
        <f t="shared" si="0"/>
        <v>0</v>
      </c>
      <c r="U7" s="593">
        <f t="shared" si="0"/>
        <v>0</v>
      </c>
      <c r="V7" s="593">
        <f t="shared" si="0"/>
        <v>0</v>
      </c>
      <c r="W7" s="593">
        <f t="shared" si="0"/>
        <v>0</v>
      </c>
      <c r="X7" s="593"/>
      <c r="Y7" s="593"/>
      <c r="Z7" s="593"/>
      <c r="AA7" s="515"/>
      <c r="AB7" s="515"/>
      <c r="AC7" s="515"/>
      <c r="AD7" s="515"/>
      <c r="AE7" s="965"/>
      <c r="AF7" s="965"/>
      <c r="AG7" s="608">
        <v>0</v>
      </c>
      <c r="AH7" s="608">
        <v>0</v>
      </c>
      <c r="AI7" s="595">
        <v>0</v>
      </c>
      <c r="AJ7" s="595">
        <v>0</v>
      </c>
      <c r="AK7" s="595">
        <v>0</v>
      </c>
      <c r="AL7" s="595">
        <v>0</v>
      </c>
      <c r="AM7" s="595">
        <v>0</v>
      </c>
      <c r="AN7" s="595">
        <v>0</v>
      </c>
      <c r="AO7" s="595">
        <v>0</v>
      </c>
      <c r="AP7" s="595">
        <f t="shared" ref="AP7:BF7" si="1">SUM(AP8:AP9)</f>
        <v>0</v>
      </c>
      <c r="AQ7" s="595">
        <f t="shared" si="1"/>
        <v>0</v>
      </c>
      <c r="AR7" s="595">
        <f t="shared" si="1"/>
        <v>0</v>
      </c>
      <c r="AS7" s="595">
        <f t="shared" si="1"/>
        <v>0</v>
      </c>
      <c r="AT7" s="595">
        <f t="shared" si="1"/>
        <v>0</v>
      </c>
      <c r="AU7" s="595">
        <f t="shared" si="1"/>
        <v>0</v>
      </c>
      <c r="AV7" s="595">
        <f t="shared" si="1"/>
        <v>0</v>
      </c>
      <c r="AW7" s="595">
        <f t="shared" si="1"/>
        <v>0</v>
      </c>
      <c r="AX7" s="595">
        <f t="shared" si="1"/>
        <v>0</v>
      </c>
      <c r="AY7" s="595">
        <f t="shared" si="1"/>
        <v>0</v>
      </c>
      <c r="AZ7" s="595">
        <f t="shared" si="1"/>
        <v>0</v>
      </c>
      <c r="BA7" s="595">
        <f t="shared" si="1"/>
        <v>0</v>
      </c>
      <c r="BB7" s="595">
        <f t="shared" si="1"/>
        <v>0</v>
      </c>
      <c r="BC7" s="595">
        <f t="shared" si="1"/>
        <v>0</v>
      </c>
      <c r="BD7" s="595">
        <f t="shared" si="1"/>
        <v>0</v>
      </c>
      <c r="BE7" s="595">
        <f t="shared" si="1"/>
        <v>0</v>
      </c>
      <c r="BF7" s="595">
        <f t="shared" si="1"/>
        <v>0</v>
      </c>
      <c r="BG7" s="595">
        <v>0</v>
      </c>
    </row>
    <row r="8" spans="1:61" s="614" customFormat="1" outlineLevel="1">
      <c r="A8" s="615"/>
      <c r="B8" s="615"/>
      <c r="C8" s="615"/>
      <c r="D8" s="616"/>
      <c r="E8" s="616"/>
      <c r="F8" s="615"/>
      <c r="G8" s="615"/>
      <c r="H8" s="615"/>
      <c r="I8" s="613"/>
      <c r="J8" s="855"/>
      <c r="K8" s="613" t="s">
        <v>264</v>
      </c>
      <c r="L8" s="613" t="s">
        <v>790</v>
      </c>
      <c r="M8" s="768" t="s">
        <v>1035</v>
      </c>
      <c r="N8" s="613">
        <f>SUM('EU-27_Medium_2030'!F32+'EU-27_Medium_2030'!I32+'EU-27_Medium_2030'!L32)/1000000</f>
        <v>0.49572711273501602</v>
      </c>
      <c r="O8" s="613"/>
      <c r="P8" s="613"/>
      <c r="Q8" s="613">
        <f>SUM('EU-27_High_2030-2050'!F33+'EU-27_High_2030-2050'!I33+'EU-27_High_2030-2050'!L33)/1000000</f>
        <v>1.1703177429688374</v>
      </c>
      <c r="R8" s="613"/>
      <c r="S8" s="613"/>
      <c r="T8" s="613"/>
      <c r="U8" s="613"/>
      <c r="V8" s="613"/>
      <c r="W8" s="613"/>
      <c r="X8" s="613">
        <f>SUM('EU-27_High_2030-2050'!BA33+'EU-27_High_2030-2050'!BD33+'EU-27_High_2030-2050'!BG33)/1000000</f>
        <v>4.0986605345032272</v>
      </c>
      <c r="Y8" s="613"/>
      <c r="Z8" s="613"/>
      <c r="AA8" s="619">
        <f>'Conversion factors selected IV '!L$4</f>
        <v>0.87842743861660455</v>
      </c>
      <c r="AB8" s="619"/>
      <c r="AC8" s="619"/>
      <c r="AD8" s="619"/>
      <c r="AE8" s="966">
        <f>1/'IVCs relevant in 2030'!R$3</f>
        <v>1</v>
      </c>
      <c r="AF8" s="966">
        <f>1/'IVCs relevant 2040-2050'!T$3</f>
        <v>0.5</v>
      </c>
      <c r="AG8" s="620">
        <f>N8*AA8*AE8</f>
        <v>0.43546029789262486</v>
      </c>
      <c r="AH8" s="620">
        <f>AG8*11630</f>
        <v>5064.4032644912268</v>
      </c>
      <c r="AI8" s="620">
        <f>Q8*AA8*AE8</f>
        <v>1.0280392173236816</v>
      </c>
      <c r="AJ8" s="622">
        <f>AI8*11630</f>
        <v>11956.096097474418</v>
      </c>
      <c r="AK8" s="531">
        <f>AG8+0.25*(AO8-AG8)</f>
        <v>0.77664220780479776</v>
      </c>
      <c r="AL8" s="1006">
        <f>AI8+0.25*(AO8-AI8)</f>
        <v>1.2210763973780905</v>
      </c>
      <c r="AM8" s="1007">
        <f>AG8+0.5*(AO8-AG8)</f>
        <v>1.1178241177169705</v>
      </c>
      <c r="AN8" s="1007">
        <f>AI8+0.5*(AO8-AI8)</f>
        <v>1.4141135774324991</v>
      </c>
      <c r="AO8" s="769">
        <f>X8*AA8*AF8</f>
        <v>1.8001879375413166</v>
      </c>
      <c r="AP8" s="613"/>
      <c r="AQ8" s="613"/>
      <c r="AR8" s="613"/>
      <c r="AS8" s="624"/>
      <c r="AT8" s="624"/>
      <c r="AU8" s="624"/>
      <c r="AV8" s="625"/>
      <c r="AW8" s="625"/>
      <c r="AX8" s="625"/>
      <c r="AY8" s="625"/>
      <c r="AZ8" s="625"/>
      <c r="BA8" s="625"/>
      <c r="BB8" s="626"/>
      <c r="BC8" s="625"/>
      <c r="BD8" s="615"/>
      <c r="BE8" s="627"/>
      <c r="BF8" s="615"/>
      <c r="BG8" s="770"/>
      <c r="BI8" s="896"/>
    </row>
    <row r="9" spans="1:61" s="614" customFormat="1" outlineLevel="1">
      <c r="A9" s="615"/>
      <c r="B9" s="615"/>
      <c r="C9" s="615"/>
      <c r="D9" s="616"/>
      <c r="E9" s="616"/>
      <c r="F9" s="615"/>
      <c r="G9" s="615"/>
      <c r="H9" s="615"/>
      <c r="I9" s="613"/>
      <c r="J9" s="855"/>
      <c r="K9" s="613" t="s">
        <v>266</v>
      </c>
      <c r="L9" s="613" t="s">
        <v>267</v>
      </c>
      <c r="M9" s="768" t="s">
        <v>967</v>
      </c>
      <c r="N9" s="613">
        <f>SUM('EU-27_Medium_2030'!AM32+'EU-27_Medium_2030'!AQ32+'EU-27_Medium_2030'!AR32)/1000000</f>
        <v>3.483672057731634</v>
      </c>
      <c r="O9" s="613"/>
      <c r="P9" s="613"/>
      <c r="Q9" s="613">
        <f>SUM('EU-27_High_2030-2050'!AM33+'EU-27_High_2030-2050'!AQ33+'EU-27_High_2030-2050'!AR33)/1000000</f>
        <v>6.0425235427392368</v>
      </c>
      <c r="R9" s="613"/>
      <c r="S9" s="613"/>
      <c r="T9" s="613"/>
      <c r="U9" s="613"/>
      <c r="V9" s="613"/>
      <c r="W9" s="613"/>
      <c r="X9" s="613">
        <f>SUM('EU-27_High_2030-2050'!CH33+'EU-27_High_2030-2050'!CL33+'EU-27_High_2030-2050'!CM33)/1000000</f>
        <v>9.6013731616159941</v>
      </c>
      <c r="AA9" s="619">
        <f>'Conversion factors selected IV '!L$5</f>
        <v>0.84818930999098818</v>
      </c>
      <c r="AB9" s="619"/>
      <c r="AC9" s="619"/>
      <c r="AD9" s="619"/>
      <c r="AE9" s="967">
        <f>1/'IVCs relevant in 2030'!R$14</f>
        <v>0.5</v>
      </c>
      <c r="AF9" s="968">
        <f>1/'IVCs relevant 2040-2050'!T$14</f>
        <v>0.5</v>
      </c>
      <c r="AG9" s="620">
        <f>N9*AA9*AE9</f>
        <v>1.4774066994411403</v>
      </c>
      <c r="AH9" s="620">
        <f>AG9*11630</f>
        <v>17182.239914500464</v>
      </c>
      <c r="AI9" s="620">
        <f>Q9*AA9*AE9</f>
        <v>2.5626019371601472</v>
      </c>
      <c r="AJ9" s="622">
        <f t="shared" ref="AJ9:AJ15" si="2">AI9*11630</f>
        <v>29803.060529172511</v>
      </c>
      <c r="AK9" s="531">
        <f>AG9+0.25*(AO9-AG9)</f>
        <v>2.1260277841954882</v>
      </c>
      <c r="AL9" s="1006">
        <f>AI9+0.25*(AO9-AI9)</f>
        <v>2.9399242124847431</v>
      </c>
      <c r="AM9" s="1007">
        <f>AG9+0.5*(AO9-AG9)</f>
        <v>2.7746488689498356</v>
      </c>
      <c r="AN9" s="1007">
        <f>AI9+0.5*(AO9-AI9)</f>
        <v>3.3172464878093395</v>
      </c>
      <c r="AO9" s="769">
        <f>X9*AA9*AF9</f>
        <v>4.0718910384585314</v>
      </c>
      <c r="AP9" s="613"/>
      <c r="AQ9" s="613"/>
      <c r="AR9" s="613"/>
      <c r="AS9" s="624"/>
      <c r="AT9" s="624"/>
      <c r="AU9" s="624"/>
      <c r="AV9" s="625"/>
      <c r="AW9" s="625"/>
      <c r="AX9" s="625"/>
      <c r="AY9" s="625"/>
      <c r="AZ9" s="625"/>
      <c r="BA9" s="625"/>
      <c r="BB9" s="626"/>
      <c r="BC9" s="625"/>
      <c r="BD9" s="615"/>
      <c r="BE9" s="627"/>
      <c r="BF9" s="615"/>
      <c r="BG9" s="770">
        <f>AO9*11630</f>
        <v>47356.092777272723</v>
      </c>
      <c r="BI9" s="36"/>
    </row>
    <row r="10" spans="1:61" s="601" customFormat="1">
      <c r="A10" s="515">
        <v>2</v>
      </c>
      <c r="B10" s="563" t="s">
        <v>3</v>
      </c>
      <c r="C10" s="563" t="s">
        <v>44</v>
      </c>
      <c r="D10" s="563" t="s">
        <v>966</v>
      </c>
      <c r="E10" s="563" t="s">
        <v>1140</v>
      </c>
      <c r="F10" s="563" t="s">
        <v>640</v>
      </c>
      <c r="G10" s="515"/>
      <c r="H10" s="515"/>
      <c r="I10" s="593"/>
      <c r="J10" s="853" t="s">
        <v>1031</v>
      </c>
      <c r="K10" s="593" t="s">
        <v>950</v>
      </c>
      <c r="L10" s="593"/>
      <c r="M10" s="593"/>
      <c r="N10" s="593">
        <f>N13+N14+N15</f>
        <v>6.3480428594768199</v>
      </c>
      <c r="O10" s="593" t="e">
        <f t="shared" ref="O10:Z10" si="3">O13+O14+O15</f>
        <v>#REF!</v>
      </c>
      <c r="P10" s="593" t="e">
        <f t="shared" si="3"/>
        <v>#REF!</v>
      </c>
      <c r="Q10" s="593">
        <f>Q13+Q14+Q15</f>
        <v>8.9686926412541244</v>
      </c>
      <c r="R10" s="593" t="e">
        <f t="shared" si="3"/>
        <v>#REF!</v>
      </c>
      <c r="S10" s="593" t="e">
        <f t="shared" si="3"/>
        <v>#REF!</v>
      </c>
      <c r="T10" s="593" t="e">
        <f t="shared" si="3"/>
        <v>#REF!</v>
      </c>
      <c r="U10" s="593" t="e">
        <f t="shared" si="3"/>
        <v>#REF!</v>
      </c>
      <c r="V10" s="593" t="e">
        <f t="shared" si="3"/>
        <v>#REF!</v>
      </c>
      <c r="W10" s="593" t="e">
        <f t="shared" si="3"/>
        <v>#REF!</v>
      </c>
      <c r="X10" s="593">
        <f t="shared" si="3"/>
        <v>14.921232086754733</v>
      </c>
      <c r="Y10" s="593">
        <f t="shared" si="3"/>
        <v>0</v>
      </c>
      <c r="Z10" s="593">
        <f t="shared" si="3"/>
        <v>0</v>
      </c>
      <c r="AA10" s="593"/>
      <c r="AB10" s="593">
        <f>AB13+AB14+AB15</f>
        <v>1.2285053574346025</v>
      </c>
      <c r="AC10" s="593">
        <f>AC13+AC14+AC15</f>
        <v>1.7060865801567653</v>
      </c>
      <c r="AD10" s="593">
        <f>AD13+AD14+AD15</f>
        <v>0.82153080216886831</v>
      </c>
      <c r="AE10" s="834"/>
      <c r="AF10" s="515"/>
      <c r="AG10" s="955">
        <f>AG13+AG14+AG15</f>
        <v>0.29631777663072589</v>
      </c>
      <c r="AH10" s="595">
        <f>AH13+AH14+AH15</f>
        <v>3446.1757422153423</v>
      </c>
      <c r="AI10" s="835">
        <f>AI13+AI14+AI15</f>
        <v>0.4712049436871445</v>
      </c>
      <c r="AJ10" s="595">
        <f>AJ13+AJ14+AJ15</f>
        <v>5480.1134950814903</v>
      </c>
      <c r="AK10" s="594">
        <f>SUM(AK13+AK14+AK15)</f>
        <v>0.27254061669371477</v>
      </c>
      <c r="AL10" s="594">
        <f>SUM(AL13+AL14+AL15)</f>
        <v>0.40370599198602869</v>
      </c>
      <c r="AM10" s="594">
        <f t="shared" ref="AM10" si="4">SUM(AM13+AM14+AM15)</f>
        <v>0.24876345675670369</v>
      </c>
      <c r="AN10" s="594">
        <f>SUM(AN13+AN14+AN15)</f>
        <v>0.33620704028491294</v>
      </c>
      <c r="AO10" s="955">
        <f>SUM(AO13+AO14+AO15)</f>
        <v>0.20120913688268144</v>
      </c>
      <c r="AP10" s="595">
        <f t="shared" ref="AP10:BG10" si="5">SUM(AP11:AP14)</f>
        <v>22.442503287543463</v>
      </c>
      <c r="AQ10" s="595">
        <f t="shared" si="5"/>
        <v>24.31419248251089</v>
      </c>
      <c r="AR10" s="595">
        <f t="shared" si="5"/>
        <v>6.7786885085905109</v>
      </c>
      <c r="AS10" s="595">
        <f t="shared" si="5"/>
        <v>1.3203419103215406E-2</v>
      </c>
      <c r="AT10" s="595" t="e">
        <f t="shared" si="5"/>
        <v>#REF!</v>
      </c>
      <c r="AU10" s="595">
        <f t="shared" si="5"/>
        <v>1.3455349587881556E-2</v>
      </c>
      <c r="AV10" s="595">
        <f t="shared" si="5"/>
        <v>0</v>
      </c>
      <c r="AW10" s="595">
        <f t="shared" si="5"/>
        <v>0</v>
      </c>
      <c r="AX10" s="595">
        <f t="shared" si="5"/>
        <v>0</v>
      </c>
      <c r="AY10" s="595">
        <f t="shared" si="5"/>
        <v>0</v>
      </c>
      <c r="AZ10" s="595">
        <f t="shared" si="5"/>
        <v>0</v>
      </c>
      <c r="BA10" s="595">
        <f t="shared" si="5"/>
        <v>0</v>
      </c>
      <c r="BB10" s="595">
        <f t="shared" si="5"/>
        <v>0.86</v>
      </c>
      <c r="BC10" s="595">
        <f t="shared" si="5"/>
        <v>0</v>
      </c>
      <c r="BD10" s="595">
        <f t="shared" si="5"/>
        <v>6.5</v>
      </c>
      <c r="BE10" s="595">
        <f t="shared" si="5"/>
        <v>11.6</v>
      </c>
      <c r="BF10" s="595">
        <f t="shared" si="5"/>
        <v>13.299999999999999</v>
      </c>
      <c r="BG10" s="594">
        <f t="shared" si="5"/>
        <v>5102.6219869306105</v>
      </c>
    </row>
    <row r="11" spans="1:61" s="614" customFormat="1" outlineLevel="1">
      <c r="A11" s="615"/>
      <c r="B11" s="615"/>
      <c r="C11" s="615"/>
      <c r="D11" s="616"/>
      <c r="E11" s="616"/>
      <c r="F11" s="615"/>
      <c r="G11" s="615">
        <v>9</v>
      </c>
      <c r="H11" s="615">
        <v>5</v>
      </c>
      <c r="I11" s="613">
        <v>2.5399439848742444</v>
      </c>
      <c r="J11" s="857"/>
      <c r="K11" s="613" t="s">
        <v>264</v>
      </c>
      <c r="L11" s="613" t="s">
        <v>788</v>
      </c>
      <c r="M11" s="768" t="s">
        <v>1035</v>
      </c>
      <c r="N11" s="613">
        <f>SUM('EU-27_Medium_2030'!F$32+'EU-27_Medium_2030'!I$32+'EU-27_Medium_2030'!L$32)/1000000</f>
        <v>0.49572711273501602</v>
      </c>
      <c r="O11" s="613">
        <v>9.5886549726634147</v>
      </c>
      <c r="P11" s="613">
        <v>5.8623151464503618</v>
      </c>
      <c r="Q11" s="613">
        <f>SUM('EU-27_High_2030-2050'!F$33+'EU-27_High_2030-2050'!I$33+'EU-27_High_2030-2050'!L$33)/1000000</f>
        <v>1.1703177429688374</v>
      </c>
      <c r="R11" s="613">
        <f>SUM(N11+((T11-N11)/2))</f>
        <v>18.276713810832298</v>
      </c>
      <c r="S11" s="613">
        <v>9.6998669179046697</v>
      </c>
      <c r="T11" s="613">
        <v>36.057700508929585</v>
      </c>
      <c r="U11" s="613">
        <v>9.1846863080264782</v>
      </c>
      <c r="V11" s="613">
        <v>14.276350909418278</v>
      </c>
      <c r="W11" s="613">
        <f>SUM(T16+((X16-T16)/2))</f>
        <v>27.538796565093772</v>
      </c>
      <c r="X11" s="613">
        <f>SUM('EU-27_High_2030-2050'!BA$33+'EU-27_High_2030-2050'!BD$33+'EU-27_High_2030-2050'!BG$33)/1000000</f>
        <v>4.0986605345032272</v>
      </c>
      <c r="Y11" s="613"/>
      <c r="Z11" s="613"/>
      <c r="AA11" s="619">
        <f>'Conversion factors selected IV '!L$7</f>
        <v>0.44507039732918852</v>
      </c>
      <c r="AB11" s="619">
        <f>N11*AE11</f>
        <v>0.24786355636750801</v>
      </c>
      <c r="AC11" s="619">
        <f>Q11*AE11</f>
        <v>0.5851588714844187</v>
      </c>
      <c r="AD11" s="619">
        <f>X11*AF11</f>
        <v>0.20493302672516137</v>
      </c>
      <c r="AE11" s="966">
        <f>1/'IVCs relevant in 2030'!R$3/2</f>
        <v>0.5</v>
      </c>
      <c r="AF11" s="966">
        <f>1/'IVCs relevant 2040-2050'!T$3*0.1</f>
        <v>0.05</v>
      </c>
      <c r="AG11" s="613">
        <f>N11*AA11*AE11</f>
        <v>0.11031673151591251</v>
      </c>
      <c r="AH11" s="619">
        <f>AG11*11630</f>
        <v>1282.9835875300626</v>
      </c>
      <c r="AI11" s="620">
        <f>Q11*AA11*AE11</f>
        <v>0.26043689143226978</v>
      </c>
      <c r="AJ11" s="622">
        <f t="shared" si="2"/>
        <v>3028.8810473572976</v>
      </c>
      <c r="AK11" s="531">
        <f>AG11+0.25*(AO11-AG11)</f>
        <v>0.10553995454454457</v>
      </c>
      <c r="AL11" s="1006">
        <f>AI11+0.25*(AO11-AI11)</f>
        <v>0.21813007448181254</v>
      </c>
      <c r="AM11" s="1007">
        <f>AG11+0.5*(AO11-AG11)</f>
        <v>0.10076317757317664</v>
      </c>
      <c r="AN11" s="1007">
        <f>AI11+0.5*(AO11-AI11)</f>
        <v>0.17582325753135528</v>
      </c>
      <c r="AO11" s="769">
        <f>X11*AA11*AF11</f>
        <v>9.1209623630440773E-2</v>
      </c>
      <c r="AP11" s="613">
        <v>22.442503287543463</v>
      </c>
      <c r="AQ11" s="613">
        <v>24.31419248251089</v>
      </c>
      <c r="AR11" s="613">
        <v>6.7786885085905109</v>
      </c>
      <c r="AS11" s="624">
        <f>AG10/AP11</f>
        <v>1.3203419103215406E-2</v>
      </c>
      <c r="AT11" s="624" t="e">
        <f>#REF!/AQ11</f>
        <v>#REF!</v>
      </c>
      <c r="AU11" s="624">
        <f t="shared" ref="AU11" si="6">AO11/AR11</f>
        <v>1.3455349587881556E-2</v>
      </c>
      <c r="AV11" s="625" t="s">
        <v>70</v>
      </c>
      <c r="AW11" s="625" t="s">
        <v>68</v>
      </c>
      <c r="AX11" s="625" t="s">
        <v>71</v>
      </c>
      <c r="AY11" s="625" t="s">
        <v>73</v>
      </c>
      <c r="AZ11" s="625" t="s">
        <v>73</v>
      </c>
      <c r="BA11" s="625" t="s">
        <v>73</v>
      </c>
      <c r="BB11" s="626">
        <v>0.86</v>
      </c>
      <c r="BC11" s="625" t="s">
        <v>61</v>
      </c>
      <c r="BD11" s="615">
        <v>6.5</v>
      </c>
      <c r="BE11" s="627">
        <v>11.6</v>
      </c>
      <c r="BF11" s="615">
        <v>13.299999999999999</v>
      </c>
      <c r="BG11" s="770">
        <f>AO11*11630</f>
        <v>1060.7679228220261</v>
      </c>
    </row>
    <row r="12" spans="1:61" s="614" customFormat="1" outlineLevel="1">
      <c r="A12" s="615"/>
      <c r="B12" s="615"/>
      <c r="C12" s="615"/>
      <c r="D12" s="616"/>
      <c r="E12" s="616"/>
      <c r="F12" s="615"/>
      <c r="G12" s="615"/>
      <c r="H12" s="615"/>
      <c r="I12" s="613"/>
      <c r="J12" s="857"/>
      <c r="K12" s="615" t="s">
        <v>266</v>
      </c>
      <c r="L12" s="615" t="s">
        <v>267</v>
      </c>
      <c r="M12" s="768" t="s">
        <v>967</v>
      </c>
      <c r="N12" s="613">
        <f>SUM('EU-27_Medium_2030'!AM$32+'EU-27_Medium_2030'!AQ$32+'EU-27_Medium_2030'!AR$32)/1000000</f>
        <v>3.483672057731634</v>
      </c>
      <c r="O12" s="613"/>
      <c r="P12" s="613"/>
      <c r="Q12" s="613">
        <f>SUM('EU-27_High_2030-2050'!AM$33+'EU-27_High_2030-2050'!AQ$33+'EU-27_High_2030-2050'!AR$33)/1000000</f>
        <v>6.0425235427392368</v>
      </c>
      <c r="R12" s="613"/>
      <c r="S12" s="613"/>
      <c r="T12" s="613"/>
      <c r="U12" s="613"/>
      <c r="V12" s="613"/>
      <c r="W12" s="613"/>
      <c r="X12" s="613">
        <f>SUM('EU-27_High_2030-2050'!CH$33+'EU-27_High_2030-2050'!CL$33+'EU-27_High_2030-2050'!CM$33)/1000000</f>
        <v>9.6013731616159941</v>
      </c>
      <c r="Y12" s="613"/>
      <c r="Z12" s="613"/>
      <c r="AA12" s="929">
        <f>'Conversion factors selected IV '!L$8</f>
        <v>0.45908042468661553</v>
      </c>
      <c r="AB12" s="619">
        <f>N12*AE12</f>
        <v>0.8709180144329085</v>
      </c>
      <c r="AC12" s="619">
        <f>Q12*AE12</f>
        <v>1.5106308856848092</v>
      </c>
      <c r="AD12" s="619">
        <f t="shared" ref="AD12:AD14" si="7">X12*AF12</f>
        <v>0.48006865808079974</v>
      </c>
      <c r="AE12" s="966">
        <f>1/'IVCs relevant in 2030'!R$14/2</f>
        <v>0.25</v>
      </c>
      <c r="AF12" s="967">
        <f>1/'IVCs relevant 2040-2050'!T$14*0.1</f>
        <v>0.05</v>
      </c>
      <c r="AG12" s="613">
        <f>N12*AA12*AE12</f>
        <v>0.39982141193308357</v>
      </c>
      <c r="AH12" s="619">
        <f>AG12*11630</f>
        <v>4649.9230207817618</v>
      </c>
      <c r="AI12" s="620">
        <f>Q12*AA12*AE12</f>
        <v>0.69350106854490035</v>
      </c>
      <c r="AJ12" s="622">
        <f>AI12*11630</f>
        <v>8065.4174271771908</v>
      </c>
      <c r="AK12" s="531">
        <f>AG12+0.25*(AO12-AG12)</f>
        <v>0.35496358980742948</v>
      </c>
      <c r="AL12" s="1006">
        <f t="shared" ref="AL12:AL15" si="8">AI12+0.25*(AO12-AI12)</f>
        <v>0.57522333226629208</v>
      </c>
      <c r="AM12" s="1007">
        <f>AG12+0.5*(AO12-AG12)</f>
        <v>0.31010576768177534</v>
      </c>
      <c r="AN12" s="1007">
        <f t="shared" ref="AN12:AN63" si="9">AI12+0.5*(AO12-AI12)</f>
        <v>0.45694559598768375</v>
      </c>
      <c r="AO12" s="769">
        <f>X12*AA12*AF12</f>
        <v>0.22039012343046716</v>
      </c>
      <c r="AP12" s="613"/>
      <c r="AQ12" s="613"/>
      <c r="AR12" s="613"/>
      <c r="AS12" s="624"/>
      <c r="AT12" s="624"/>
      <c r="AU12" s="624"/>
      <c r="AV12" s="625"/>
      <c r="AW12" s="625"/>
      <c r="AX12" s="625"/>
      <c r="AY12" s="625"/>
      <c r="AZ12" s="625"/>
      <c r="BA12" s="625"/>
      <c r="BB12" s="626"/>
      <c r="BC12" s="625"/>
      <c r="BD12" s="615"/>
      <c r="BE12" s="627"/>
      <c r="BF12" s="615"/>
      <c r="BG12" s="770">
        <f>AO12*11630</f>
        <v>2563.137135496333</v>
      </c>
    </row>
    <row r="13" spans="1:61" s="1" customFormat="1" outlineLevel="1">
      <c r="A13" s="499"/>
      <c r="B13" s="499"/>
      <c r="C13" s="499"/>
      <c r="D13" s="499"/>
      <c r="E13" s="499"/>
      <c r="F13" s="499"/>
      <c r="G13" s="499"/>
      <c r="H13" s="499"/>
      <c r="I13" s="532"/>
      <c r="J13" s="930"/>
      <c r="K13" s="532" t="s">
        <v>1333</v>
      </c>
      <c r="L13" s="926">
        <v>413201</v>
      </c>
      <c r="M13" s="926"/>
      <c r="N13" s="532">
        <v>0.4</v>
      </c>
      <c r="O13" s="532"/>
      <c r="P13" s="532"/>
      <c r="Q13" s="532">
        <v>0.8</v>
      </c>
      <c r="R13" s="532"/>
      <c r="S13" s="532"/>
      <c r="T13" s="532"/>
      <c r="U13" s="532"/>
      <c r="V13" s="532"/>
      <c r="W13" s="532"/>
      <c r="X13" s="532">
        <v>1.4</v>
      </c>
      <c r="Y13" s="532"/>
      <c r="Z13" s="532"/>
      <c r="AA13" s="683">
        <v>0.65</v>
      </c>
      <c r="AB13" s="619">
        <f>N13*AE13</f>
        <v>0.2</v>
      </c>
      <c r="AC13" s="619">
        <f>Q13*AE13</f>
        <v>0.4</v>
      </c>
      <c r="AD13" s="619">
        <f t="shared" si="7"/>
        <v>0.13999999999999999</v>
      </c>
      <c r="AE13" s="970">
        <f>1/'IVCs relevant in 2030'!R$15/2</f>
        <v>0.5</v>
      </c>
      <c r="AF13" s="970">
        <f>1/'IVCs relevant 2040-2050'!T$15*0.1</f>
        <v>0.1</v>
      </c>
      <c r="AG13" s="499">
        <f>N13*AA13*AE13</f>
        <v>0.13</v>
      </c>
      <c r="AH13" s="691">
        <f>AG13*11630</f>
        <v>1511.9</v>
      </c>
      <c r="AI13" s="931">
        <f>Q13*AA13*AE13</f>
        <v>0.26</v>
      </c>
      <c r="AJ13" s="691">
        <f t="shared" si="2"/>
        <v>3023.8</v>
      </c>
      <c r="AK13" s="802">
        <f>AG13+0.25*(AO13-AG13)</f>
        <v>0.12025</v>
      </c>
      <c r="AL13" s="1006">
        <f t="shared" si="8"/>
        <v>0.21775</v>
      </c>
      <c r="AM13" s="1007">
        <f>AG13+0.5*(AO13-AG13)</f>
        <v>0.1105</v>
      </c>
      <c r="AN13" s="1007">
        <f t="shared" si="9"/>
        <v>0.17549999999999999</v>
      </c>
      <c r="AO13" s="962">
        <f>X13*AA13*AF13</f>
        <v>9.0999999999999998E-2</v>
      </c>
      <c r="AP13" s="532"/>
      <c r="AQ13" s="532"/>
      <c r="AR13" s="532"/>
      <c r="AS13" s="932"/>
      <c r="AT13" s="932"/>
      <c r="AU13" s="932"/>
      <c r="AV13" s="543"/>
      <c r="AW13" s="543"/>
      <c r="AX13" s="543"/>
      <c r="AY13" s="543"/>
      <c r="AZ13" s="543"/>
      <c r="BA13" s="543"/>
      <c r="BB13" s="932"/>
      <c r="BC13" s="543"/>
      <c r="BD13" s="499"/>
      <c r="BE13" s="536"/>
      <c r="BF13" s="499"/>
      <c r="BG13" s="770">
        <f>AO13*11630</f>
        <v>1058.33</v>
      </c>
    </row>
    <row r="14" spans="1:61" s="614" customFormat="1" outlineLevel="1">
      <c r="A14" s="615"/>
      <c r="B14" s="615"/>
      <c r="C14" s="615"/>
      <c r="D14" s="616"/>
      <c r="E14" s="616"/>
      <c r="F14" s="615"/>
      <c r="G14" s="615"/>
      <c r="H14" s="615"/>
      <c r="I14" s="613"/>
      <c r="J14" s="857"/>
      <c r="K14" s="925" t="s">
        <v>1335</v>
      </c>
      <c r="L14" s="617"/>
      <c r="M14" s="618"/>
      <c r="N14" s="925">
        <f>AG119</f>
        <v>5.1880428594768198</v>
      </c>
      <c r="O14" s="925"/>
      <c r="P14" s="925"/>
      <c r="Q14" s="925">
        <f>AI119</f>
        <v>7.4086926412541239</v>
      </c>
      <c r="R14" s="925"/>
      <c r="S14" s="925"/>
      <c r="T14" s="925"/>
      <c r="U14" s="925"/>
      <c r="V14" s="925"/>
      <c r="W14" s="925"/>
      <c r="X14" s="925">
        <f>AO119</f>
        <v>8.9412320867547326</v>
      </c>
      <c r="Y14" s="613"/>
      <c r="Z14" s="613"/>
      <c r="AA14" s="683">
        <f>'Conversion factors selected IV '!L10</f>
        <v>0.16170822585267985</v>
      </c>
      <c r="AB14" s="619">
        <f>N14*AE14</f>
        <v>0.64850535743460247</v>
      </c>
      <c r="AC14" s="619">
        <f t="shared" ref="AC14:AC64" si="10">Q14*AE14</f>
        <v>0.92608658015676548</v>
      </c>
      <c r="AD14" s="619">
        <f t="shared" si="7"/>
        <v>0.22353080216886834</v>
      </c>
      <c r="AE14" s="970">
        <f>1/'IVCs relevant in 2030'!R22/2</f>
        <v>0.125</v>
      </c>
      <c r="AF14" s="966">
        <f>1/'IVCs relevant 2040-2050'!T22*0.1</f>
        <v>2.5000000000000001E-2</v>
      </c>
      <c r="AG14" s="613">
        <f>N14*AA14*AE14</f>
        <v>0.10486865080670757</v>
      </c>
      <c r="AH14" s="620">
        <f t="shared" ref="AH14:AH15" si="11">AG14*11630</f>
        <v>1219.622408882009</v>
      </c>
      <c r="AI14" s="621">
        <f>Q14*AA14*AE14</f>
        <v>0.14975581786312614</v>
      </c>
      <c r="AJ14" s="622">
        <f t="shared" si="2"/>
        <v>1741.660161748157</v>
      </c>
      <c r="AK14" s="531">
        <f>AG14+0.25*(AO14-AG14)</f>
        <v>8.7688180465569199E-2</v>
      </c>
      <c r="AL14" s="1006">
        <f t="shared" si="8"/>
        <v>0.12135355575788312</v>
      </c>
      <c r="AM14" s="1007">
        <f>AG14+0.5*(AO14-AG14)</f>
        <v>7.0507710124430814E-2</v>
      </c>
      <c r="AN14" s="1007">
        <f>AI14+0.5*(AO14-AI14)</f>
        <v>9.2951293652640099E-2</v>
      </c>
      <c r="AO14" s="961">
        <f>X14*AA14*AF14</f>
        <v>3.6146769442154059E-2</v>
      </c>
      <c r="AP14" s="613"/>
      <c r="AQ14" s="613"/>
      <c r="AR14" s="613"/>
      <c r="AS14" s="624"/>
      <c r="AT14" s="624"/>
      <c r="AU14" s="624"/>
      <c r="AV14" s="625"/>
      <c r="AW14" s="625"/>
      <c r="AX14" s="625"/>
      <c r="AY14" s="625"/>
      <c r="AZ14" s="625"/>
      <c r="BA14" s="625"/>
      <c r="BB14" s="626"/>
      <c r="BC14" s="625"/>
      <c r="BD14" s="615"/>
      <c r="BE14" s="627"/>
      <c r="BF14" s="615"/>
      <c r="BG14" s="770">
        <f t="shared" ref="BG14:BG15" si="12">AO14*11630</f>
        <v>420.38692861225172</v>
      </c>
    </row>
    <row r="15" spans="1:61" customFormat="1" outlineLevel="1">
      <c r="A15" s="494"/>
      <c r="B15" s="499"/>
      <c r="C15" s="499"/>
      <c r="D15" s="524"/>
      <c r="E15" s="524"/>
      <c r="F15" s="499"/>
      <c r="G15" s="494"/>
      <c r="H15" s="494"/>
      <c r="I15" s="525"/>
      <c r="J15" s="856"/>
      <c r="K15" s="922" t="s">
        <v>1334</v>
      </c>
      <c r="L15" s="494"/>
      <c r="M15" s="494"/>
      <c r="N15" s="925">
        <v>0.76</v>
      </c>
      <c r="O15" s="925" t="e">
        <f>#REF!-O79</f>
        <v>#REF!</v>
      </c>
      <c r="P15" s="925" t="e">
        <f>#REF!-P79</f>
        <v>#REF!</v>
      </c>
      <c r="Q15" s="925">
        <v>0.76</v>
      </c>
      <c r="R15" s="925" t="e">
        <f>#REF!-R79</f>
        <v>#REF!</v>
      </c>
      <c r="S15" s="925" t="e">
        <f>#REF!-S79</f>
        <v>#REF!</v>
      </c>
      <c r="T15" s="925" t="e">
        <f>#REF!-T79</f>
        <v>#REF!</v>
      </c>
      <c r="U15" s="925" t="e">
        <f>#REF!-U79</f>
        <v>#REF!</v>
      </c>
      <c r="V15" s="925" t="e">
        <f>#REF!-V79</f>
        <v>#REF!</v>
      </c>
      <c r="W15" s="925" t="e">
        <f>#REF!-W79</f>
        <v>#REF!</v>
      </c>
      <c r="X15" s="925">
        <v>4.58</v>
      </c>
      <c r="Y15" s="525"/>
      <c r="Z15" s="525"/>
      <c r="AA15" s="683">
        <f>'Conversion factors selected IV '!L10</f>
        <v>0.16170822585267985</v>
      </c>
      <c r="AB15" s="619">
        <f>N15*AE15</f>
        <v>0.38</v>
      </c>
      <c r="AC15" s="619">
        <f t="shared" si="10"/>
        <v>0.38</v>
      </c>
      <c r="AD15" s="619">
        <f>X15*AF15</f>
        <v>0.45800000000000002</v>
      </c>
      <c r="AE15" s="970">
        <f>1/'IVCs relevant in 2030'!R21/2</f>
        <v>0.5</v>
      </c>
      <c r="AF15" s="970">
        <f>1/'IVCs relevant 2040-2050'!T21*0.1</f>
        <v>0.1</v>
      </c>
      <c r="AG15" s="613">
        <f>N15*AA15*AE15</f>
        <v>6.1449125824018347E-2</v>
      </c>
      <c r="AH15" s="620">
        <f t="shared" si="11"/>
        <v>714.65333333333342</v>
      </c>
      <c r="AI15" s="621">
        <f>Q15*AA15*AE15</f>
        <v>6.1449125824018347E-2</v>
      </c>
      <c r="AJ15" s="622">
        <f t="shared" si="2"/>
        <v>714.65333333333342</v>
      </c>
      <c r="AK15" s="531">
        <f>AG15+0.25*(AO15-AG15)</f>
        <v>6.4602436228145599E-2</v>
      </c>
      <c r="AL15" s="1006">
        <f t="shared" si="8"/>
        <v>6.4602436228145599E-2</v>
      </c>
      <c r="AM15" s="1007">
        <f>AG15+0.5*(AO15-AG15)</f>
        <v>6.7755746632272865E-2</v>
      </c>
      <c r="AN15" s="1007">
        <f t="shared" si="9"/>
        <v>6.7755746632272865E-2</v>
      </c>
      <c r="AO15" s="931">
        <f>X15*AA15*AF15</f>
        <v>7.4062367440527382E-2</v>
      </c>
      <c r="AP15" s="532"/>
      <c r="AQ15" s="532"/>
      <c r="AR15" s="532"/>
      <c r="AS15" s="533"/>
      <c r="AT15" s="533"/>
      <c r="AU15" s="533"/>
      <c r="AV15" s="534"/>
      <c r="AW15" s="534"/>
      <c r="AX15" s="534"/>
      <c r="AY15" s="534"/>
      <c r="AZ15" s="534"/>
      <c r="BA15" s="534"/>
      <c r="BB15" s="535"/>
      <c r="BC15" s="534"/>
      <c r="BD15" s="499"/>
      <c r="BE15" s="536"/>
      <c r="BF15" s="499"/>
      <c r="BG15" s="770">
        <f t="shared" si="12"/>
        <v>861.34533333333343</v>
      </c>
    </row>
    <row r="16" spans="1:61" s="601" customFormat="1">
      <c r="A16" s="515">
        <v>2</v>
      </c>
      <c r="B16" s="563" t="s">
        <v>3</v>
      </c>
      <c r="C16" s="563" t="s">
        <v>45</v>
      </c>
      <c r="D16" s="563" t="s">
        <v>1182</v>
      </c>
      <c r="E16" s="563" t="s">
        <v>90</v>
      </c>
      <c r="F16" s="563" t="s">
        <v>641</v>
      </c>
      <c r="G16" s="515">
        <v>9</v>
      </c>
      <c r="H16" s="515">
        <v>5</v>
      </c>
      <c r="I16" s="593">
        <v>2.5399439848742444</v>
      </c>
      <c r="J16" s="853" t="s">
        <v>1030</v>
      </c>
      <c r="K16" s="515" t="s">
        <v>950</v>
      </c>
      <c r="L16" s="515"/>
      <c r="M16" s="515"/>
      <c r="N16" s="593">
        <f>N21+N23+N24+N25</f>
        <v>6.8437699722118355</v>
      </c>
      <c r="O16" s="593">
        <f t="shared" ref="O16:AB16" si="13">O21+O23+O24+O25</f>
        <v>9.5886549726634147</v>
      </c>
      <c r="P16" s="593">
        <f t="shared" si="13"/>
        <v>5.8623151464503618</v>
      </c>
      <c r="Q16" s="593">
        <f t="shared" si="13"/>
        <v>10.139010384222962</v>
      </c>
      <c r="R16" s="593">
        <f t="shared" si="13"/>
        <v>18.276713810832298</v>
      </c>
      <c r="S16" s="593">
        <f t="shared" si="13"/>
        <v>9.6998669179046697</v>
      </c>
      <c r="T16" s="593">
        <f t="shared" si="13"/>
        <v>36.057700508929585</v>
      </c>
      <c r="U16" s="593">
        <f t="shared" si="13"/>
        <v>9.1846863080264782</v>
      </c>
      <c r="V16" s="593">
        <f t="shared" si="13"/>
        <v>14.276350909418278</v>
      </c>
      <c r="W16" s="593" t="e">
        <f t="shared" si="13"/>
        <v>#REF!</v>
      </c>
      <c r="X16" s="593">
        <f t="shared" si="13"/>
        <v>19.019892621257959</v>
      </c>
      <c r="Y16" s="593">
        <f t="shared" si="13"/>
        <v>0</v>
      </c>
      <c r="Z16" s="593">
        <f t="shared" si="13"/>
        <v>0</v>
      </c>
      <c r="AA16" s="593"/>
      <c r="AB16" s="593">
        <f t="shared" si="13"/>
        <v>1.7242324701696183</v>
      </c>
      <c r="AC16" s="593">
        <f>AC21+AC23+AC24+AC25</f>
        <v>2.8764043231256027</v>
      </c>
      <c r="AD16" s="593">
        <f>AD21+AD23+AD24+AD25</f>
        <v>9.2381744600462667</v>
      </c>
      <c r="AE16" s="594"/>
      <c r="AF16" s="594"/>
      <c r="AG16" s="595">
        <f>AG21+AG23+AG24+AG25</f>
        <v>0.5131712901936708</v>
      </c>
      <c r="AH16" s="595">
        <f>AH21+AH23+AH24+AH25</f>
        <v>5968.1821049523915</v>
      </c>
      <c r="AI16" s="595">
        <f>AI21+AI23+AI24+AI25</f>
        <v>0.98727861419515794</v>
      </c>
      <c r="AJ16" s="595">
        <f>AJ21+AJ23+AJ24+AJ25</f>
        <v>11482.050283089686</v>
      </c>
      <c r="AK16" s="595">
        <f>SUM(AK21+AK23+AK24+AK25)</f>
        <v>1.0371849843000955</v>
      </c>
      <c r="AL16" s="595">
        <f>SUM(AL21+AL23+AL24+AL25)</f>
        <v>1.3927654773012108</v>
      </c>
      <c r="AM16" s="595">
        <f t="shared" ref="AM16:AN16" si="14">SUM(AM21+AM23+AM24+AM25)</f>
        <v>1.5611986784065202</v>
      </c>
      <c r="AN16" s="595">
        <f t="shared" si="14"/>
        <v>1.7982523404072637</v>
      </c>
      <c r="AO16" s="595">
        <f>SUM(AO21:AO25)-AO22</f>
        <v>2.6092260666193701</v>
      </c>
      <c r="AP16" s="595">
        <f t="shared" ref="AP16:BG16" si="15">SUM(AP21:AP25)</f>
        <v>0</v>
      </c>
      <c r="AQ16" s="595">
        <f t="shared" si="15"/>
        <v>0</v>
      </c>
      <c r="AR16" s="595">
        <f t="shared" si="15"/>
        <v>0</v>
      </c>
      <c r="AS16" s="595">
        <f t="shared" si="15"/>
        <v>0</v>
      </c>
      <c r="AT16" s="595">
        <f t="shared" si="15"/>
        <v>0</v>
      </c>
      <c r="AU16" s="595">
        <f t="shared" si="15"/>
        <v>0</v>
      </c>
      <c r="AV16" s="595">
        <f t="shared" si="15"/>
        <v>0</v>
      </c>
      <c r="AW16" s="595">
        <f t="shared" si="15"/>
        <v>0</v>
      </c>
      <c r="AX16" s="595">
        <f t="shared" si="15"/>
        <v>0</v>
      </c>
      <c r="AY16" s="595">
        <f t="shared" si="15"/>
        <v>0</v>
      </c>
      <c r="AZ16" s="595">
        <f t="shared" si="15"/>
        <v>0</v>
      </c>
      <c r="BA16" s="595">
        <f t="shared" si="15"/>
        <v>0</v>
      </c>
      <c r="BB16" s="595">
        <f t="shared" si="15"/>
        <v>0</v>
      </c>
      <c r="BC16" s="595">
        <f t="shared" si="15"/>
        <v>0</v>
      </c>
      <c r="BD16" s="595">
        <f t="shared" si="15"/>
        <v>0</v>
      </c>
      <c r="BE16" s="595">
        <f t="shared" si="15"/>
        <v>0</v>
      </c>
      <c r="BF16" s="595">
        <f t="shared" si="15"/>
        <v>0</v>
      </c>
      <c r="BG16" s="594">
        <f t="shared" si="15"/>
        <v>53413.533374250255</v>
      </c>
    </row>
    <row r="17" spans="1:59" customFormat="1" hidden="1">
      <c r="A17" s="494">
        <v>3</v>
      </c>
      <c r="B17" s="499" t="s">
        <v>4</v>
      </c>
      <c r="C17" s="499" t="s">
        <v>46</v>
      </c>
      <c r="D17" s="524"/>
      <c r="E17" s="524"/>
      <c r="F17" s="499" t="s">
        <v>640</v>
      </c>
      <c r="G17" s="534">
        <v>6</v>
      </c>
      <c r="H17" s="494">
        <v>1</v>
      </c>
      <c r="I17" s="525">
        <v>2.3407420708324396</v>
      </c>
      <c r="J17" s="854"/>
      <c r="K17" s="525" t="s">
        <v>269</v>
      </c>
      <c r="L17" s="525"/>
      <c r="M17" s="525"/>
      <c r="N17" s="525">
        <v>4.454004235702901</v>
      </c>
      <c r="O17" s="525">
        <v>7.9601442208271473</v>
      </c>
      <c r="P17" s="525"/>
      <c r="Q17" s="525"/>
      <c r="R17" s="525"/>
      <c r="S17" s="525"/>
      <c r="T17" s="525">
        <v>10.5</v>
      </c>
      <c r="U17" s="525"/>
      <c r="V17" s="525"/>
      <c r="W17" s="525"/>
      <c r="X17" s="525">
        <v>10.5</v>
      </c>
      <c r="Y17" s="525"/>
      <c r="Z17" s="525"/>
      <c r="AA17" s="541">
        <v>2.1018438903219643</v>
      </c>
      <c r="AB17" s="619">
        <f t="shared" ref="AB17:AB25" si="16">N17*AE17</f>
        <v>4.454004235702901</v>
      </c>
      <c r="AC17" s="619">
        <f t="shared" si="10"/>
        <v>0</v>
      </c>
      <c r="AD17" s="619"/>
      <c r="AE17" s="971">
        <v>1</v>
      </c>
      <c r="AF17" s="972"/>
      <c r="AG17" s="530">
        <f>N17*AA17*AE17</f>
        <v>9.3616215902802935</v>
      </c>
      <c r="AH17" s="530"/>
      <c r="AI17" s="531"/>
      <c r="AJ17" s="531"/>
      <c r="AK17" s="531">
        <f t="shared" ref="AK17:AK25" si="17">AG17+0.25*(AO17-AG17)</f>
        <v>12.538556404805377</v>
      </c>
      <c r="AL17" s="1006">
        <f>AI17+0.24*(AO17-AI17)</f>
        <v>5.2966466036113502</v>
      </c>
      <c r="AM17" s="1007">
        <f t="shared" ref="AM17:AM25" si="18">AG17+0.5*(AO17-AG17)</f>
        <v>15.71549121933046</v>
      </c>
      <c r="AN17" s="1007">
        <f t="shared" si="9"/>
        <v>11.034680424190313</v>
      </c>
      <c r="AO17" s="530">
        <f>X17*AA17*AE17</f>
        <v>22.069360848380626</v>
      </c>
      <c r="AP17" s="532">
        <v>22.442503287543463</v>
      </c>
      <c r="AQ17" s="532">
        <v>24.31419248251089</v>
      </c>
      <c r="AR17" s="532">
        <v>6.7786885085905109</v>
      </c>
      <c r="AS17" s="533">
        <f>AG17/AP17</f>
        <v>0.41713802913761355</v>
      </c>
      <c r="AT17" s="533" t="e">
        <f>#REF!/AQ17</f>
        <v>#REF!</v>
      </c>
      <c r="AU17" s="533">
        <f>AO17/AR17</f>
        <v>3.2556977386425885</v>
      </c>
      <c r="AV17" s="534" t="s">
        <v>70</v>
      </c>
      <c r="AW17" s="534" t="s">
        <v>68</v>
      </c>
      <c r="AX17" s="534" t="s">
        <v>71</v>
      </c>
      <c r="AY17" s="534" t="s">
        <v>73</v>
      </c>
      <c r="AZ17" s="534" t="s">
        <v>73</v>
      </c>
      <c r="BA17" s="534" t="s">
        <v>73</v>
      </c>
      <c r="BB17" s="535">
        <v>0.84</v>
      </c>
      <c r="BC17" s="534" t="s">
        <v>61</v>
      </c>
      <c r="BD17" s="499">
        <v>2.2999999999999998</v>
      </c>
      <c r="BE17" s="536">
        <v>9.3499999999999979</v>
      </c>
      <c r="BF17" s="499">
        <v>11.7</v>
      </c>
    </row>
    <row r="18" spans="1:59" customFormat="1" hidden="1">
      <c r="A18" s="494">
        <v>4</v>
      </c>
      <c r="B18" s="499" t="s">
        <v>5</v>
      </c>
      <c r="C18" s="499" t="s">
        <v>47</v>
      </c>
      <c r="D18" s="524"/>
      <c r="E18" s="524"/>
      <c r="F18" s="499" t="s">
        <v>642</v>
      </c>
      <c r="G18" s="534">
        <v>9</v>
      </c>
      <c r="H18" s="494">
        <v>6</v>
      </c>
      <c r="I18" s="525">
        <v>1.04</v>
      </c>
      <c r="J18" s="854"/>
      <c r="K18" s="525"/>
      <c r="L18" s="525"/>
      <c r="M18" s="525"/>
      <c r="N18" s="525">
        <v>1.24</v>
      </c>
      <c r="O18" s="525">
        <v>2.2400000000000002</v>
      </c>
      <c r="P18" s="525">
        <v>1.1299999999999999</v>
      </c>
      <c r="Q18" s="525"/>
      <c r="R18" s="525"/>
      <c r="S18" s="525">
        <v>1.365</v>
      </c>
      <c r="T18" s="525">
        <v>3.17</v>
      </c>
      <c r="U18" s="525">
        <v>1.22</v>
      </c>
      <c r="V18" s="525">
        <v>1.49</v>
      </c>
      <c r="W18" s="525"/>
      <c r="X18" s="525">
        <v>4.0999999999999996</v>
      </c>
      <c r="Y18" s="525"/>
      <c r="Z18" s="525"/>
      <c r="AA18" s="541">
        <v>0.11725162198077073</v>
      </c>
      <c r="AB18" s="619">
        <f t="shared" si="16"/>
        <v>1.24</v>
      </c>
      <c r="AC18" s="619">
        <f t="shared" si="10"/>
        <v>0</v>
      </c>
      <c r="AD18" s="619"/>
      <c r="AE18" s="971">
        <f>1</f>
        <v>1</v>
      </c>
      <c r="AF18" s="972"/>
      <c r="AG18" s="530">
        <f>N18*AA18*AE18</f>
        <v>0.1453920112561557</v>
      </c>
      <c r="AH18" s="530"/>
      <c r="AI18" s="531"/>
      <c r="AJ18" s="531"/>
      <c r="AK18" s="531">
        <f t="shared" si="17"/>
        <v>0.10904400844211677</v>
      </c>
      <c r="AL18" s="1006">
        <f>AI18+0.24*(AO18-AI18)</f>
        <v>0</v>
      </c>
      <c r="AM18" s="1007">
        <f t="shared" si="18"/>
        <v>7.2696005628077848E-2</v>
      </c>
      <c r="AN18" s="1007">
        <f t="shared" si="9"/>
        <v>0</v>
      </c>
      <c r="AO18" s="530"/>
      <c r="AP18" s="532">
        <v>22.442503287543463</v>
      </c>
      <c r="AQ18" s="542"/>
      <c r="AR18" s="542"/>
      <c r="AS18" s="533">
        <f>AG18/AP18</f>
        <v>6.4784221881724934E-3</v>
      </c>
      <c r="AT18" s="533"/>
      <c r="AU18" s="533"/>
      <c r="AV18" s="543" t="s">
        <v>70</v>
      </c>
      <c r="AW18" s="544" t="s">
        <v>68</v>
      </c>
      <c r="AX18" s="544" t="s">
        <v>69</v>
      </c>
      <c r="AY18" s="534" t="s">
        <v>73</v>
      </c>
      <c r="AZ18" s="544" t="s">
        <v>73</v>
      </c>
      <c r="BA18" s="544" t="s">
        <v>73</v>
      </c>
      <c r="BB18" s="535">
        <v>0.69</v>
      </c>
      <c r="BC18" s="534" t="s">
        <v>60</v>
      </c>
      <c r="BD18" s="499" t="s">
        <v>101</v>
      </c>
      <c r="BE18" s="499" t="s">
        <v>101</v>
      </c>
      <c r="BF18" s="499" t="s">
        <v>101</v>
      </c>
    </row>
    <row r="19" spans="1:59" customFormat="1" hidden="1">
      <c r="A19" s="494">
        <v>4</v>
      </c>
      <c r="B19" s="499" t="s">
        <v>5</v>
      </c>
      <c r="C19" s="499" t="s">
        <v>49</v>
      </c>
      <c r="D19" s="524"/>
      <c r="E19" s="524"/>
      <c r="F19" s="499" t="s">
        <v>643</v>
      </c>
      <c r="G19" s="534">
        <v>9</v>
      </c>
      <c r="H19" s="494">
        <v>6</v>
      </c>
      <c r="I19" s="525">
        <v>1.04</v>
      </c>
      <c r="J19" s="854"/>
      <c r="K19" s="525"/>
      <c r="L19" s="525"/>
      <c r="M19" s="525"/>
      <c r="N19" s="525">
        <v>1.24</v>
      </c>
      <c r="O19" s="525">
        <v>2.2400000000000002</v>
      </c>
      <c r="P19" s="525">
        <v>1.1299999999999999</v>
      </c>
      <c r="Q19" s="525"/>
      <c r="R19" s="525"/>
      <c r="S19" s="525">
        <v>1.365</v>
      </c>
      <c r="T19" s="525">
        <v>3.17</v>
      </c>
      <c r="U19" s="525">
        <v>1.22</v>
      </c>
      <c r="V19" s="525">
        <v>1.49</v>
      </c>
      <c r="W19" s="525"/>
      <c r="X19" s="525">
        <v>4.0999999999999996</v>
      </c>
      <c r="Y19" s="525"/>
      <c r="Z19" s="525"/>
      <c r="AA19" s="541">
        <v>7.0350973188462423E-2</v>
      </c>
      <c r="AB19" s="619">
        <f t="shared" si="16"/>
        <v>1.24</v>
      </c>
      <c r="AC19" s="619">
        <f t="shared" si="10"/>
        <v>0</v>
      </c>
      <c r="AD19" s="619"/>
      <c r="AE19" s="971">
        <v>1</v>
      </c>
      <c r="AF19" s="972"/>
      <c r="AG19" s="530"/>
      <c r="AH19" s="530"/>
      <c r="AI19" s="531"/>
      <c r="AJ19" s="531"/>
      <c r="AK19" s="531">
        <f t="shared" si="17"/>
        <v>7.2109747518173978E-2</v>
      </c>
      <c r="AL19" s="1006">
        <f>AI19+0.24*(AO19-AI19)</f>
        <v>6.9225357617447011E-2</v>
      </c>
      <c r="AM19" s="1007">
        <f t="shared" si="18"/>
        <v>0.14421949503634796</v>
      </c>
      <c r="AN19" s="1007">
        <f t="shared" si="9"/>
        <v>0.14421949503634796</v>
      </c>
      <c r="AO19" s="530">
        <f>X19*AA19*AE19</f>
        <v>0.28843899007269591</v>
      </c>
      <c r="AP19" s="542"/>
      <c r="AQ19" s="532">
        <v>10.505916663433375</v>
      </c>
      <c r="AR19" s="532">
        <v>15.887545409592944</v>
      </c>
      <c r="AS19" s="533"/>
      <c r="AT19" s="533" t="e">
        <f>#REF!/AQ19</f>
        <v>#REF!</v>
      </c>
      <c r="AU19" s="533">
        <f>AO19/AR19</f>
        <v>1.8155037964425622E-2</v>
      </c>
      <c r="AV19" s="544" t="s">
        <v>70</v>
      </c>
      <c r="AW19" s="543" t="s">
        <v>70</v>
      </c>
      <c r="AX19" s="543" t="s">
        <v>70</v>
      </c>
      <c r="AY19" s="544" t="s">
        <v>40</v>
      </c>
      <c r="AZ19" s="534" t="s">
        <v>73</v>
      </c>
      <c r="BA19" s="534" t="s">
        <v>73</v>
      </c>
      <c r="BB19" s="535"/>
      <c r="BC19" s="534" t="s">
        <v>101</v>
      </c>
      <c r="BD19" s="499" t="s">
        <v>101</v>
      </c>
      <c r="BE19" s="499" t="s">
        <v>101</v>
      </c>
      <c r="BF19" s="499" t="s">
        <v>101</v>
      </c>
    </row>
    <row r="20" spans="1:59" customFormat="1" hidden="1">
      <c r="A20" s="494">
        <v>5</v>
      </c>
      <c r="B20" s="499" t="s">
        <v>6</v>
      </c>
      <c r="C20" s="499" t="s">
        <v>48</v>
      </c>
      <c r="D20" s="524"/>
      <c r="E20" s="524"/>
      <c r="F20" s="499" t="s">
        <v>642</v>
      </c>
      <c r="G20" s="534">
        <v>8</v>
      </c>
      <c r="H20" s="494">
        <v>2</v>
      </c>
      <c r="I20" s="525">
        <v>95.269032568381718</v>
      </c>
      <c r="J20" s="854"/>
      <c r="K20" s="525"/>
      <c r="L20" s="525"/>
      <c r="M20" s="525"/>
      <c r="N20" s="525">
        <v>199.31590930061066</v>
      </c>
      <c r="O20" s="525">
        <v>336.33378205272192</v>
      </c>
      <c r="P20" s="525">
        <v>96.269745561533483</v>
      </c>
      <c r="Q20" s="525"/>
      <c r="R20" s="525"/>
      <c r="S20" s="525">
        <v>208.04799177070726</v>
      </c>
      <c r="T20" s="525">
        <v>367.53185398501233</v>
      </c>
      <c r="U20" s="525">
        <v>97.270458554685263</v>
      </c>
      <c r="V20" s="525">
        <v>216.78007424080391</v>
      </c>
      <c r="W20" s="525"/>
      <c r="X20" s="525">
        <v>398.72992591730275</v>
      </c>
      <c r="Y20" s="525"/>
      <c r="Z20" s="525"/>
      <c r="AA20" s="527">
        <v>0.11736887360275149</v>
      </c>
      <c r="AB20" s="619">
        <f t="shared" si="16"/>
        <v>66.438636433536885</v>
      </c>
      <c r="AC20" s="619">
        <f t="shared" si="10"/>
        <v>0</v>
      </c>
      <c r="AD20" s="619"/>
      <c r="AE20" s="971">
        <f>1/3</f>
        <v>0.33333333333333331</v>
      </c>
      <c r="AF20" s="972"/>
      <c r="AG20" s="530">
        <f t="shared" ref="AG20:AG25" si="19">N20*AA20*AE20</f>
        <v>7.7978279219069506</v>
      </c>
      <c r="AH20" s="530"/>
      <c r="AI20" s="531"/>
      <c r="AJ20" s="531"/>
      <c r="AK20" s="531">
        <f t="shared" si="17"/>
        <v>5.848370941430213</v>
      </c>
      <c r="AL20" s="1006">
        <f>AI20+0.24*(AO20-AI20)</f>
        <v>0</v>
      </c>
      <c r="AM20" s="1007">
        <f t="shared" si="18"/>
        <v>3.8989139609534753</v>
      </c>
      <c r="AN20" s="1007">
        <f t="shared" si="9"/>
        <v>0</v>
      </c>
      <c r="AO20" s="530"/>
      <c r="AP20" s="532">
        <v>22.442503287543463</v>
      </c>
      <c r="AQ20" s="542"/>
      <c r="AR20" s="542"/>
      <c r="AS20" s="533">
        <f>AG20/AP20</f>
        <v>0.34745802738659171</v>
      </c>
      <c r="AT20" s="533"/>
      <c r="AU20" s="533"/>
      <c r="AV20" s="543" t="s">
        <v>70</v>
      </c>
      <c r="AW20" s="544" t="s">
        <v>68</v>
      </c>
      <c r="AX20" s="544" t="s">
        <v>69</v>
      </c>
      <c r="AY20" s="534" t="s">
        <v>73</v>
      </c>
      <c r="AZ20" s="544" t="s">
        <v>73</v>
      </c>
      <c r="BA20" s="544" t="s">
        <v>73</v>
      </c>
      <c r="BB20" s="535">
        <v>0.77</v>
      </c>
      <c r="BC20" s="534" t="s">
        <v>60</v>
      </c>
      <c r="BD20" s="499">
        <v>5</v>
      </c>
      <c r="BE20" s="536">
        <v>27.275000000000002</v>
      </c>
      <c r="BF20" s="499">
        <v>34.700000000000003</v>
      </c>
    </row>
    <row r="21" spans="1:59" customFormat="1" outlineLevel="1">
      <c r="A21" s="494"/>
      <c r="B21" s="499"/>
      <c r="C21" s="499"/>
      <c r="D21" s="524"/>
      <c r="E21" s="524"/>
      <c r="F21" s="499"/>
      <c r="G21" s="534"/>
      <c r="H21" s="494"/>
      <c r="I21" s="525"/>
      <c r="J21" s="854"/>
      <c r="K21" s="525" t="s">
        <v>264</v>
      </c>
      <c r="L21" s="525" t="s">
        <v>788</v>
      </c>
      <c r="M21" s="526" t="s">
        <v>1035</v>
      </c>
      <c r="N21" s="525">
        <f>SUM('EU-27_Medium_2030'!F$32+'EU-27_Medium_2030'!I$32+'EU-27_Medium_2030'!L$32)/1000000</f>
        <v>0.49572711273501602</v>
      </c>
      <c r="O21" s="525">
        <v>9.5886549726634147</v>
      </c>
      <c r="P21" s="525">
        <v>5.8623151464503618</v>
      </c>
      <c r="Q21" s="525">
        <f>SUM('EU-27_High_2030-2050'!F$33+'EU-27_High_2030-2050'!I$33+'EU-27_High_2030-2050'!L$33)/1000000</f>
        <v>1.1703177429688374</v>
      </c>
      <c r="R21" s="525">
        <f>SUM(N21+((T21-N21)/2))</f>
        <v>18.276713810832298</v>
      </c>
      <c r="S21" s="525">
        <v>9.6998669179046697</v>
      </c>
      <c r="T21" s="525">
        <v>36.057700508929585</v>
      </c>
      <c r="U21" s="525">
        <v>9.1846863080264782</v>
      </c>
      <c r="V21" s="525">
        <v>14.276350909418278</v>
      </c>
      <c r="W21" s="525" t="e">
        <f>SUM(#REF!+((#REF!-#REF!)/2))</f>
        <v>#REF!</v>
      </c>
      <c r="X21" s="525">
        <f>SUM('EU-27_High_2030-2050'!BA$33+'EU-27_High_2030-2050'!BD$33+'EU-27_High_2030-2050'!BG$33)/1000000</f>
        <v>4.0986605345032272</v>
      </c>
      <c r="Y21" s="525"/>
      <c r="Z21" s="525"/>
      <c r="AA21" s="527">
        <f>'Conversion factors selected IV '!L$7</f>
        <v>0.44507039732918852</v>
      </c>
      <c r="AB21" s="619">
        <f t="shared" si="16"/>
        <v>0.49572711273501602</v>
      </c>
      <c r="AC21" s="619">
        <f t="shared" si="10"/>
        <v>1.1703177429688374</v>
      </c>
      <c r="AD21" s="619">
        <f>X21*AF21</f>
        <v>1.8443972405264524</v>
      </c>
      <c r="AE21" s="970">
        <f>1/'IVCs relevant in 2030'!R$3</f>
        <v>1</v>
      </c>
      <c r="AF21" s="970">
        <f>1/'IVCs relevant 2040-2050'!T$3*0.9</f>
        <v>0.45</v>
      </c>
      <c r="AG21" s="525">
        <f t="shared" si="19"/>
        <v>0.22063346303182502</v>
      </c>
      <c r="AH21" s="530">
        <f>AG21*11630</f>
        <v>2565.9671750601251</v>
      </c>
      <c r="AI21" s="530">
        <f>Q21*AA21*AE21</f>
        <v>0.52087378286453956</v>
      </c>
      <c r="AJ21" s="531">
        <f>AI21*11630</f>
        <v>6057.7620947145952</v>
      </c>
      <c r="AK21" s="531">
        <f t="shared" si="17"/>
        <v>0.3706967504423605</v>
      </c>
      <c r="AL21" s="1006">
        <f>AI21+0.25*(AO21-AI21)</f>
        <v>0.59587699031689645</v>
      </c>
      <c r="AM21" s="1007">
        <f t="shared" si="18"/>
        <v>0.52076003785289604</v>
      </c>
      <c r="AN21" s="1007">
        <f t="shared" si="9"/>
        <v>0.67088019776925334</v>
      </c>
      <c r="AO21" s="630">
        <f>X21*AA21*AF21</f>
        <v>0.82088661267396701</v>
      </c>
      <c r="AP21" s="532"/>
      <c r="AQ21" s="542"/>
      <c r="AR21" s="542"/>
      <c r="AS21" s="533"/>
      <c r="AT21" s="533"/>
      <c r="AU21" s="533"/>
      <c r="AV21" s="543"/>
      <c r="AW21" s="544"/>
      <c r="AX21" s="544"/>
      <c r="AY21" s="534"/>
      <c r="AZ21" s="544"/>
      <c r="BA21" s="544"/>
      <c r="BB21" s="535"/>
      <c r="BC21" s="534"/>
      <c r="BD21" s="499"/>
      <c r="BE21" s="536"/>
      <c r="BF21" s="499"/>
      <c r="BG21" s="9">
        <f>AO21*11630</f>
        <v>9546.9113053982364</v>
      </c>
    </row>
    <row r="22" spans="1:59" s="614" customFormat="1" outlineLevel="1">
      <c r="A22" s="615"/>
      <c r="B22" s="615"/>
      <c r="C22" s="615"/>
      <c r="D22" s="616"/>
      <c r="E22" s="616"/>
      <c r="F22" s="615"/>
      <c r="G22" s="625"/>
      <c r="H22" s="615"/>
      <c r="I22" s="613"/>
      <c r="J22" s="855"/>
      <c r="K22" s="615" t="s">
        <v>266</v>
      </c>
      <c r="L22" s="615" t="s">
        <v>267</v>
      </c>
      <c r="M22" s="768" t="s">
        <v>967</v>
      </c>
      <c r="N22" s="613">
        <f>SUM('EU-27_Medium_2030'!AM$32+'EU-27_Medium_2030'!AQ$32+'EU-27_Medium_2030'!AR$32)/1000000</f>
        <v>3.483672057731634</v>
      </c>
      <c r="O22" s="613"/>
      <c r="P22" s="613"/>
      <c r="Q22" s="613">
        <f>SUM('EU-27_High_2030-2050'!AM$33+'EU-27_High_2030-2050'!AQ$33+'EU-27_High_2030-2050'!AR$33)/1000000</f>
        <v>6.0425235427392368</v>
      </c>
      <c r="R22" s="613"/>
      <c r="S22" s="613"/>
      <c r="T22" s="613"/>
      <c r="U22" s="613"/>
      <c r="V22" s="613"/>
      <c r="W22" s="613"/>
      <c r="X22" s="613">
        <f>SUM('EU-27_High_2030-2050'!CH$33+'EU-27_High_2030-2050'!CL$33+'EU-27_High_2030-2050'!CM$33)/1000000</f>
        <v>9.6013731616159941</v>
      </c>
      <c r="Y22" s="613"/>
      <c r="Z22" s="613"/>
      <c r="AA22" s="929">
        <f>'Conversion factors selected IV '!L$8</f>
        <v>0.45908042468661553</v>
      </c>
      <c r="AB22" s="619">
        <f t="shared" si="16"/>
        <v>0.8709180144329085</v>
      </c>
      <c r="AC22" s="619">
        <f t="shared" si="10"/>
        <v>1.5106308856848092</v>
      </c>
      <c r="AD22" s="619">
        <f t="shared" ref="AD22:AD25" si="20">X22*AF22</f>
        <v>4.3206179227271972</v>
      </c>
      <c r="AE22" s="966">
        <f>1/'IVCs relevant in 2030'!R$14/2</f>
        <v>0.25</v>
      </c>
      <c r="AF22" s="967">
        <f>1/'IVCs relevant 2040-2050'!T$14*0.9</f>
        <v>0.45</v>
      </c>
      <c r="AG22" s="771">
        <f t="shared" si="19"/>
        <v>0.39982141193308357</v>
      </c>
      <c r="AH22" s="620">
        <f>AG22*11630</f>
        <v>4649.9230207817618</v>
      </c>
      <c r="AI22" s="620">
        <f>Q22*AA22*AE22</f>
        <v>0.69350106854490035</v>
      </c>
      <c r="AJ22" s="622">
        <f t="shared" ref="AJ22:AJ25" si="21">AI22*11630</f>
        <v>8065.4174271771908</v>
      </c>
      <c r="AK22" s="531">
        <f t="shared" si="17"/>
        <v>0.79574383666836379</v>
      </c>
      <c r="AL22" s="1006">
        <f t="shared" ref="AL22:AL25" si="22">AI22+0.25*(AO22-AI22)</f>
        <v>1.0160035791272264</v>
      </c>
      <c r="AM22" s="1007">
        <f t="shared" si="18"/>
        <v>1.191666261403644</v>
      </c>
      <c r="AN22" s="1007">
        <f t="shared" si="9"/>
        <v>1.3385060897095524</v>
      </c>
      <c r="AO22" s="769">
        <f>X22*AA22*AF22</f>
        <v>1.9835111108742043</v>
      </c>
      <c r="AP22" s="613"/>
      <c r="AQ22" s="613"/>
      <c r="AR22" s="613"/>
      <c r="AS22" s="624"/>
      <c r="AT22" s="624"/>
      <c r="AU22" s="624"/>
      <c r="AV22" s="625"/>
      <c r="AW22" s="625"/>
      <c r="AX22" s="625"/>
      <c r="AY22" s="625"/>
      <c r="AZ22" s="625"/>
      <c r="BA22" s="625"/>
      <c r="BB22" s="626"/>
      <c r="BC22" s="625"/>
      <c r="BD22" s="615"/>
      <c r="BE22" s="627"/>
      <c r="BF22" s="615"/>
      <c r="BG22" s="770">
        <f t="shared" ref="BG22:BG25" si="23">AO22*11630</f>
        <v>23068.234219466995</v>
      </c>
    </row>
    <row r="23" spans="1:59" s="1" customFormat="1" outlineLevel="1">
      <c r="A23" s="499"/>
      <c r="B23" s="499"/>
      <c r="C23" s="499"/>
      <c r="D23" s="524"/>
      <c r="E23" s="524"/>
      <c r="F23" s="499"/>
      <c r="G23" s="543"/>
      <c r="H23" s="499"/>
      <c r="I23" s="532"/>
      <c r="J23" s="933"/>
      <c r="K23" s="532" t="s">
        <v>1333</v>
      </c>
      <c r="L23" s="926">
        <v>413201</v>
      </c>
      <c r="M23" s="934"/>
      <c r="N23" s="532">
        <v>0.4</v>
      </c>
      <c r="O23" s="532"/>
      <c r="P23" s="532"/>
      <c r="Q23" s="532">
        <v>0.8</v>
      </c>
      <c r="R23" s="532"/>
      <c r="S23" s="532"/>
      <c r="T23" s="532"/>
      <c r="U23" s="532"/>
      <c r="V23" s="532"/>
      <c r="W23" s="532"/>
      <c r="X23" s="532">
        <v>1.4</v>
      </c>
      <c r="Y23" s="532"/>
      <c r="Z23" s="532"/>
      <c r="AA23" s="683">
        <v>0.65</v>
      </c>
      <c r="AB23" s="619">
        <f t="shared" si="16"/>
        <v>0.2</v>
      </c>
      <c r="AC23" s="619">
        <f t="shared" si="10"/>
        <v>0.4</v>
      </c>
      <c r="AD23" s="619">
        <f t="shared" si="20"/>
        <v>1.26</v>
      </c>
      <c r="AE23" s="970">
        <f>1/'IVCs relevant in 2030'!R$15/2</f>
        <v>0.5</v>
      </c>
      <c r="AF23" s="970">
        <f>1/'IVCs relevant 2040-2050'!T$15*0.9</f>
        <v>0.9</v>
      </c>
      <c r="AG23" s="532">
        <f t="shared" si="19"/>
        <v>0.13</v>
      </c>
      <c r="AH23" s="530">
        <f>AG23*11630</f>
        <v>1511.9</v>
      </c>
      <c r="AI23" s="529">
        <f>Q23*AA23*AE23</f>
        <v>0.26</v>
      </c>
      <c r="AJ23" s="531">
        <f t="shared" si="21"/>
        <v>3023.8</v>
      </c>
      <c r="AK23" s="531">
        <f t="shared" si="17"/>
        <v>0.30225000000000002</v>
      </c>
      <c r="AL23" s="1006">
        <f t="shared" si="22"/>
        <v>0.39974999999999999</v>
      </c>
      <c r="AM23" s="1007">
        <f t="shared" si="18"/>
        <v>0.47449999999999998</v>
      </c>
      <c r="AN23" s="1007">
        <f t="shared" si="9"/>
        <v>0.53949999999999998</v>
      </c>
      <c r="AO23" s="522">
        <f>X23*AA23*AF23</f>
        <v>0.81899999999999995</v>
      </c>
      <c r="AP23" s="532"/>
      <c r="AQ23" s="532"/>
      <c r="AR23" s="532"/>
      <c r="AS23" s="533"/>
      <c r="AT23" s="533"/>
      <c r="AU23" s="533"/>
      <c r="AV23" s="543"/>
      <c r="AW23" s="543"/>
      <c r="AX23" s="543"/>
      <c r="AY23" s="543"/>
      <c r="AZ23" s="543"/>
      <c r="BA23" s="543"/>
      <c r="BB23" s="932"/>
      <c r="BC23" s="543"/>
      <c r="BD23" s="499"/>
      <c r="BE23" s="536"/>
      <c r="BF23" s="499"/>
      <c r="BG23" s="1">
        <f t="shared" si="23"/>
        <v>9524.9699999999993</v>
      </c>
    </row>
    <row r="24" spans="1:59" s="614" customFormat="1" outlineLevel="1">
      <c r="A24" s="615"/>
      <c r="B24" s="615"/>
      <c r="C24" s="615"/>
      <c r="D24" s="616"/>
      <c r="E24" s="616"/>
      <c r="F24" s="615"/>
      <c r="G24" s="625"/>
      <c r="H24" s="615"/>
      <c r="I24" s="613"/>
      <c r="J24" s="855"/>
      <c r="K24" s="925" t="s">
        <v>1335</v>
      </c>
      <c r="L24" s="617"/>
      <c r="M24" s="618"/>
      <c r="N24" s="925">
        <f>AG119</f>
        <v>5.1880428594768198</v>
      </c>
      <c r="O24" s="925"/>
      <c r="P24" s="925"/>
      <c r="Q24" s="925">
        <f>AI119</f>
        <v>7.4086926412541239</v>
      </c>
      <c r="R24" s="613"/>
      <c r="S24" s="613"/>
      <c r="T24" s="613"/>
      <c r="U24" s="613"/>
      <c r="V24" s="613"/>
      <c r="W24" s="613"/>
      <c r="X24" s="925">
        <f>AO119</f>
        <v>8.9412320867547326</v>
      </c>
      <c r="Y24" s="613"/>
      <c r="Z24" s="613"/>
      <c r="AA24" s="683">
        <f>'Conversion factors selected IV '!L15</f>
        <v>0.15803303890148257</v>
      </c>
      <c r="AB24" s="619">
        <f t="shared" si="16"/>
        <v>0.64850535743460247</v>
      </c>
      <c r="AC24" s="619">
        <f t="shared" si="10"/>
        <v>0.92608658015676548</v>
      </c>
      <c r="AD24" s="619">
        <f t="shared" si="20"/>
        <v>2.0117772195198147</v>
      </c>
      <c r="AE24" s="970">
        <f>'Availabilities EU Austria'!AE12/2</f>
        <v>0.125</v>
      </c>
      <c r="AF24" s="966">
        <f>1/'IVCs relevant 2040-2050'!T22*0.9</f>
        <v>0.22500000000000001</v>
      </c>
      <c r="AG24" s="525">
        <f t="shared" si="19"/>
        <v>0.10248527237928239</v>
      </c>
      <c r="AH24" s="620">
        <f>AG24*11630</f>
        <v>1191.9037177710541</v>
      </c>
      <c r="AI24" s="621">
        <f>Q24*AA24*AE24</f>
        <v>0.14635227654805508</v>
      </c>
      <c r="AJ24" s="622">
        <f t="shared" si="21"/>
        <v>1702.0769762538805</v>
      </c>
      <c r="AK24" s="531">
        <f t="shared" si="17"/>
        <v>0.1563457711828346</v>
      </c>
      <c r="AL24" s="1006">
        <f t="shared" si="22"/>
        <v>0.18924602430941415</v>
      </c>
      <c r="AM24" s="1007">
        <f t="shared" si="18"/>
        <v>0.21020626998638686</v>
      </c>
      <c r="AN24" s="1007">
        <f t="shared" si="9"/>
        <v>0.23213977207077319</v>
      </c>
      <c r="AO24" s="623">
        <f>X24*AA24*AF24</f>
        <v>0.31792726759349133</v>
      </c>
      <c r="AP24" s="613"/>
      <c r="AQ24" s="613"/>
      <c r="AR24" s="613"/>
      <c r="AS24" s="624"/>
      <c r="AT24" s="624"/>
      <c r="AU24" s="624"/>
      <c r="AV24" s="625"/>
      <c r="AW24" s="625"/>
      <c r="AX24" s="625"/>
      <c r="AY24" s="625"/>
      <c r="AZ24" s="625"/>
      <c r="BA24" s="625"/>
      <c r="BB24" s="626"/>
      <c r="BC24" s="625"/>
      <c r="BD24" s="615"/>
      <c r="BE24" s="627"/>
      <c r="BF24" s="615"/>
      <c r="BG24" s="1">
        <f t="shared" si="23"/>
        <v>3697.494122112304</v>
      </c>
    </row>
    <row r="25" spans="1:59" s="614" customFormat="1" outlineLevel="1">
      <c r="A25" s="615"/>
      <c r="B25" s="615"/>
      <c r="C25" s="615"/>
      <c r="D25" s="616"/>
      <c r="E25" s="616"/>
      <c r="F25" s="615"/>
      <c r="G25" s="625"/>
      <c r="H25" s="615"/>
      <c r="I25" s="613"/>
      <c r="J25" s="855"/>
      <c r="K25" s="922" t="s">
        <v>1337</v>
      </c>
      <c r="L25" s="617"/>
      <c r="M25" s="618"/>
      <c r="N25" s="925">
        <v>0.75999999999999979</v>
      </c>
      <c r="O25" s="925"/>
      <c r="P25" s="925"/>
      <c r="Q25" s="925">
        <v>0.75999999999999979</v>
      </c>
      <c r="R25" s="925"/>
      <c r="S25" s="925"/>
      <c r="T25" s="925"/>
      <c r="U25" s="925"/>
      <c r="V25" s="925"/>
      <c r="W25" s="925"/>
      <c r="X25" s="925">
        <v>4.5799999999999983</v>
      </c>
      <c r="Y25" s="613"/>
      <c r="Z25" s="613"/>
      <c r="AA25" s="683">
        <f>'Conversion factors selected IV '!L15</f>
        <v>0.15803303890148257</v>
      </c>
      <c r="AB25" s="619">
        <f t="shared" si="16"/>
        <v>0.37999999999999989</v>
      </c>
      <c r="AC25" s="619">
        <f t="shared" si="10"/>
        <v>0.37999999999999989</v>
      </c>
      <c r="AD25" s="619">
        <f t="shared" si="20"/>
        <v>4.121999999999999</v>
      </c>
      <c r="AE25" s="970">
        <f>1/'IVCs relevant in 2030'!R21/2</f>
        <v>0.5</v>
      </c>
      <c r="AF25" s="966">
        <f>1/'IVCs relevant 2040-2050'!T21*0.9</f>
        <v>0.9</v>
      </c>
      <c r="AG25" s="525">
        <f t="shared" si="19"/>
        <v>6.0052554782563362E-2</v>
      </c>
      <c r="AH25" s="620">
        <f>AG25*11630</f>
        <v>698.41121212121186</v>
      </c>
      <c r="AI25" s="621">
        <f>Q25*AA25*AE25</f>
        <v>6.0052554782563362E-2</v>
      </c>
      <c r="AJ25" s="622">
        <f t="shared" si="21"/>
        <v>698.41121212121186</v>
      </c>
      <c r="AK25" s="531">
        <f t="shared" si="17"/>
        <v>0.20789246267490027</v>
      </c>
      <c r="AL25" s="1006">
        <f t="shared" si="22"/>
        <v>0.20789246267490027</v>
      </c>
      <c r="AM25" s="1007">
        <f t="shared" si="18"/>
        <v>0.35573237056723722</v>
      </c>
      <c r="AN25" s="1007">
        <f t="shared" si="9"/>
        <v>0.35573237056723722</v>
      </c>
      <c r="AO25" s="623">
        <f>X25*AA25*AF25</f>
        <v>0.651412186351911</v>
      </c>
      <c r="AP25" s="613"/>
      <c r="AQ25" s="613"/>
      <c r="AR25" s="613"/>
      <c r="AS25" s="624"/>
      <c r="AT25" s="624"/>
      <c r="AU25" s="624"/>
      <c r="AV25" s="625"/>
      <c r="AW25" s="625"/>
      <c r="AX25" s="625"/>
      <c r="AY25" s="625"/>
      <c r="AZ25" s="625"/>
      <c r="BA25" s="625"/>
      <c r="BB25" s="626"/>
      <c r="BC25" s="625"/>
      <c r="BD25" s="615"/>
      <c r="BE25" s="627"/>
      <c r="BF25" s="615"/>
      <c r="BG25" s="1">
        <f t="shared" si="23"/>
        <v>7575.923727272725</v>
      </c>
    </row>
    <row r="26" spans="1:59" s="601" customFormat="1" outlineLevel="1">
      <c r="A26" s="515">
        <v>5</v>
      </c>
      <c r="B26" s="563" t="s">
        <v>6</v>
      </c>
      <c r="C26" s="817" t="s">
        <v>48</v>
      </c>
      <c r="D26" s="563" t="s">
        <v>239</v>
      </c>
      <c r="E26" s="563" t="s">
        <v>60</v>
      </c>
      <c r="F26" s="563" t="s">
        <v>640</v>
      </c>
      <c r="G26" s="598"/>
      <c r="H26" s="515"/>
      <c r="I26" s="593"/>
      <c r="J26" s="851">
        <v>2030</v>
      </c>
      <c r="K26" s="563" t="s">
        <v>950</v>
      </c>
      <c r="L26" s="515"/>
      <c r="M26" s="515"/>
      <c r="N26" s="593">
        <f>SUM(N27:N30)</f>
        <v>177.62992397271947</v>
      </c>
      <c r="O26" s="593">
        <f t="shared" ref="O26:X26" si="24">SUM(O27:O30)</f>
        <v>0</v>
      </c>
      <c r="P26" s="593">
        <f t="shared" si="24"/>
        <v>0</v>
      </c>
      <c r="Q26" s="593">
        <f t="shared" si="24"/>
        <v>277.32429753491976</v>
      </c>
      <c r="R26" s="593">
        <f t="shared" si="24"/>
        <v>0</v>
      </c>
      <c r="S26" s="593">
        <f t="shared" si="24"/>
        <v>0</v>
      </c>
      <c r="T26" s="593">
        <f t="shared" si="24"/>
        <v>0</v>
      </c>
      <c r="U26" s="593">
        <f t="shared" si="24"/>
        <v>0</v>
      </c>
      <c r="V26" s="593">
        <f t="shared" si="24"/>
        <v>0</v>
      </c>
      <c r="W26" s="593">
        <f t="shared" si="24"/>
        <v>0</v>
      </c>
      <c r="X26" s="593">
        <f t="shared" si="24"/>
        <v>351.54900419131718</v>
      </c>
      <c r="Y26" s="593"/>
      <c r="Z26" s="593"/>
      <c r="AA26" s="594"/>
      <c r="AB26" s="593">
        <f t="shared" ref="AB26" si="25">SUM(AB27:AB30)</f>
        <v>26.310984931318337</v>
      </c>
      <c r="AC26" s="593">
        <f>SUM(AC27:AC30)</f>
        <v>40.92816852563805</v>
      </c>
      <c r="AD26" s="593">
        <f>SUM(AD27:AD30)</f>
        <v>51.616756389369257</v>
      </c>
      <c r="AE26" s="594"/>
      <c r="AF26" s="594"/>
      <c r="AG26" s="593">
        <f>SUM(AG27:AG30)</f>
        <v>3.29773935574294</v>
      </c>
      <c r="AH26" s="593">
        <f t="shared" ref="AH26:AN26" si="26">SUM(AH27:AH30)</f>
        <v>38352.708707290396</v>
      </c>
      <c r="AI26" s="593">
        <f t="shared" si="26"/>
        <v>5.0935109436753994</v>
      </c>
      <c r="AJ26" s="593">
        <f t="shared" si="26"/>
        <v>59237.53227494489</v>
      </c>
      <c r="AK26" s="593">
        <f>SUM(AK27:AK30)</f>
        <v>4.063076169045015</v>
      </c>
      <c r="AL26" s="596">
        <f t="shared" si="26"/>
        <v>5.4099048599943593</v>
      </c>
      <c r="AM26" s="596">
        <f t="shared" si="26"/>
        <v>4.8284129823470909</v>
      </c>
      <c r="AN26" s="596">
        <f t="shared" si="26"/>
        <v>5.7262987763133202</v>
      </c>
      <c r="AO26" s="595">
        <f>SUM(AO27:AO30)</f>
        <v>6.359086608951241</v>
      </c>
      <c r="AP26" s="595">
        <f t="shared" ref="AP26:BF26" si="27">SUM(AP27:AP30)</f>
        <v>0</v>
      </c>
      <c r="AQ26" s="595">
        <f t="shared" si="27"/>
        <v>0</v>
      </c>
      <c r="AR26" s="595">
        <f t="shared" si="27"/>
        <v>0</v>
      </c>
      <c r="AS26" s="595">
        <f t="shared" si="27"/>
        <v>0</v>
      </c>
      <c r="AT26" s="595">
        <f t="shared" si="27"/>
        <v>0</v>
      </c>
      <c r="AU26" s="595">
        <f t="shared" si="27"/>
        <v>0</v>
      </c>
      <c r="AV26" s="595">
        <f t="shared" si="27"/>
        <v>0</v>
      </c>
      <c r="AW26" s="595">
        <f t="shared" si="27"/>
        <v>0</v>
      </c>
      <c r="AX26" s="595">
        <f t="shared" si="27"/>
        <v>0</v>
      </c>
      <c r="AY26" s="595">
        <f t="shared" si="27"/>
        <v>0</v>
      </c>
      <c r="AZ26" s="595">
        <f t="shared" si="27"/>
        <v>0</v>
      </c>
      <c r="BA26" s="595">
        <f t="shared" si="27"/>
        <v>0</v>
      </c>
      <c r="BB26" s="595">
        <f t="shared" si="27"/>
        <v>0</v>
      </c>
      <c r="BC26" s="595">
        <f t="shared" si="27"/>
        <v>0</v>
      </c>
      <c r="BD26" s="595">
        <f t="shared" si="27"/>
        <v>0</v>
      </c>
      <c r="BE26" s="595">
        <f t="shared" si="27"/>
        <v>0</v>
      </c>
      <c r="BF26" s="595">
        <f t="shared" si="27"/>
        <v>0</v>
      </c>
      <c r="BG26" s="595">
        <f>SUM(BG27:BG30)</f>
        <v>73956.177262102923</v>
      </c>
    </row>
    <row r="27" spans="1:59" customFormat="1" outlineLevel="1">
      <c r="A27" s="494"/>
      <c r="B27" s="499"/>
      <c r="C27" s="499"/>
      <c r="D27" s="524"/>
      <c r="E27" s="524"/>
      <c r="F27" s="499"/>
      <c r="G27" s="534"/>
      <c r="H27" s="494"/>
      <c r="I27" s="525"/>
      <c r="J27" s="854"/>
      <c r="K27" s="494" t="s">
        <v>272</v>
      </c>
      <c r="L27" s="494"/>
      <c r="M27" s="494"/>
      <c r="N27" s="525">
        <f>SUM('EU-27_Medium_2030'!N$32+'EU-27_Medium_2030'!O$32+'EU-27_Medium_2030'!P$32)/1000000</f>
        <v>130.89263574041894</v>
      </c>
      <c r="O27" s="525"/>
      <c r="P27" s="525"/>
      <c r="Q27" s="525">
        <f>SUM('EU-27_High_2030-2050'!BI$33+'EU-27_High_2030-2050'!BJ$33+'EU-27_High_2030-2050'!BK$33)/1000000</f>
        <v>207.40944074964315</v>
      </c>
      <c r="R27" s="546"/>
      <c r="S27" s="546"/>
      <c r="T27" s="546"/>
      <c r="U27" s="546"/>
      <c r="V27" s="546"/>
      <c r="W27" s="546"/>
      <c r="X27" s="525">
        <f>SUM('EU-27_High_2030-2050'!BI$33+'EU-27_High_2030-2050'!BJ$33+'EU-27_High_2030-2050'!BK$33)/1000000</f>
        <v>207.40944074964315</v>
      </c>
      <c r="Y27" s="525"/>
      <c r="Z27" s="525"/>
      <c r="AA27" s="683">
        <f>'Conversion factors selected IV '!L17</f>
        <v>0.11640474653115969</v>
      </c>
      <c r="AB27" s="619">
        <f t="shared" ref="AB27:AB35" si="28">N27*AE27</f>
        <v>18.698947962916989</v>
      </c>
      <c r="AC27" s="619">
        <f t="shared" si="10"/>
        <v>29.629920107091877</v>
      </c>
      <c r="AD27" s="619">
        <f>X27*AF27</f>
        <v>29.629920107091877</v>
      </c>
      <c r="AE27" s="970">
        <f>1/'IVCs relevant in 2030'!R$8</f>
        <v>0.14285714285714285</v>
      </c>
      <c r="AF27" s="975">
        <f>1/'IVCs relevant 2040-2050'!T$8</f>
        <v>0.14285714285714285</v>
      </c>
      <c r="AG27" s="525">
        <f>N27*AA27*AE27</f>
        <v>2.176646298022697</v>
      </c>
      <c r="AH27" s="530">
        <f>AG27*11630</f>
        <v>25314.396446003968</v>
      </c>
      <c r="AI27" s="530">
        <f>Q27*AA27*AE27</f>
        <v>3.4490633398045416</v>
      </c>
      <c r="AJ27" s="531">
        <f>AI27*11630</f>
        <v>40112.606641926817</v>
      </c>
      <c r="AK27" s="531">
        <f>AG27+0.25*(AO27-AG27)</f>
        <v>2.4947505584681582</v>
      </c>
      <c r="AL27" s="1006">
        <f>AI27+0.25*(AO27-AI27)</f>
        <v>3.4490633398045416</v>
      </c>
      <c r="AM27" s="1007">
        <f>AG27+0.5*(AO27-AG27)</f>
        <v>2.8128548189136193</v>
      </c>
      <c r="AN27" s="1007">
        <f t="shared" si="9"/>
        <v>3.4490633398045416</v>
      </c>
      <c r="AO27" s="630">
        <f>X27*AA27*AF27</f>
        <v>3.4490633398045416</v>
      </c>
      <c r="AP27" s="532"/>
      <c r="AQ27" s="542"/>
      <c r="AR27" s="542"/>
      <c r="AS27" s="533"/>
      <c r="AT27" s="533"/>
      <c r="AU27" s="533"/>
      <c r="AV27" s="543"/>
      <c r="AW27" s="544"/>
      <c r="AX27" s="544"/>
      <c r="AY27" s="534"/>
      <c r="AZ27" s="544"/>
      <c r="BA27" s="544"/>
      <c r="BB27" s="535"/>
      <c r="BC27" s="534"/>
      <c r="BD27" s="499"/>
      <c r="BE27" s="536"/>
      <c r="BF27" s="499"/>
      <c r="BG27" s="9">
        <f>AO27*11630</f>
        <v>40112.606641926817</v>
      </c>
    </row>
    <row r="28" spans="1:59" customFormat="1" outlineLevel="1">
      <c r="A28" s="494"/>
      <c r="B28" s="499"/>
      <c r="C28" s="499"/>
      <c r="D28" s="524"/>
      <c r="E28" s="524"/>
      <c r="F28" s="499"/>
      <c r="G28" s="534"/>
      <c r="H28" s="494"/>
      <c r="I28" s="525"/>
      <c r="J28" s="854"/>
      <c r="K28" s="494" t="s">
        <v>274</v>
      </c>
      <c r="L28" s="494"/>
      <c r="M28" s="494"/>
      <c r="N28" s="525">
        <f>SUM('EU-27_Medium_2030'!E$32+'EU-27_Medium_2030'!G$32+'EU-27_Medium_2030'!H$32+'EU-27_Medium_2030'!J$32)/1000000</f>
        <v>5.1230865023155641</v>
      </c>
      <c r="O28" s="525"/>
      <c r="P28" s="525"/>
      <c r="Q28" s="525">
        <f>SUM('EU-27_High_2030-2050'!E$33+'EU-27_High_2030-2050'!G$33+'EU-27_High_2030-2050'!H$33+'EU-27_High_2030-2050'!J$33)/1000000</f>
        <v>8.738165736490755</v>
      </c>
      <c r="R28" s="546"/>
      <c r="S28" s="546"/>
      <c r="T28" s="546"/>
      <c r="U28" s="546"/>
      <c r="V28" s="546"/>
      <c r="W28" s="546"/>
      <c r="X28" s="525">
        <f>SUM('EU-27_High_2030-2050'!AZ$33+'EU-27_High_2030-2050'!BB$33+'EU-27_High_2030-2050'!BC$33+'EU-27_High_2030-2050'!BE$33)/1000000</f>
        <v>71.430408560585576</v>
      </c>
      <c r="Y28" s="525"/>
      <c r="Z28" s="525"/>
      <c r="AA28" s="683">
        <f>'Conversion factors selected IV '!L18</f>
        <v>0.11640474653115969</v>
      </c>
      <c r="AB28" s="619">
        <f t="shared" si="28"/>
        <v>0.73186950033079479</v>
      </c>
      <c r="AC28" s="619">
        <f t="shared" si="10"/>
        <v>1.2483093909272507</v>
      </c>
      <c r="AD28" s="619">
        <f t="shared" ref="AD28:AD30" si="29">X28*AF28</f>
        <v>10.204344080083652</v>
      </c>
      <c r="AE28" s="970">
        <f>1/'IVCs relevant in 2030'!R$2</f>
        <v>0.14285714285714285</v>
      </c>
      <c r="AF28" s="975">
        <f>1/'IVCs relevant 2040-2050'!T$2</f>
        <v>0.14285714285714285</v>
      </c>
      <c r="AG28" s="525">
        <f>N28*AA28*AE28</f>
        <v>8.5193083679892659E-2</v>
      </c>
      <c r="AH28" s="530">
        <f t="shared" ref="AH28:AH35" si="30">AG28*11630</f>
        <v>990.79556319715164</v>
      </c>
      <c r="AI28" s="530">
        <f>Q28*AA28*AE28</f>
        <v>0.14530913824335295</v>
      </c>
      <c r="AJ28" s="531">
        <f t="shared" ref="AJ28:AJ30" si="31">AI28*11630</f>
        <v>1689.9452777701949</v>
      </c>
      <c r="AK28" s="531">
        <f>AG28+0.25*(AO28-AG28)</f>
        <v>0.36085333429963889</v>
      </c>
      <c r="AL28" s="1006">
        <f t="shared" ref="AL28:AL32" si="32">AI28+0.25*(AO28-AI28)</f>
        <v>0.40594037522223414</v>
      </c>
      <c r="AM28" s="1007">
        <f>AG28+0.5*(AO28-AG28)</f>
        <v>0.63651358491938514</v>
      </c>
      <c r="AN28" s="1007">
        <f t="shared" si="9"/>
        <v>0.66657161220111538</v>
      </c>
      <c r="AO28" s="630">
        <f>X28*AA28*AF28</f>
        <v>1.1878340861588776</v>
      </c>
      <c r="AP28" s="532"/>
      <c r="AQ28" s="542"/>
      <c r="AR28" s="542"/>
      <c r="AS28" s="533"/>
      <c r="AT28" s="533"/>
      <c r="AU28" s="533"/>
      <c r="AV28" s="543"/>
      <c r="AW28" s="544"/>
      <c r="AX28" s="544"/>
      <c r="AY28" s="534"/>
      <c r="AZ28" s="544"/>
      <c r="BA28" s="544"/>
      <c r="BB28" s="535"/>
      <c r="BC28" s="534"/>
      <c r="BD28" s="499"/>
      <c r="BE28" s="536"/>
      <c r="BF28" s="499"/>
      <c r="BG28" s="9">
        <f t="shared" ref="BG28:BG30" si="33">AO28*11630</f>
        <v>13814.510422027746</v>
      </c>
    </row>
    <row r="29" spans="1:59" customFormat="1" outlineLevel="1">
      <c r="A29" s="494"/>
      <c r="B29" s="499"/>
      <c r="C29" s="499"/>
      <c r="D29" s="524"/>
      <c r="E29" s="524"/>
      <c r="F29" s="499"/>
      <c r="G29" s="534"/>
      <c r="H29" s="494"/>
      <c r="I29" s="525"/>
      <c r="J29" s="854"/>
      <c r="K29" s="494" t="s">
        <v>276</v>
      </c>
      <c r="L29" s="494"/>
      <c r="M29" s="494"/>
      <c r="N29" s="525">
        <f>SUM('EU-27_Medium_2030'!K$32+'EU-27_Medium_2030'!M$32)/1000000</f>
        <v>2.3323784509315457</v>
      </c>
      <c r="O29" s="525"/>
      <c r="P29" s="525"/>
      <c r="Q29" s="525">
        <f>SUM('EU-27_High_2030-2050'!K$33+'EU-27_High_2030-2050'!M$33)/1000000</f>
        <v>6.1393981815063317</v>
      </c>
      <c r="R29" s="525"/>
      <c r="S29" s="525"/>
      <c r="T29" s="525"/>
      <c r="U29" s="525"/>
      <c r="V29" s="525"/>
      <c r="W29" s="525"/>
      <c r="X29" s="525">
        <f>SUM('EU-27_High_2030-2050'!BF$33+'EU-27_High_2030-2050'!BH$33)/1000000</f>
        <v>14.099411675482649</v>
      </c>
      <c r="Y29" s="525"/>
      <c r="Z29" s="525"/>
      <c r="AA29" s="683">
        <f>'Conversion factors selected IV '!L19</f>
        <v>0.11640474653115969</v>
      </c>
      <c r="AB29" s="619">
        <f t="shared" si="28"/>
        <v>0.33319692156164937</v>
      </c>
      <c r="AC29" s="619">
        <f t="shared" si="10"/>
        <v>0.87705688307233309</v>
      </c>
      <c r="AD29" s="619">
        <f t="shared" si="29"/>
        <v>2.0142016679260926</v>
      </c>
      <c r="AE29" s="970">
        <f>1/'IVCs relevant in 2030'!R$4</f>
        <v>0.14285714285714285</v>
      </c>
      <c r="AF29" s="975">
        <f>1/'IVCs relevant 2040-2050'!T$4</f>
        <v>0.14285714285714285</v>
      </c>
      <c r="AG29" s="525">
        <f>N29*AA29*AE29</f>
        <v>3.8785703199346495E-2</v>
      </c>
      <c r="AH29" s="530">
        <f t="shared" si="30"/>
        <v>451.07772820839972</v>
      </c>
      <c r="AI29" s="530">
        <f>Q29*AA29*AE29</f>
        <v>0.10209358416744389</v>
      </c>
      <c r="AJ29" s="531">
        <f t="shared" si="31"/>
        <v>1187.3483838673724</v>
      </c>
      <c r="AK29" s="531">
        <f>AG29+0.25*(AO29-AG29)</f>
        <v>8.7704936053903837E-2</v>
      </c>
      <c r="AL29" s="1006">
        <f t="shared" si="32"/>
        <v>0.13518584677997689</v>
      </c>
      <c r="AM29" s="1007">
        <f>AG29+0.5*(AO29-AG29)</f>
        <v>0.13662416890846119</v>
      </c>
      <c r="AN29" s="1007">
        <f t="shared" si="9"/>
        <v>0.16827810939250987</v>
      </c>
      <c r="AO29" s="630">
        <f>X29*AA29*AF29</f>
        <v>0.23446263461757588</v>
      </c>
      <c r="AP29" s="532"/>
      <c r="AQ29" s="542"/>
      <c r="AR29" s="542"/>
      <c r="AS29" s="533"/>
      <c r="AT29" s="533"/>
      <c r="AU29" s="533"/>
      <c r="AV29" s="543"/>
      <c r="AW29" s="544"/>
      <c r="AX29" s="544"/>
      <c r="AY29" s="534"/>
      <c r="AZ29" s="544"/>
      <c r="BA29" s="544"/>
      <c r="BB29" s="535"/>
      <c r="BC29" s="534"/>
      <c r="BD29" s="499"/>
      <c r="BE29" s="536"/>
      <c r="BF29" s="499"/>
      <c r="BG29" s="9">
        <f t="shared" si="33"/>
        <v>2726.8004406024074</v>
      </c>
    </row>
    <row r="30" spans="1:59" customFormat="1" outlineLevel="1">
      <c r="A30" s="494"/>
      <c r="B30" s="499"/>
      <c r="C30" s="499"/>
      <c r="D30" s="524"/>
      <c r="E30" s="524"/>
      <c r="F30" s="499"/>
      <c r="G30" s="534"/>
      <c r="H30" s="494"/>
      <c r="I30" s="525"/>
      <c r="J30" s="854"/>
      <c r="K30" s="494" t="s">
        <v>270</v>
      </c>
      <c r="L30" s="494"/>
      <c r="M30" s="494"/>
      <c r="N30" s="525">
        <f>SUM('EU-27_Medium_2030'!U$32+'EU-27_Medium_2030'!V$32+'EU-27_Medium_2030'!W$32+'EU-27_Medium_2030'!X$32+'EU-27_Medium_2030'!Y$32+'EU-27_Medium_2030'!Z$32)/1000000</f>
        <v>39.28182327905342</v>
      </c>
      <c r="O30" s="525"/>
      <c r="P30" s="525"/>
      <c r="Q30" s="525">
        <f>SUM('EU-27_High_2030-2050'!U$33+'EU-27_High_2030-2050'!V$33+'EU-27_High_2030-2050'!W$33+'EU-27_High_2030-2050'!X$33+'EU-27_High_2030-2050'!Y$33+'EU-27_High_2030-2050'!Z$33)/1000000</f>
        <v>55.037292867279561</v>
      </c>
      <c r="R30" s="525"/>
      <c r="S30" s="525"/>
      <c r="T30" s="525"/>
      <c r="U30" s="525"/>
      <c r="V30" s="525"/>
      <c r="W30" s="525"/>
      <c r="X30" s="525">
        <f>SUM('EU-27_High_2030-2050'!BP$33+'EU-27_High_2030-2050'!BQ$33+'EU-27_High_2030-2050'!BR$33+'EU-27_High_2030-2050'!BS$33+'EU-27_High_2030-2050'!BT$33+'EU-27_High_2030-2050'!BU$33)/1000000</f>
        <v>58.609743205605817</v>
      </c>
      <c r="Y30" s="525"/>
      <c r="Z30" s="525"/>
      <c r="AA30" s="683">
        <f>'Conversion factors selected IV '!L20</f>
        <v>0.15230162771584541</v>
      </c>
      <c r="AB30" s="619">
        <f t="shared" si="28"/>
        <v>6.546970546508903</v>
      </c>
      <c r="AC30" s="619">
        <f t="shared" si="10"/>
        <v>9.1728821445465929</v>
      </c>
      <c r="AD30" s="619">
        <f t="shared" si="29"/>
        <v>9.7682905342676349</v>
      </c>
      <c r="AE30" s="970">
        <f>1/'IVCs relevant in 2030'!R$16</f>
        <v>0.16666666666666666</v>
      </c>
      <c r="AF30" s="975">
        <f>1/'IVCs relevant 2040-2050'!T$16</f>
        <v>0.16666666666666666</v>
      </c>
      <c r="AG30" s="525">
        <f>N30*AA30*AE30</f>
        <v>0.9971142708410039</v>
      </c>
      <c r="AH30" s="530">
        <f t="shared" si="30"/>
        <v>11596.438969880875</v>
      </c>
      <c r="AI30" s="530">
        <f>Q30*AA30*AE30</f>
        <v>1.3970448814600609</v>
      </c>
      <c r="AJ30" s="531">
        <f t="shared" si="31"/>
        <v>16247.631971380508</v>
      </c>
      <c r="AK30" s="531">
        <f>AG30+0.25*(AO30-AG30)</f>
        <v>1.1197673402233144</v>
      </c>
      <c r="AL30" s="1006">
        <f t="shared" si="32"/>
        <v>1.4197152981876071</v>
      </c>
      <c r="AM30" s="1007">
        <f>AG30+0.5*(AO30-AG30)</f>
        <v>1.2424204096056251</v>
      </c>
      <c r="AN30" s="1007">
        <f t="shared" si="9"/>
        <v>1.4423857149151535</v>
      </c>
      <c r="AO30" s="630">
        <f>X30*AA30*AF30</f>
        <v>1.487726548370246</v>
      </c>
      <c r="AP30" s="532"/>
      <c r="AQ30" s="542"/>
      <c r="AR30" s="542"/>
      <c r="AS30" s="533"/>
      <c r="AT30" s="533"/>
      <c r="AU30" s="533"/>
      <c r="AV30" s="543"/>
      <c r="AW30" s="544"/>
      <c r="AX30" s="544"/>
      <c r="AY30" s="534"/>
      <c r="AZ30" s="544"/>
      <c r="BA30" s="544"/>
      <c r="BB30" s="535"/>
      <c r="BC30" s="534"/>
      <c r="BD30" s="499"/>
      <c r="BE30" s="536"/>
      <c r="BF30" s="499"/>
      <c r="BG30" s="9">
        <f t="shared" si="33"/>
        <v>17302.259757545962</v>
      </c>
    </row>
    <row r="31" spans="1:59" s="942" customFormat="1">
      <c r="A31" s="936">
        <v>5</v>
      </c>
      <c r="B31" s="936" t="s">
        <v>6</v>
      </c>
      <c r="C31" s="936" t="s">
        <v>49</v>
      </c>
      <c r="D31" s="936" t="s">
        <v>1182</v>
      </c>
      <c r="E31" s="936" t="s">
        <v>90</v>
      </c>
      <c r="F31" s="936" t="s">
        <v>643</v>
      </c>
      <c r="G31" s="937">
        <v>8</v>
      </c>
      <c r="H31" s="936">
        <v>2</v>
      </c>
      <c r="I31" s="938">
        <v>95.269032568381718</v>
      </c>
      <c r="J31" s="939" t="s">
        <v>1025</v>
      </c>
      <c r="K31" s="936" t="s">
        <v>950</v>
      </c>
      <c r="L31" s="936"/>
      <c r="M31" s="936"/>
      <c r="N31" s="938">
        <f>SUM(N32:N35)</f>
        <v>177.62992397271947</v>
      </c>
      <c r="O31" s="938">
        <v>336.33378205272192</v>
      </c>
      <c r="P31" s="938">
        <v>96.269745561533483</v>
      </c>
      <c r="Q31" s="938">
        <f>SUM(Q32:Q35)</f>
        <v>277.32429753491976</v>
      </c>
      <c r="R31" s="938">
        <f>SUM(N8+((T31-N31)/2))</f>
        <v>95.446692118881444</v>
      </c>
      <c r="S31" s="938">
        <v>208.04799177070726</v>
      </c>
      <c r="T31" s="938">
        <v>367.53185398501233</v>
      </c>
      <c r="U31" s="938">
        <v>97.270458554685263</v>
      </c>
      <c r="V31" s="938">
        <v>216.78007424080391</v>
      </c>
      <c r="W31" s="938">
        <f>SUM(T31+((X31-T31)/2))</f>
        <v>359.54042908816473</v>
      </c>
      <c r="X31" s="938">
        <f>SUM(X32:X35)</f>
        <v>351.54900419131718</v>
      </c>
      <c r="Y31" s="938"/>
      <c r="Z31" s="938"/>
      <c r="AA31" s="940"/>
      <c r="AB31" s="619">
        <f t="shared" si="28"/>
        <v>0</v>
      </c>
      <c r="AC31" s="619">
        <f>O31*AF31</f>
        <v>0</v>
      </c>
      <c r="AD31" s="619"/>
      <c r="AE31" s="940"/>
      <c r="AF31" s="940"/>
      <c r="AG31" s="941">
        <f>SUM(AG32:AG35)</f>
        <v>0.48547926246378081</v>
      </c>
      <c r="AH31" s="941">
        <f>SUM(AH32:AH35)</f>
        <v>5646.123822453771</v>
      </c>
      <c r="AI31" s="941">
        <f t="shared" ref="AI31:AJ31" si="34">SUM(AI32:AI35)</f>
        <v>0.74984517256659888</v>
      </c>
      <c r="AJ31" s="941">
        <f t="shared" si="34"/>
        <v>8720.6993569495444</v>
      </c>
      <c r="AK31" s="941">
        <f t="shared" ref="AK31" si="35">SUM(AK32:AK35)</f>
        <v>0.83218838575497744</v>
      </c>
      <c r="AL31" s="595">
        <f t="shared" ref="AL31" si="36">SUM(AL32:AL35)</f>
        <v>1.0243156779054292</v>
      </c>
      <c r="AM31" s="595">
        <f t="shared" ref="AM31" si="37">SUM(AM32:AM35)</f>
        <v>1.1788975090461742</v>
      </c>
      <c r="AN31" s="595">
        <f t="shared" ref="AN31" si="38">SUM(AN32:AN35)</f>
        <v>1.3110804640975831</v>
      </c>
      <c r="AO31" s="941">
        <f t="shared" ref="AO31" si="39">SUM(AO32:AO35)</f>
        <v>1.8723157556285672</v>
      </c>
      <c r="AP31" s="941">
        <f t="shared" ref="AP31:BF31" si="40">SUM(AP32:AP35)</f>
        <v>0</v>
      </c>
      <c r="AQ31" s="941">
        <f t="shared" si="40"/>
        <v>0</v>
      </c>
      <c r="AR31" s="941">
        <f t="shared" si="40"/>
        <v>0</v>
      </c>
      <c r="AS31" s="941">
        <f t="shared" si="40"/>
        <v>0</v>
      </c>
      <c r="AT31" s="941">
        <f t="shared" si="40"/>
        <v>0</v>
      </c>
      <c r="AU31" s="941">
        <f t="shared" si="40"/>
        <v>0</v>
      </c>
      <c r="AV31" s="941">
        <f t="shared" si="40"/>
        <v>0</v>
      </c>
      <c r="AW31" s="941">
        <f t="shared" si="40"/>
        <v>0</v>
      </c>
      <c r="AX31" s="941">
        <f t="shared" si="40"/>
        <v>0</v>
      </c>
      <c r="AY31" s="941">
        <f t="shared" si="40"/>
        <v>0</v>
      </c>
      <c r="AZ31" s="941">
        <f t="shared" si="40"/>
        <v>0</v>
      </c>
      <c r="BA31" s="941">
        <f t="shared" si="40"/>
        <v>0</v>
      </c>
      <c r="BB31" s="941">
        <f t="shared" si="40"/>
        <v>0</v>
      </c>
      <c r="BC31" s="941">
        <f t="shared" si="40"/>
        <v>0</v>
      </c>
      <c r="BD31" s="941">
        <f t="shared" si="40"/>
        <v>0</v>
      </c>
      <c r="BE31" s="941">
        <f t="shared" si="40"/>
        <v>0</v>
      </c>
      <c r="BF31" s="941">
        <f t="shared" si="40"/>
        <v>0</v>
      </c>
      <c r="BG31" s="941">
        <f>SUM(BG32:BG35)</f>
        <v>21775.032237960237</v>
      </c>
    </row>
    <row r="32" spans="1:59" s="30" customFormat="1" outlineLevel="1">
      <c r="A32" s="905"/>
      <c r="B32" s="905"/>
      <c r="C32" s="905"/>
      <c r="D32" s="906"/>
      <c r="E32" s="906"/>
      <c r="F32" s="905"/>
      <c r="G32" s="943"/>
      <c r="H32" s="905"/>
      <c r="I32" s="907"/>
      <c r="J32" s="908"/>
      <c r="K32" s="905" t="s">
        <v>272</v>
      </c>
      <c r="L32" s="905" t="s">
        <v>273</v>
      </c>
      <c r="M32" s="944" t="s">
        <v>1041</v>
      </c>
      <c r="N32" s="907">
        <f>SUM('EU-27_Medium_2030'!N$32+'EU-27_Medium_2030'!O$32+'EU-27_Medium_2030'!P$32)/1000000</f>
        <v>130.89263574041894</v>
      </c>
      <c r="O32" s="907"/>
      <c r="P32" s="907"/>
      <c r="Q32" s="907">
        <f>SUM('EU-27_High_2030-2050'!BI$33+'EU-27_High_2030-2050'!BJ$33+'EU-27_High_2030-2050'!BK$33)/1000000</f>
        <v>207.40944074964315</v>
      </c>
      <c r="R32" s="945"/>
      <c r="S32" s="945"/>
      <c r="T32" s="945"/>
      <c r="U32" s="945"/>
      <c r="V32" s="945"/>
      <c r="W32" s="945"/>
      <c r="X32" s="907">
        <f>SUM('EU-27_High_2030-2050'!BI$33+'EU-27_High_2030-2050'!BJ$33+'EU-27_High_2030-2050'!BK$33)/1000000</f>
        <v>207.40944074964315</v>
      </c>
      <c r="Y32" s="907"/>
      <c r="Z32" s="907"/>
      <c r="AA32" s="912">
        <f>'Conversion factors selected IV '!L$22</f>
        <v>3.4273230475183672E-2</v>
      </c>
      <c r="AB32" s="619">
        <f t="shared" si="28"/>
        <v>9.3494739814584946</v>
      </c>
      <c r="AC32" s="619">
        <f t="shared" si="10"/>
        <v>14.814960053545938</v>
      </c>
      <c r="AD32" s="619"/>
      <c r="AE32" s="975">
        <f>1/'IVCs relevant in 2030'!R$8/2</f>
        <v>7.1428571428571425E-2</v>
      </c>
      <c r="AF32" s="975">
        <f>1/'IVCs relevant 2040-2050'!T$8</f>
        <v>0.14285714285714285</v>
      </c>
      <c r="AG32" s="907">
        <f>N32*AA32*AE32</f>
        <v>0.32043667658826014</v>
      </c>
      <c r="AH32" s="914">
        <f t="shared" si="30"/>
        <v>3726.6785487214656</v>
      </c>
      <c r="AI32" s="914">
        <f>Q32*AA32*AE32</f>
        <v>0.50775654039581941</v>
      </c>
      <c r="AJ32" s="916">
        <f>AI32*11630</f>
        <v>5905.2085648033799</v>
      </c>
      <c r="AK32" s="531">
        <f>AG32+0.25*(AO32-AG32)</f>
        <v>0.49420577763910478</v>
      </c>
      <c r="AL32" s="1006">
        <f t="shared" si="32"/>
        <v>0.63469567549477424</v>
      </c>
      <c r="AM32" s="1007">
        <f>AG32+0.5*(AO32-AG32)</f>
        <v>0.66797487868994954</v>
      </c>
      <c r="AN32" s="1007">
        <f>AI32+0.5*(AO32-AI32)</f>
        <v>0.76163481059372917</v>
      </c>
      <c r="AO32" s="946">
        <f>X32*AA32*AF32</f>
        <v>1.0155130807916388</v>
      </c>
      <c r="AP32" s="907"/>
      <c r="AQ32" s="907"/>
      <c r="AR32" s="907"/>
      <c r="AS32" s="947"/>
      <c r="AT32" s="947"/>
      <c r="AU32" s="947"/>
      <c r="AV32" s="943"/>
      <c r="AW32" s="943"/>
      <c r="AX32" s="943"/>
      <c r="AY32" s="943"/>
      <c r="AZ32" s="943"/>
      <c r="BA32" s="943"/>
      <c r="BB32" s="948"/>
      <c r="BC32" s="943"/>
      <c r="BD32" s="905"/>
      <c r="BE32" s="949"/>
      <c r="BF32" s="905"/>
      <c r="BG32" s="51">
        <f>AO32*11630</f>
        <v>11810.41712960676</v>
      </c>
    </row>
    <row r="33" spans="1:59" s="30" customFormat="1" outlineLevel="1">
      <c r="A33" s="905"/>
      <c r="B33" s="905"/>
      <c r="C33" s="905"/>
      <c r="D33" s="906"/>
      <c r="E33" s="906"/>
      <c r="F33" s="905"/>
      <c r="G33" s="943"/>
      <c r="H33" s="905"/>
      <c r="I33" s="907"/>
      <c r="J33" s="908"/>
      <c r="K33" s="905" t="s">
        <v>274</v>
      </c>
      <c r="L33" s="905" t="s">
        <v>275</v>
      </c>
      <c r="M33" s="905" t="s">
        <v>1039</v>
      </c>
      <c r="N33" s="907">
        <f>SUM('EU-27_Medium_2030'!E$32+'EU-27_Medium_2030'!G$32+'EU-27_Medium_2030'!H$32+'EU-27_Medium_2030'!J$32)/1000000</f>
        <v>5.1230865023155641</v>
      </c>
      <c r="O33" s="907"/>
      <c r="P33" s="907"/>
      <c r="Q33" s="907">
        <f>SUM('EU-27_High_2030-2050'!E$33+'EU-27_High_2030-2050'!G$33+'EU-27_High_2030-2050'!H$33+'EU-27_High_2030-2050'!J$33)/1000000</f>
        <v>8.738165736490755</v>
      </c>
      <c r="R33" s="945"/>
      <c r="S33" s="945"/>
      <c r="T33" s="945"/>
      <c r="U33" s="945"/>
      <c r="V33" s="945"/>
      <c r="W33" s="945"/>
      <c r="X33" s="907">
        <f>SUM('EU-27_High_2030-2050'!AZ$33+'EU-27_High_2030-2050'!BB$33+'EU-27_High_2030-2050'!BC$33+'EU-27_High_2030-2050'!BE$33)/1000000</f>
        <v>71.430408560585576</v>
      </c>
      <c r="Y33" s="907"/>
      <c r="Z33" s="907"/>
      <c r="AA33" s="912">
        <f>'Conversion factors selected IV '!L$23</f>
        <v>3.4273230475183672E-2</v>
      </c>
      <c r="AB33" s="619">
        <f t="shared" si="28"/>
        <v>0.36593475016539739</v>
      </c>
      <c r="AC33" s="619">
        <f t="shared" si="10"/>
        <v>0.62415469546362534</v>
      </c>
      <c r="AD33" s="619"/>
      <c r="AE33" s="975">
        <f>1/'IVCs relevant in 2030'!R$2/2</f>
        <v>7.1428571428571425E-2</v>
      </c>
      <c r="AF33" s="975">
        <f>1/'IVCs relevant 2040-2050'!T$2</f>
        <v>0.14285714285714285</v>
      </c>
      <c r="AG33" s="907">
        <f>N33*AA33*AE33</f>
        <v>1.2541766031297422E-2</v>
      </c>
      <c r="AH33" s="914">
        <f t="shared" si="30"/>
        <v>145.86073894398902</v>
      </c>
      <c r="AI33" s="914">
        <f>Q33*AA33*AE33</f>
        <v>2.1391797729792907E-2</v>
      </c>
      <c r="AJ33" s="916">
        <f t="shared" ref="AJ33:AJ35" si="41">AI33*11630</f>
        <v>248.78660759749152</v>
      </c>
      <c r="AK33" s="531">
        <f>AG33+0.25*(AO33-AG33)</f>
        <v>9.684028364966886E-2</v>
      </c>
      <c r="AL33" s="1006">
        <f>AI33+0.24*(AO33-AI33)</f>
        <v>0.10019436703579059</v>
      </c>
      <c r="AM33" s="1007">
        <f>AG33+0.5*(AO33-AG33)</f>
        <v>0.1811388012680403</v>
      </c>
      <c r="AN33" s="1007">
        <f>AI33+0.5*(AO33-AI33)</f>
        <v>0.18556381711728806</v>
      </c>
      <c r="AO33" s="946">
        <f>X33*AA33*AF33</f>
        <v>0.34973583650478318</v>
      </c>
      <c r="AP33" s="907"/>
      <c r="AQ33" s="907"/>
      <c r="AR33" s="907"/>
      <c r="AS33" s="947"/>
      <c r="AT33" s="947"/>
      <c r="AU33" s="947"/>
      <c r="AV33" s="943"/>
      <c r="AW33" s="943"/>
      <c r="AX33" s="943"/>
      <c r="AY33" s="943"/>
      <c r="AZ33" s="943"/>
      <c r="BA33" s="943"/>
      <c r="BB33" s="948"/>
      <c r="BC33" s="943"/>
      <c r="BD33" s="905"/>
      <c r="BE33" s="949"/>
      <c r="BF33" s="905"/>
      <c r="BG33" s="51">
        <f t="shared" ref="BG33:BG35" si="42">AO33*11630</f>
        <v>4067.4277785506283</v>
      </c>
    </row>
    <row r="34" spans="1:59" s="30" customFormat="1" outlineLevel="1">
      <c r="A34" s="905"/>
      <c r="B34" s="905"/>
      <c r="C34" s="905"/>
      <c r="D34" s="906"/>
      <c r="E34" s="906"/>
      <c r="F34" s="905"/>
      <c r="G34" s="943"/>
      <c r="H34" s="905"/>
      <c r="I34" s="907"/>
      <c r="J34" s="908"/>
      <c r="K34" s="905" t="s">
        <v>276</v>
      </c>
      <c r="L34" s="905" t="s">
        <v>277</v>
      </c>
      <c r="M34" s="950" t="s">
        <v>1039</v>
      </c>
      <c r="N34" s="907">
        <f>SUM('EU-27_Medium_2030'!K$32+'EU-27_Medium_2030'!M$32)/1000000</f>
        <v>2.3323784509315457</v>
      </c>
      <c r="O34" s="907"/>
      <c r="P34" s="907"/>
      <c r="Q34" s="907">
        <f>SUM('EU-27_High_2030-2050'!K$33+'EU-27_High_2030-2050'!M$33)/1000000</f>
        <v>6.1393981815063317</v>
      </c>
      <c r="R34" s="907"/>
      <c r="S34" s="907"/>
      <c r="T34" s="907"/>
      <c r="U34" s="907"/>
      <c r="V34" s="907"/>
      <c r="W34" s="907"/>
      <c r="X34" s="907">
        <f>SUM('EU-27_High_2030-2050'!BF$33+'EU-27_High_2030-2050'!BH$33)/1000000</f>
        <v>14.099411675482649</v>
      </c>
      <c r="Y34" s="907"/>
      <c r="Z34" s="907"/>
      <c r="AA34" s="912">
        <f>'Conversion factors selected IV '!L$24</f>
        <v>3.4273230475183672E-2</v>
      </c>
      <c r="AB34" s="619">
        <f t="shared" si="28"/>
        <v>0.16659846078082469</v>
      </c>
      <c r="AC34" s="619">
        <f t="shared" si="10"/>
        <v>0.43852844153616655</v>
      </c>
      <c r="AD34" s="619"/>
      <c r="AE34" s="975">
        <f>1/'IVCs relevant in 2030'!R$4/2</f>
        <v>7.1428571428571425E-2</v>
      </c>
      <c r="AF34" s="975">
        <f>1/'IVCs relevant 2040-2050'!T$4</f>
        <v>0.14285714285714285</v>
      </c>
      <c r="AG34" s="907">
        <f>N34*AA34*AE34</f>
        <v>5.7098674431520528E-3</v>
      </c>
      <c r="AH34" s="914">
        <f t="shared" si="30"/>
        <v>66.405758363858368</v>
      </c>
      <c r="AI34" s="914">
        <f>Q34*AA34*AE34</f>
        <v>1.5029786346692144E-2</v>
      </c>
      <c r="AJ34" s="916">
        <f t="shared" si="41"/>
        <v>174.79641521202964</v>
      </c>
      <c r="AK34" s="531">
        <f>AG34+0.25*(AO34-AG34)</f>
        <v>2.1540700079446626E-2</v>
      </c>
      <c r="AL34" s="1006">
        <f>AI34+0.24*(AO34-AI34)</f>
        <v>2.7990605140685312E-2</v>
      </c>
      <c r="AM34" s="1007">
        <f>AG34+0.5*(AO34-AG34)</f>
        <v>3.7371532715741194E-2</v>
      </c>
      <c r="AN34" s="1007">
        <f t="shared" si="9"/>
        <v>4.2031492167511245E-2</v>
      </c>
      <c r="AO34" s="946">
        <f>X34*AA34*AF34</f>
        <v>6.9033197988330339E-2</v>
      </c>
      <c r="AP34" s="907"/>
      <c r="AQ34" s="907"/>
      <c r="AR34" s="907"/>
      <c r="AS34" s="947"/>
      <c r="AT34" s="947"/>
      <c r="AU34" s="947"/>
      <c r="AV34" s="943"/>
      <c r="AW34" s="943"/>
      <c r="AX34" s="943"/>
      <c r="AY34" s="943"/>
      <c r="AZ34" s="943"/>
      <c r="BA34" s="943"/>
      <c r="BB34" s="948"/>
      <c r="BC34" s="943"/>
      <c r="BD34" s="905"/>
      <c r="BE34" s="949"/>
      <c r="BF34" s="905"/>
      <c r="BG34" s="51">
        <f t="shared" si="42"/>
        <v>802.8560926042818</v>
      </c>
    </row>
    <row r="35" spans="1:59" s="30" customFormat="1" outlineLevel="1">
      <c r="A35" s="905"/>
      <c r="B35" s="905"/>
      <c r="C35" s="905"/>
      <c r="D35" s="906"/>
      <c r="E35" s="906"/>
      <c r="F35" s="905"/>
      <c r="G35" s="943"/>
      <c r="H35" s="905"/>
      <c r="I35" s="907"/>
      <c r="J35" s="908"/>
      <c r="K35" s="905" t="s">
        <v>270</v>
      </c>
      <c r="L35" s="905" t="s">
        <v>271</v>
      </c>
      <c r="M35" s="909" t="s">
        <v>968</v>
      </c>
      <c r="N35" s="907">
        <f>SUM('EU-27_Medium_2030'!U$32+'EU-27_Medium_2030'!V$32+'EU-27_Medium_2030'!W$32+'EU-27_Medium_2030'!X$32+'EU-27_Medium_2030'!Y$32+'EU-27_Medium_2030'!Z$32)/1000000</f>
        <v>39.28182327905342</v>
      </c>
      <c r="O35" s="907"/>
      <c r="P35" s="907"/>
      <c r="Q35" s="907">
        <f>SUM('EU-27_High_2030-2050'!U$33+'EU-27_High_2030-2050'!V$33+'EU-27_High_2030-2050'!W$33+'EU-27_High_2030-2050'!X$33+'EU-27_High_2030-2050'!Y$33+'EU-27_High_2030-2050'!Z$33)/1000000</f>
        <v>55.037292867279561</v>
      </c>
      <c r="R35" s="907"/>
      <c r="S35" s="907"/>
      <c r="T35" s="907"/>
      <c r="U35" s="907"/>
      <c r="V35" s="907"/>
      <c r="W35" s="907"/>
      <c r="X35" s="907">
        <f>SUM('EU-27_High_2030-2050'!BP$33+'EU-27_High_2030-2050'!BQ$33+'EU-27_High_2030-2050'!BR$33+'EU-27_High_2030-2050'!BS$33+'EU-27_High_2030-2050'!BT$33+'EU-27_High_2030-2050'!BU$33)/1000000</f>
        <v>58.609743205605817</v>
      </c>
      <c r="Y35" s="907"/>
      <c r="Z35" s="907"/>
      <c r="AA35" s="912">
        <f>'Conversion factors selected IV '!L$25</f>
        <v>4.4842405004967008E-2</v>
      </c>
      <c r="AB35" s="619">
        <f t="shared" si="28"/>
        <v>3.2734852732544515</v>
      </c>
      <c r="AC35" s="619">
        <f t="shared" si="10"/>
        <v>4.5864410722732964</v>
      </c>
      <c r="AD35" s="619"/>
      <c r="AE35" s="975">
        <f>1/'IVCs relevant in 2030'!R$16/2</f>
        <v>8.3333333333333329E-2</v>
      </c>
      <c r="AF35" s="975">
        <f>1/'IVCs relevant 2040-2050'!T$16</f>
        <v>0.16666666666666666</v>
      </c>
      <c r="AG35" s="907">
        <f>N35*AA35*AE35</f>
        <v>0.14679095240107121</v>
      </c>
      <c r="AH35" s="914">
        <f t="shared" si="30"/>
        <v>1707.1787764244582</v>
      </c>
      <c r="AI35" s="914">
        <f>Q35*AA35*AE35</f>
        <v>0.20566704809429431</v>
      </c>
      <c r="AJ35" s="916">
        <f t="shared" si="41"/>
        <v>2391.907769336643</v>
      </c>
      <c r="AK35" s="531">
        <f>AG35+0.25*(AO35-AG35)</f>
        <v>0.21960162438675712</v>
      </c>
      <c r="AL35" s="1006">
        <f>AI35+0.24*(AO35-AI35)</f>
        <v>0.26143503023417924</v>
      </c>
      <c r="AM35" s="1007">
        <f>AG35+0.5*(AO35-AG35)</f>
        <v>0.29241229637244304</v>
      </c>
      <c r="AN35" s="1007">
        <f t="shared" si="9"/>
        <v>0.32185034421905456</v>
      </c>
      <c r="AO35" s="946">
        <f>X35*AA35*AF35</f>
        <v>0.43803364034381487</v>
      </c>
      <c r="AP35" s="907"/>
      <c r="AQ35" s="907"/>
      <c r="AR35" s="907"/>
      <c r="AS35" s="947"/>
      <c r="AT35" s="947"/>
      <c r="AU35" s="947"/>
      <c r="AV35" s="943"/>
      <c r="AW35" s="943"/>
      <c r="AX35" s="943"/>
      <c r="AY35" s="943"/>
      <c r="AZ35" s="943"/>
      <c r="BA35" s="943"/>
      <c r="BB35" s="948"/>
      <c r="BC35" s="943"/>
      <c r="BD35" s="905"/>
      <c r="BE35" s="949"/>
      <c r="BF35" s="905"/>
      <c r="BG35" s="51">
        <f t="shared" si="42"/>
        <v>5094.3312371985667</v>
      </c>
    </row>
    <row r="36" spans="1:59" s="601" customFormat="1">
      <c r="A36" s="515">
        <v>6</v>
      </c>
      <c r="B36" s="606" t="s">
        <v>7</v>
      </c>
      <c r="C36" s="606" t="s">
        <v>49</v>
      </c>
      <c r="D36" s="563" t="s">
        <v>1182</v>
      </c>
      <c r="E36" s="563" t="s">
        <v>90</v>
      </c>
      <c r="F36" s="606" t="s">
        <v>641</v>
      </c>
      <c r="G36" s="598">
        <v>8</v>
      </c>
      <c r="H36" s="515">
        <v>2</v>
      </c>
      <c r="I36" s="515"/>
      <c r="J36" s="859" t="s">
        <v>1030</v>
      </c>
      <c r="K36" s="834" t="s">
        <v>1340</v>
      </c>
      <c r="L36" s="515"/>
      <c r="M36" s="515"/>
      <c r="N36" s="515"/>
      <c r="O36" s="515"/>
      <c r="P36" s="515"/>
      <c r="Q36" s="515"/>
      <c r="R36" s="593">
        <f>SUM(N36+((T36-N36)/2))</f>
        <v>9.463750000000001</v>
      </c>
      <c r="S36" s="593"/>
      <c r="T36" s="593">
        <v>18.927500000000002</v>
      </c>
      <c r="U36" s="593"/>
      <c r="V36" s="593"/>
      <c r="W36" s="593">
        <f>SUM(T36+((X36-T36)/2))</f>
        <v>9.463750000000001</v>
      </c>
      <c r="X36" s="593"/>
      <c r="Y36" s="593"/>
      <c r="Z36" s="593"/>
      <c r="AA36" s="594"/>
      <c r="AB36" s="594"/>
      <c r="AC36" s="594"/>
      <c r="AD36" s="594"/>
      <c r="AE36" s="594"/>
      <c r="AF36" s="594"/>
      <c r="AG36" s="595"/>
      <c r="AH36" s="595"/>
      <c r="AI36" s="595"/>
      <c r="AJ36" s="595">
        <f>SUM(AJ37)</f>
        <v>0</v>
      </c>
      <c r="AK36" s="595">
        <f t="shared" ref="AK36:BG36" si="43">SUM(AK37)</f>
        <v>0</v>
      </c>
      <c r="AL36" s="595">
        <f t="shared" si="43"/>
        <v>0</v>
      </c>
      <c r="AM36" s="595">
        <f t="shared" si="43"/>
        <v>0</v>
      </c>
      <c r="AN36" s="595">
        <f t="shared" si="43"/>
        <v>0</v>
      </c>
      <c r="AO36" s="595">
        <f t="shared" si="43"/>
        <v>0</v>
      </c>
      <c r="AP36" s="595">
        <f t="shared" si="43"/>
        <v>0</v>
      </c>
      <c r="AQ36" s="595">
        <f t="shared" si="43"/>
        <v>0</v>
      </c>
      <c r="AR36" s="595">
        <f t="shared" si="43"/>
        <v>0</v>
      </c>
      <c r="AS36" s="595">
        <f t="shared" si="43"/>
        <v>0</v>
      </c>
      <c r="AT36" s="595">
        <f t="shared" si="43"/>
        <v>0</v>
      </c>
      <c r="AU36" s="595">
        <f t="shared" si="43"/>
        <v>0</v>
      </c>
      <c r="AV36" s="595">
        <f t="shared" si="43"/>
        <v>0</v>
      </c>
      <c r="AW36" s="595">
        <f t="shared" si="43"/>
        <v>0</v>
      </c>
      <c r="AX36" s="595">
        <f t="shared" si="43"/>
        <v>0</v>
      </c>
      <c r="AY36" s="595">
        <f t="shared" si="43"/>
        <v>0</v>
      </c>
      <c r="AZ36" s="595">
        <f t="shared" si="43"/>
        <v>0</v>
      </c>
      <c r="BA36" s="595">
        <f t="shared" si="43"/>
        <v>0</v>
      </c>
      <c r="BB36" s="595">
        <f t="shared" si="43"/>
        <v>0</v>
      </c>
      <c r="BC36" s="595">
        <f t="shared" si="43"/>
        <v>0</v>
      </c>
      <c r="BD36" s="595">
        <f t="shared" si="43"/>
        <v>0</v>
      </c>
      <c r="BE36" s="595">
        <f t="shared" si="43"/>
        <v>0</v>
      </c>
      <c r="BF36" s="595">
        <f t="shared" si="43"/>
        <v>0</v>
      </c>
      <c r="BG36" s="595">
        <f t="shared" si="43"/>
        <v>0</v>
      </c>
    </row>
    <row r="37" spans="1:59" customFormat="1">
      <c r="A37" s="494"/>
      <c r="B37" s="548" t="s">
        <v>1343</v>
      </c>
      <c r="C37" s="548"/>
      <c r="D37" s="549"/>
      <c r="E37" s="549"/>
      <c r="F37" s="548"/>
      <c r="G37" s="534"/>
      <c r="H37" s="494"/>
      <c r="I37" s="494"/>
      <c r="J37" s="503"/>
      <c r="K37" s="550" t="s">
        <v>278</v>
      </c>
      <c r="L37" s="494"/>
      <c r="M37" s="494"/>
      <c r="N37" s="494"/>
      <c r="O37" s="494"/>
      <c r="P37" s="494"/>
      <c r="Q37" s="494" t="s">
        <v>1368</v>
      </c>
      <c r="R37" s="525"/>
      <c r="S37" s="525"/>
      <c r="T37" s="525"/>
      <c r="U37" s="525"/>
      <c r="V37" s="525"/>
      <c r="W37" s="525"/>
      <c r="X37" s="525"/>
      <c r="Y37" s="525"/>
      <c r="Z37" s="525"/>
      <c r="AA37" s="527">
        <f>'Conversion factors selected IV '!L27</f>
        <v>0.61622241329893945</v>
      </c>
      <c r="AB37" s="619"/>
      <c r="AC37" s="619"/>
      <c r="AD37" s="1009"/>
      <c r="AE37" s="70">
        <f>1/'IVCs relevant in 2030'!R24</f>
        <v>1</v>
      </c>
      <c r="AF37" s="70">
        <v>1</v>
      </c>
      <c r="AG37" s="907">
        <f>N37*AA37*AE37</f>
        <v>0</v>
      </c>
      <c r="AH37" s="530">
        <f>AG37*11630</f>
        <v>0</v>
      </c>
      <c r="AI37" s="914"/>
      <c r="AJ37" s="531">
        <f>AI37*11630</f>
        <v>0</v>
      </c>
      <c r="AK37" s="531">
        <f>AG37+0.25*(AO37-AG37)</f>
        <v>0</v>
      </c>
      <c r="AL37" s="1006">
        <f>AI37+0.24*(AO37-AI37)</f>
        <v>0</v>
      </c>
      <c r="AM37" s="1007">
        <f>AG37+0.5*(AO37-AG37)</f>
        <v>0</v>
      </c>
      <c r="AN37" s="1007">
        <f t="shared" si="9"/>
        <v>0</v>
      </c>
      <c r="AO37" s="946">
        <f>X37*AA37*AF37</f>
        <v>0</v>
      </c>
      <c r="AP37" s="532"/>
      <c r="AQ37" s="532"/>
      <c r="AR37" s="532"/>
      <c r="AS37" s="533"/>
      <c r="AT37" s="533"/>
      <c r="AU37" s="533"/>
      <c r="AV37" s="534"/>
      <c r="AW37" s="534"/>
      <c r="AX37" s="534"/>
      <c r="AY37" s="534"/>
      <c r="AZ37" s="534"/>
      <c r="BA37" s="534"/>
      <c r="BB37" s="535"/>
      <c r="BC37" s="534"/>
      <c r="BD37" s="499"/>
      <c r="BE37" s="536"/>
      <c r="BF37" s="499"/>
    </row>
    <row r="38" spans="1:59" customFormat="1">
      <c r="A38" s="494"/>
      <c r="B38" s="548" t="s">
        <v>1344</v>
      </c>
      <c r="C38" s="548"/>
      <c r="D38" s="549"/>
      <c r="E38" s="549"/>
      <c r="F38" s="548"/>
      <c r="G38" s="534"/>
      <c r="H38" s="494"/>
      <c r="I38" s="494"/>
      <c r="J38" s="503"/>
      <c r="K38" s="550"/>
      <c r="L38" s="494"/>
      <c r="M38" s="494"/>
      <c r="N38" s="494"/>
      <c r="O38" s="494"/>
      <c r="P38" s="494"/>
      <c r="Q38" s="494">
        <v>2</v>
      </c>
      <c r="R38" s="525"/>
      <c r="S38" s="525"/>
      <c r="T38" s="525"/>
      <c r="U38" s="525"/>
      <c r="V38" s="525"/>
      <c r="W38" s="525"/>
      <c r="X38" s="525"/>
      <c r="Y38" s="525"/>
      <c r="Z38" s="525"/>
      <c r="AA38" s="527">
        <f>'Conversion factors selected IV '!L27</f>
        <v>0.61622241329893945</v>
      </c>
      <c r="AB38" s="619">
        <f>N38*AE38</f>
        <v>0</v>
      </c>
      <c r="AC38" s="619">
        <f>Q38*AE38</f>
        <v>2</v>
      </c>
      <c r="AD38" s="1009"/>
      <c r="AE38" s="70">
        <v>1</v>
      </c>
      <c r="AF38" s="70">
        <v>1</v>
      </c>
      <c r="AG38" s="907">
        <f>N38*AA38*AE38</f>
        <v>0</v>
      </c>
      <c r="AH38" s="530"/>
      <c r="AI38" s="914">
        <f>Q38*AA38*AE38</f>
        <v>1.2324448265978789</v>
      </c>
      <c r="AJ38" s="531"/>
      <c r="AK38" s="531">
        <f>AG38+0.25*(AO38-AG38)</f>
        <v>0</v>
      </c>
      <c r="AL38" s="1006">
        <f>AI38+0.24*(AO38-AI38)</f>
        <v>0.93665806821438791</v>
      </c>
      <c r="AM38" s="1007">
        <f>AG38+0.5*(AO38-AG38)</f>
        <v>0</v>
      </c>
      <c r="AN38" s="1007">
        <f t="shared" si="9"/>
        <v>0.61622241329893945</v>
      </c>
      <c r="AO38" s="946">
        <f>X38*AA38*AF38</f>
        <v>0</v>
      </c>
      <c r="AP38" s="532"/>
      <c r="AQ38" s="532"/>
      <c r="AR38" s="532"/>
      <c r="AS38" s="533"/>
      <c r="AT38" s="533"/>
      <c r="AU38" s="533"/>
      <c r="AV38" s="534"/>
      <c r="AW38" s="534"/>
      <c r="AX38" s="534"/>
      <c r="AY38" s="534"/>
      <c r="AZ38" s="534"/>
      <c r="BA38" s="534"/>
      <c r="BB38" s="535"/>
      <c r="BC38" s="534"/>
      <c r="BD38" s="499"/>
      <c r="BE38" s="536"/>
      <c r="BF38" s="499"/>
    </row>
    <row r="39" spans="1:59" customFormat="1">
      <c r="A39" s="494"/>
      <c r="B39" s="548" t="s">
        <v>1345</v>
      </c>
      <c r="C39" s="548"/>
      <c r="D39" s="549"/>
      <c r="E39" s="549"/>
      <c r="F39" s="548"/>
      <c r="G39" s="534"/>
      <c r="H39" s="494"/>
      <c r="I39" s="494"/>
      <c r="J39" s="503"/>
      <c r="K39" s="550"/>
      <c r="L39" s="494"/>
      <c r="M39" s="494"/>
      <c r="N39" s="494"/>
      <c r="O39" s="494"/>
      <c r="P39" s="494"/>
      <c r="Q39" s="494"/>
      <c r="R39" s="525"/>
      <c r="S39" s="525"/>
      <c r="T39" s="525"/>
      <c r="U39" s="525"/>
      <c r="V39" s="525"/>
      <c r="W39" s="525"/>
      <c r="X39" s="525"/>
      <c r="Y39" s="525"/>
      <c r="Z39" s="525"/>
      <c r="AA39" s="527">
        <f>'Conversion factors selected IV '!L27</f>
        <v>0.61622241329893945</v>
      </c>
      <c r="AB39" s="619">
        <f>N39*AE39</f>
        <v>0</v>
      </c>
      <c r="AC39" s="619">
        <f t="shared" si="10"/>
        <v>0</v>
      </c>
      <c r="AD39" s="1009"/>
      <c r="AE39" s="70">
        <v>1</v>
      </c>
      <c r="AF39" s="70">
        <v>1</v>
      </c>
      <c r="AG39" s="522"/>
      <c r="AH39" s="530"/>
      <c r="AI39" s="530"/>
      <c r="AJ39" s="531"/>
      <c r="AK39" s="531">
        <f>AG39+0.25*(AO39-AG39)</f>
        <v>0</v>
      </c>
      <c r="AL39" s="1006">
        <f>AI39+0.24*(AO39-AI39)</f>
        <v>0</v>
      </c>
      <c r="AM39" s="1007">
        <f>AG39+0.5*(AO39-AG39)</f>
        <v>0</v>
      </c>
      <c r="AN39" s="1007">
        <f t="shared" si="9"/>
        <v>0</v>
      </c>
      <c r="AO39" s="946">
        <f>X39*AA39*AF39</f>
        <v>0</v>
      </c>
      <c r="AP39" s="532"/>
      <c r="AQ39" s="532"/>
      <c r="AR39" s="532"/>
      <c r="AS39" s="533"/>
      <c r="AT39" s="533"/>
      <c r="AU39" s="533"/>
      <c r="AV39" s="534"/>
      <c r="AW39" s="534"/>
      <c r="AX39" s="534"/>
      <c r="AY39" s="534"/>
      <c r="AZ39" s="534"/>
      <c r="BA39" s="534"/>
      <c r="BB39" s="535"/>
      <c r="BC39" s="534"/>
      <c r="BD39" s="499"/>
      <c r="BE39" s="536"/>
      <c r="BF39" s="499"/>
    </row>
    <row r="40" spans="1:59" s="601" customFormat="1" ht="15.5" customHeight="1">
      <c r="A40" s="515">
        <v>7</v>
      </c>
      <c r="B40" s="563" t="s">
        <v>8</v>
      </c>
      <c r="C40" s="563" t="s">
        <v>50</v>
      </c>
      <c r="D40" s="563" t="s">
        <v>559</v>
      </c>
      <c r="E40" s="563" t="s">
        <v>1177</v>
      </c>
      <c r="F40" s="563" t="s">
        <v>642</v>
      </c>
      <c r="G40" s="515">
        <v>9</v>
      </c>
      <c r="H40" s="515">
        <v>4</v>
      </c>
      <c r="I40" s="593">
        <v>218.7618148428943</v>
      </c>
      <c r="J40" s="853">
        <v>2030</v>
      </c>
      <c r="K40" s="515" t="s">
        <v>950</v>
      </c>
      <c r="L40" s="515"/>
      <c r="M40" s="515"/>
      <c r="N40" s="607">
        <f>SUM(N41:N49)</f>
        <v>277.60808698322893</v>
      </c>
      <c r="O40" s="593">
        <v>541.62469296548829</v>
      </c>
      <c r="P40" s="593">
        <v>211.56094074133136</v>
      </c>
      <c r="Q40" s="593">
        <f>SUM(Q41:Q49)</f>
        <v>407.13033666871206</v>
      </c>
      <c r="R40" s="593">
        <f>SUM(N40+((T40-N40)/2))</f>
        <v>416.72081287693823</v>
      </c>
      <c r="S40" s="593">
        <v>350.85102772956856</v>
      </c>
      <c r="T40" s="593">
        <v>555.83353877064746</v>
      </c>
      <c r="U40" s="593">
        <v>204.36006663976846</v>
      </c>
      <c r="V40" s="593">
        <v>348.15570167707983</v>
      </c>
      <c r="W40" s="593">
        <f>SUM(T40+((X40-T40)/2))</f>
        <v>512.33403936919626</v>
      </c>
      <c r="X40" s="593">
        <f>SUM(X41:X49)</f>
        <v>468.83453996774517</v>
      </c>
      <c r="Y40" s="593">
        <f t="shared" ref="Y40:AC40" si="44">SUM(Y41:Y49)</f>
        <v>0</v>
      </c>
      <c r="Z40" s="593">
        <f t="shared" si="44"/>
        <v>0</v>
      </c>
      <c r="AA40" s="593"/>
      <c r="AB40" s="593">
        <f t="shared" si="44"/>
        <v>145.33172569748982</v>
      </c>
      <c r="AC40" s="593">
        <f t="shared" si="44"/>
        <v>198.99384258077731</v>
      </c>
      <c r="AD40" s="593">
        <f>SUM(AD41:AD49)</f>
        <v>200.92527365728921</v>
      </c>
      <c r="AE40" s="594"/>
      <c r="AF40" s="594"/>
      <c r="AG40" s="595">
        <f>SUM(AG41:AG49)</f>
        <v>34.747814362145249</v>
      </c>
      <c r="AH40" s="595">
        <f>SUM(AH41:AH49)</f>
        <v>404117.08103174926</v>
      </c>
      <c r="AI40" s="595">
        <f>SUM(AI41:AI49)</f>
        <v>50.043724798423419</v>
      </c>
      <c r="AJ40" s="595">
        <f t="shared" ref="AJ40:AL40" si="45">SUM(AJ41:AJ49)</f>
        <v>582008.51940566453</v>
      </c>
      <c r="AK40" s="595">
        <f t="shared" si="45"/>
        <v>39.851717245283787</v>
      </c>
      <c r="AL40" s="595">
        <f t="shared" si="45"/>
        <v>51.323650072492413</v>
      </c>
      <c r="AM40" s="595">
        <f t="shared" ref="AM40" si="46">SUM(AM41:AM49)</f>
        <v>44.955620128422304</v>
      </c>
      <c r="AN40" s="595">
        <f t="shared" ref="AN40" si="47">SUM(AN41:AN49)</f>
        <v>52.603575346561399</v>
      </c>
      <c r="AO40" s="595">
        <f>SUM(AO41:AO49)</f>
        <v>55.163425894699365</v>
      </c>
      <c r="AP40" s="595">
        <f t="shared" ref="AP40:BG40" si="48">SUM(AP41:AP49)</f>
        <v>0</v>
      </c>
      <c r="AQ40" s="595">
        <f t="shared" si="48"/>
        <v>0</v>
      </c>
      <c r="AR40" s="595">
        <f t="shared" si="48"/>
        <v>0</v>
      </c>
      <c r="AS40" s="595">
        <f t="shared" si="48"/>
        <v>0</v>
      </c>
      <c r="AT40" s="595">
        <f t="shared" si="48"/>
        <v>0</v>
      </c>
      <c r="AU40" s="595">
        <f t="shared" si="48"/>
        <v>0</v>
      </c>
      <c r="AV40" s="595">
        <f t="shared" si="48"/>
        <v>0</v>
      </c>
      <c r="AW40" s="595">
        <f t="shared" si="48"/>
        <v>0</v>
      </c>
      <c r="AX40" s="595">
        <f t="shared" si="48"/>
        <v>0</v>
      </c>
      <c r="AY40" s="595">
        <f t="shared" si="48"/>
        <v>0</v>
      </c>
      <c r="AZ40" s="595">
        <f t="shared" si="48"/>
        <v>0</v>
      </c>
      <c r="BA40" s="595">
        <f t="shared" si="48"/>
        <v>0</v>
      </c>
      <c r="BB40" s="595">
        <f t="shared" si="48"/>
        <v>0</v>
      </c>
      <c r="BC40" s="595">
        <f t="shared" si="48"/>
        <v>0</v>
      </c>
      <c r="BD40" s="595">
        <f t="shared" si="48"/>
        <v>0</v>
      </c>
      <c r="BE40" s="595">
        <f t="shared" si="48"/>
        <v>0</v>
      </c>
      <c r="BF40" s="595">
        <f t="shared" si="48"/>
        <v>0</v>
      </c>
      <c r="BG40" s="595">
        <f t="shared" si="48"/>
        <v>641550.64315535373</v>
      </c>
    </row>
    <row r="41" spans="1:59" customFormat="1" ht="29.5" customHeight="1" outlineLevel="1">
      <c r="A41" s="494"/>
      <c r="B41" s="494"/>
      <c r="C41" s="494"/>
      <c r="D41" s="496"/>
      <c r="E41" s="496"/>
      <c r="F41" s="494"/>
      <c r="G41" s="494"/>
      <c r="H41" s="494"/>
      <c r="I41" s="494"/>
      <c r="J41" s="503"/>
      <c r="K41" s="551" t="s">
        <v>279</v>
      </c>
      <c r="L41" s="547" t="s">
        <v>280</v>
      </c>
      <c r="M41" s="552" t="s">
        <v>1038</v>
      </c>
      <c r="N41" s="525">
        <f>SUM('EU-27_Medium_2030'!Q$32+'EU-27_Medium_2030'!R$32)/1000000</f>
        <v>8.4952845259123446</v>
      </c>
      <c r="O41" s="494"/>
      <c r="P41" s="494"/>
      <c r="Q41" s="525">
        <f>SUM('EU-27_High_2030-2050'!Q$33+'EU-27_High_2030-2050'!R$33)/1000000</f>
        <v>12.256703698099333</v>
      </c>
      <c r="R41" s="553"/>
      <c r="S41" s="553"/>
      <c r="T41" s="553"/>
      <c r="U41" s="553"/>
      <c r="V41" s="553"/>
      <c r="W41" s="553"/>
      <c r="X41" s="525">
        <f>SUM('EU-27_High_2030-2050'!BL$33+'EU-27_High_2030-2050'!BM$33)/1000000</f>
        <v>11.937508163291357</v>
      </c>
      <c r="Y41" s="525"/>
      <c r="Z41" s="525"/>
      <c r="AA41" s="538">
        <f>'Conversion factors selected IV '!L$29</f>
        <v>0.60434912363250348</v>
      </c>
      <c r="AB41" s="619">
        <f t="shared" ref="AB41:AB49" si="49">N41*AE41</f>
        <v>1.415880754318724</v>
      </c>
      <c r="AC41" s="619">
        <f>Q41*AE41</f>
        <v>2.0427839496832219</v>
      </c>
      <c r="AD41" s="619">
        <f t="shared" ref="AD41:AD59" si="50">X41*AF41</f>
        <v>1.9895846938818926</v>
      </c>
      <c r="AE41" s="979">
        <f>1/'IVCs relevant in 2030'!R$9</f>
        <v>0.16666666666666666</v>
      </c>
      <c r="AF41" s="977">
        <f>1/'IVCs relevant 2040-2050'!T$9</f>
        <v>0.16666666666666666</v>
      </c>
      <c r="AG41" s="522">
        <f t="shared" ref="AG41:AG49" si="51">N41*AA41*AE41</f>
        <v>0.8556862930406488</v>
      </c>
      <c r="AH41" s="530">
        <f>AG41*11630</f>
        <v>9951.6315880627462</v>
      </c>
      <c r="AI41" s="592">
        <f t="shared" ref="AI41:AI49" si="52">Q41*AA41*AE41</f>
        <v>1.2345546897615993</v>
      </c>
      <c r="AJ41" s="592">
        <f>AI41*11630</f>
        <v>14357.871041927399</v>
      </c>
      <c r="AK41" s="531">
        <f t="shared" ref="AK41:AK49" si="53">AG41+0.25*(AO41-AG41)</f>
        <v>0.94236566131552779</v>
      </c>
      <c r="AL41" s="1006">
        <f t="shared" ref="AL41:AL49" si="54">AI41+0.25*(AO41-AI41)</f>
        <v>1.2265169588562406</v>
      </c>
      <c r="AM41" s="1007">
        <f t="shared" ref="AM41:AM49" si="55">AG41+0.5*(AO41-AG41)</f>
        <v>1.0290450295904066</v>
      </c>
      <c r="AN41" s="1007">
        <f t="shared" si="9"/>
        <v>1.218479227950882</v>
      </c>
      <c r="AO41" s="946">
        <f t="shared" ref="AO41:AO49" si="56">X41*AA41*AF41</f>
        <v>1.2024037661401645</v>
      </c>
      <c r="AP41" s="494"/>
      <c r="AQ41" s="494"/>
      <c r="AR41" s="494"/>
      <c r="AS41" s="499"/>
      <c r="AT41" s="499"/>
      <c r="AU41" s="499"/>
      <c r="AV41" s="494"/>
      <c r="AW41" s="494"/>
      <c r="AX41" s="494"/>
      <c r="AY41" s="494"/>
      <c r="AZ41" s="494"/>
      <c r="BA41" s="494"/>
      <c r="BB41" s="494"/>
      <c r="BC41" s="494"/>
      <c r="BD41" s="499"/>
      <c r="BE41" s="499"/>
      <c r="BF41" s="499"/>
      <c r="BG41" s="51">
        <f>AO41*11630</f>
        <v>13983.955800210113</v>
      </c>
    </row>
    <row r="42" spans="1:59" customFormat="1" ht="14.5" customHeight="1" outlineLevel="1">
      <c r="A42" s="494"/>
      <c r="B42" s="494"/>
      <c r="C42" s="494"/>
      <c r="D42" s="496"/>
      <c r="E42" s="496"/>
      <c r="F42" s="494"/>
      <c r="G42" s="494"/>
      <c r="H42" s="494"/>
      <c r="I42" s="494"/>
      <c r="J42" s="503"/>
      <c r="K42" s="551" t="s">
        <v>274</v>
      </c>
      <c r="L42" s="547" t="s">
        <v>275</v>
      </c>
      <c r="M42" s="494" t="s">
        <v>1039</v>
      </c>
      <c r="N42" s="525">
        <f>SUM('EU-27_Medium_2030'!E$32+'EU-27_Medium_2030'!G$32+'EU-27_Medium_2030'!H$32+'EU-27_Medium_2030'!J$32)/1000000</f>
        <v>5.1230865023155641</v>
      </c>
      <c r="O42" s="494"/>
      <c r="P42" s="494"/>
      <c r="Q42" s="525">
        <f>SUM('EU-27_High_2030-2050'!E$33+'EU-27_High_2030-2050'!G$33+'EU-27_High_2030-2050'!H$33+'EU-27_High_2030-2050'!J$33)/1000000</f>
        <v>8.738165736490755</v>
      </c>
      <c r="R42" s="525"/>
      <c r="S42" s="525"/>
      <c r="T42" s="525"/>
      <c r="U42" s="525"/>
      <c r="V42" s="525"/>
      <c r="W42" s="525"/>
      <c r="X42" s="525">
        <f>SUM('EU-27_High_2030-2050'!AZ$33+'EU-27_High_2030-2050'!BB$33+'EU-27_High_2030-2050'!BC$33+'EU-27_High_2030-2050'!BE$33)/1000000</f>
        <v>71.430408560585576</v>
      </c>
      <c r="Y42" s="525"/>
      <c r="Z42" s="525"/>
      <c r="AA42" s="538">
        <f>'Conversion factors selected IV '!L$30</f>
        <v>0.60434912363250348</v>
      </c>
      <c r="AB42" s="619">
        <f t="shared" si="49"/>
        <v>0.73186950033079479</v>
      </c>
      <c r="AC42" s="619">
        <f t="shared" si="10"/>
        <v>1.2483093909272507</v>
      </c>
      <c r="AD42" s="619">
        <f t="shared" si="50"/>
        <v>10.204344080083652</v>
      </c>
      <c r="AE42" s="979">
        <f>1/'IVCs relevant in 2030'!R$2</f>
        <v>0.14285714285714285</v>
      </c>
      <c r="AF42" s="972">
        <f>1/'IVCs relevant 2040-2050'!T$2</f>
        <v>0.14285714285714285</v>
      </c>
      <c r="AG42" s="522">
        <f t="shared" si="51"/>
        <v>0.44230469113827403</v>
      </c>
      <c r="AH42" s="530">
        <f t="shared" ref="AH42:AH48" si="57">AG42*11630</f>
        <v>5144.0035579381274</v>
      </c>
      <c r="AI42" s="592">
        <f t="shared" si="52"/>
        <v>0.75441468642910814</v>
      </c>
      <c r="AJ42" s="592">
        <f t="shared" ref="AJ42:AJ49" si="58">AI42*11630</f>
        <v>8773.842803170528</v>
      </c>
      <c r="AK42" s="531">
        <f t="shared" si="53"/>
        <v>1.8734751188644758</v>
      </c>
      <c r="AL42" s="1006">
        <f t="shared" si="54"/>
        <v>2.1075576153326017</v>
      </c>
      <c r="AM42" s="1007">
        <f t="shared" si="55"/>
        <v>3.3046455465906779</v>
      </c>
      <c r="AN42" s="1007">
        <f t="shared" si="9"/>
        <v>3.4607005442360945</v>
      </c>
      <c r="AO42" s="946">
        <f t="shared" si="56"/>
        <v>6.1669864020430811</v>
      </c>
      <c r="AP42" s="494"/>
      <c r="AQ42" s="494"/>
      <c r="AR42" s="494"/>
      <c r="AS42" s="499"/>
      <c r="AT42" s="499"/>
      <c r="AU42" s="499"/>
      <c r="AV42" s="494"/>
      <c r="AW42" s="494"/>
      <c r="AX42" s="494"/>
      <c r="AY42" s="494"/>
      <c r="AZ42" s="494"/>
      <c r="BA42" s="494"/>
      <c r="BB42" s="494"/>
      <c r="BC42" s="494"/>
      <c r="BD42" s="499"/>
      <c r="BE42" s="499"/>
      <c r="BF42" s="499"/>
      <c r="BG42" s="51">
        <f t="shared" ref="BG42:BG49" si="59">AO42*11630</f>
        <v>71722.051855761034</v>
      </c>
    </row>
    <row r="43" spans="1:59" customFormat="1" outlineLevel="1">
      <c r="A43" s="494"/>
      <c r="B43" s="494"/>
      <c r="C43" s="494"/>
      <c r="D43" s="496"/>
      <c r="E43" s="496"/>
      <c r="F43" s="494"/>
      <c r="G43" s="494"/>
      <c r="H43" s="494"/>
      <c r="I43" s="494"/>
      <c r="J43" s="503"/>
      <c r="K43" s="551" t="s">
        <v>276</v>
      </c>
      <c r="L43" s="547" t="s">
        <v>277</v>
      </c>
      <c r="M43" s="547" t="s">
        <v>1039</v>
      </c>
      <c r="N43" s="525">
        <f>SUM('EU-27_Medium_2030'!K$32+'EU-27_Medium_2030'!M$32)/1000000</f>
        <v>2.3323784509315457</v>
      </c>
      <c r="O43" s="494"/>
      <c r="P43" s="494"/>
      <c r="Q43" s="525">
        <f>SUM('EU-27_High_2030-2050'!K$33+'EU-27_High_2030-2050'!M$33)/1000000</f>
        <v>6.1393981815063317</v>
      </c>
      <c r="R43" s="525"/>
      <c r="S43" s="525"/>
      <c r="T43" s="525"/>
      <c r="U43" s="525"/>
      <c r="V43" s="525"/>
      <c r="W43" s="525"/>
      <c r="X43" s="525">
        <f>SUM('EU-27_High_2030-2050'!BF$33+'EU-27_High_2030-2050'!BH$33)/1000000</f>
        <v>14.099411675482649</v>
      </c>
      <c r="Y43" s="525"/>
      <c r="Z43" s="525"/>
      <c r="AA43" s="538">
        <f>'Conversion factors selected IV '!L$31</f>
        <v>0.60434912363250348</v>
      </c>
      <c r="AB43" s="619">
        <f t="shared" si="49"/>
        <v>0.33319692156164937</v>
      </c>
      <c r="AC43" s="619">
        <f t="shared" si="10"/>
        <v>0.87705688307233309</v>
      </c>
      <c r="AD43" s="619">
        <f t="shared" si="50"/>
        <v>2.0142016679260926</v>
      </c>
      <c r="AE43" s="979">
        <f>1/'IVCs relevant in 2030'!R$4</f>
        <v>0.14285714285714285</v>
      </c>
      <c r="AF43" s="972">
        <f>1/'IVCs relevant 2040-2050'!T$4</f>
        <v>0.14285714285714285</v>
      </c>
      <c r="AG43" s="522">
        <f t="shared" si="51"/>
        <v>0.2013672675428308</v>
      </c>
      <c r="AH43" s="530">
        <f t="shared" si="57"/>
        <v>2341.9013215231221</v>
      </c>
      <c r="AI43" s="592">
        <f t="shared" si="52"/>
        <v>0.53004855866061951</v>
      </c>
      <c r="AJ43" s="592">
        <f t="shared" si="58"/>
        <v>6164.4647372230047</v>
      </c>
      <c r="AK43" s="531">
        <f t="shared" si="53"/>
        <v>0.45534570386468831</v>
      </c>
      <c r="AL43" s="1006">
        <f t="shared" si="54"/>
        <v>0.70185667220302983</v>
      </c>
      <c r="AM43" s="1007">
        <f t="shared" si="55"/>
        <v>0.70932414018654577</v>
      </c>
      <c r="AN43" s="1007">
        <f t="shared" si="9"/>
        <v>0.87366478574544026</v>
      </c>
      <c r="AO43" s="946">
        <f t="shared" si="56"/>
        <v>1.2172810128302609</v>
      </c>
      <c r="AP43" s="494"/>
      <c r="AQ43" s="494"/>
      <c r="AR43" s="494"/>
      <c r="AS43" s="499"/>
      <c r="AT43" s="499"/>
      <c r="AU43" s="499"/>
      <c r="AV43" s="494"/>
      <c r="AW43" s="494"/>
      <c r="AX43" s="494"/>
      <c r="AY43" s="494"/>
      <c r="AZ43" s="494"/>
      <c r="BA43" s="494"/>
      <c r="BB43" s="494"/>
      <c r="BC43" s="494"/>
      <c r="BD43" s="499"/>
      <c r="BE43" s="499"/>
      <c r="BF43" s="499"/>
      <c r="BG43" s="51">
        <f t="shared" si="59"/>
        <v>14156.978179215934</v>
      </c>
    </row>
    <row r="44" spans="1:59" customFormat="1" ht="17.149999999999999" customHeight="1" outlineLevel="1">
      <c r="A44" s="494"/>
      <c r="B44" s="494"/>
      <c r="C44" s="494"/>
      <c r="D44" s="496"/>
      <c r="E44" s="496"/>
      <c r="F44" s="494"/>
      <c r="G44" s="494"/>
      <c r="H44" s="494"/>
      <c r="I44" s="494"/>
      <c r="J44" s="503"/>
      <c r="K44" s="551" t="s">
        <v>281</v>
      </c>
      <c r="L44" s="547" t="s">
        <v>955</v>
      </c>
      <c r="M44" s="494" t="s">
        <v>1040</v>
      </c>
      <c r="N44" s="525">
        <f>SUM('EU-27_Medium_2030'!AA$32+'EU-27_Medium_2030'!AB$32+'EU-27_Medium_2030'!AC$32+'EU-27_Medium_2030'!AD$32+'EU-27_Medium_2030'!AF$32+'EU-27_Medium_2030'!AG$32+'EU-27_Medium_2030'!AH$32+'EU-27_Medium_2030'!AI$32+'EU-27_Medium_2030'!AJ$32+'EU-27_Medium_2030'!AK$32+'EU-27_Medium_2030'!AL$32+'EU-27_Medium_2030'!AM$32)/1000000</f>
        <v>6.5447342912320421</v>
      </c>
      <c r="O44" s="494"/>
      <c r="P44" s="494"/>
      <c r="Q44" s="525">
        <f>SUM('EU-27_High_2030-2050'!AA$33+'EU-27_High_2030-2050'!AB$33+'EU-27_High_2030-2050'!AC$33+'EU-27_High_2030-2050'!AD$33+'EU-27_High_2030-2050'!AF$33+'EU-27_High_2030-2050'!AG$33+'EU-27_High_2030-2050'!AH$33+'EU-27_High_2030-2050'!AI$33+'EU-27_High_2030-2050'!AJ$33+'EU-27_High_2030-2050'!AK$33+'EU-27_High_2030-2050'!AL$33+'EU-27_High_2030-2050'!AM$33)/1000000</f>
        <v>9.7773868037813845</v>
      </c>
      <c r="R44" s="525"/>
      <c r="S44" s="525"/>
      <c r="T44" s="525"/>
      <c r="U44" s="525"/>
      <c r="V44" s="525"/>
      <c r="W44" s="525"/>
      <c r="X44" s="525">
        <f>SUM('EU-27_High_2030-2050'!BV$33+'EU-27_High_2030-2050'!BW$33+'EU-27_High_2030-2050'!BX$33+'EU-27_High_2030-2050'!BY$33+'EU-27_High_2030-2050'!CA$33+'EU-27_High_2030-2050'!CB$33+'EU-27_High_2030-2050'!CC$33+'EU-27_High_2030-2050'!CD$33+'EU-27_High_2030-2050'!CE$33+'EU-27_High_2030-2050'!CF$33+'EU-27_High_2030-2050'!CG$33+'EU-27_High_2030-2050'!CH$33)/1000000</f>
        <v>10.743175764288399</v>
      </c>
      <c r="Y44" s="525"/>
      <c r="Z44" s="525"/>
      <c r="AA44" s="538">
        <f>'Conversion factors selected IV '!L$32</f>
        <v>0.60434912363250348</v>
      </c>
      <c r="AB44" s="619">
        <f t="shared" si="49"/>
        <v>6.5447342912320421</v>
      </c>
      <c r="AC44" s="619">
        <f t="shared" si="10"/>
        <v>9.7773868037813845</v>
      </c>
      <c r="AD44" s="619">
        <f t="shared" si="50"/>
        <v>10.743175764288399</v>
      </c>
      <c r="AE44" s="979">
        <f>1/'IVCs relevant in 2030'!R$11</f>
        <v>1</v>
      </c>
      <c r="AF44" s="963">
        <f>1/'IVCs relevant 2040-2050'!T$11</f>
        <v>1</v>
      </c>
      <c r="AG44" s="522">
        <f t="shared" si="51"/>
        <v>3.9553044333136786</v>
      </c>
      <c r="AH44" s="530">
        <f t="shared" si="57"/>
        <v>46000.190559438081</v>
      </c>
      <c r="AI44" s="592">
        <f t="shared" si="52"/>
        <v>5.9089551462812837</v>
      </c>
      <c r="AJ44" s="592">
        <f t="shared" si="58"/>
        <v>68721.148351251322</v>
      </c>
      <c r="AK44" s="531">
        <f t="shared" si="53"/>
        <v>4.5896355395296702</v>
      </c>
      <c r="AL44" s="1006">
        <f t="shared" si="54"/>
        <v>6.0548735742553736</v>
      </c>
      <c r="AM44" s="1007">
        <f t="shared" si="55"/>
        <v>5.2239666457456613</v>
      </c>
      <c r="AN44" s="1007">
        <f t="shared" si="9"/>
        <v>6.2007920022294645</v>
      </c>
      <c r="AO44" s="946">
        <f t="shared" si="56"/>
        <v>6.4926288581776443</v>
      </c>
      <c r="AP44" s="494"/>
      <c r="AQ44" s="494"/>
      <c r="AR44" s="494"/>
      <c r="AS44" s="499"/>
      <c r="AT44" s="499"/>
      <c r="AU44" s="499"/>
      <c r="AV44" s="494"/>
      <c r="AW44" s="494"/>
      <c r="AX44" s="494"/>
      <c r="AY44" s="494"/>
      <c r="AZ44" s="494"/>
      <c r="BA44" s="494"/>
      <c r="BB44" s="494"/>
      <c r="BC44" s="494"/>
      <c r="BD44" s="499"/>
      <c r="BE44" s="499"/>
      <c r="BF44" s="499"/>
      <c r="BG44" s="51">
        <f t="shared" si="59"/>
        <v>75509.273620606007</v>
      </c>
    </row>
    <row r="45" spans="1:59" customFormat="1" ht="16.5" customHeight="1" outlineLevel="1">
      <c r="A45" s="494"/>
      <c r="B45" s="494"/>
      <c r="C45" s="494"/>
      <c r="D45" s="496"/>
      <c r="E45" s="496"/>
      <c r="F45" s="494"/>
      <c r="G45" s="494"/>
      <c r="H45" s="494"/>
      <c r="I45" s="494"/>
      <c r="J45" s="503"/>
      <c r="K45" s="551" t="s">
        <v>272</v>
      </c>
      <c r="L45" s="547" t="s">
        <v>273</v>
      </c>
      <c r="M45" s="545" t="s">
        <v>1041</v>
      </c>
      <c r="N45" s="525">
        <f>SUM('EU-27_Medium_2030'!N$32+'EU-27_Medium_2030'!O$32+'EU-27_Medium_2030'!P$32)/1000000</f>
        <v>130.89263574041894</v>
      </c>
      <c r="O45" s="494"/>
      <c r="P45" s="494"/>
      <c r="Q45" s="525">
        <f>SUM('EU-27_High_2030-2050'!BI$33+'EU-27_High_2030-2050'!BJ$33+'EU-27_High_2030-2050'!BK$33)/1000000</f>
        <v>207.40944074964315</v>
      </c>
      <c r="R45" s="525"/>
      <c r="S45" s="525"/>
      <c r="T45" s="525"/>
      <c r="U45" s="525"/>
      <c r="V45" s="525"/>
      <c r="W45" s="525"/>
      <c r="X45" s="525">
        <f>SUM('EU-27_High_2030-2050'!BI$33+'EU-27_High_2030-2050'!BJ$33+'EU-27_High_2030-2050'!BK$33)/1000000</f>
        <v>207.40944074964315</v>
      </c>
      <c r="Y45" s="525"/>
      <c r="Z45" s="525"/>
      <c r="AA45" s="538">
        <f>'Conversion factors selected IV '!L$33</f>
        <v>0.60434912363250348</v>
      </c>
      <c r="AB45" s="619">
        <f t="shared" si="49"/>
        <v>18.698947962916989</v>
      </c>
      <c r="AC45" s="619">
        <f t="shared" si="10"/>
        <v>29.629920107091877</v>
      </c>
      <c r="AD45" s="619">
        <f t="shared" si="50"/>
        <v>29.629920107091877</v>
      </c>
      <c r="AE45" s="979">
        <f>1/'IVCs relevant in 2030'!R$8</f>
        <v>0.14285714285714285</v>
      </c>
      <c r="AF45" s="972">
        <f>1/'IVCs relevant 2040-2050'!T$8</f>
        <v>0.14285714285714285</v>
      </c>
      <c r="AG45" s="522">
        <f t="shared" si="51"/>
        <v>11.300692814238671</v>
      </c>
      <c r="AH45" s="530">
        <f t="shared" si="57"/>
        <v>131427.05742959573</v>
      </c>
      <c r="AI45" s="592">
        <f t="shared" si="52"/>
        <v>17.906816250022072</v>
      </c>
      <c r="AJ45" s="592">
        <f t="shared" si="58"/>
        <v>208256.2729877567</v>
      </c>
      <c r="AK45" s="531">
        <f t="shared" si="53"/>
        <v>12.952223673184522</v>
      </c>
      <c r="AL45" s="1006">
        <f t="shared" si="54"/>
        <v>17.906816250022072</v>
      </c>
      <c r="AM45" s="1007">
        <f t="shared" si="55"/>
        <v>14.60375453213037</v>
      </c>
      <c r="AN45" s="1007">
        <f t="shared" si="9"/>
        <v>17.906816250022072</v>
      </c>
      <c r="AO45" s="946">
        <f t="shared" si="56"/>
        <v>17.906816250022072</v>
      </c>
      <c r="AP45" s="494"/>
      <c r="AQ45" s="494"/>
      <c r="AR45" s="494"/>
      <c r="AS45" s="499"/>
      <c r="AT45" s="499"/>
      <c r="AU45" s="499"/>
      <c r="AV45" s="494"/>
      <c r="AW45" s="494"/>
      <c r="AX45" s="494"/>
      <c r="AY45" s="494"/>
      <c r="AZ45" s="494"/>
      <c r="BA45" s="494"/>
      <c r="BB45" s="494"/>
      <c r="BC45" s="494"/>
      <c r="BD45" s="499"/>
      <c r="BE45" s="499"/>
      <c r="BF45" s="499"/>
      <c r="BG45" s="51">
        <f t="shared" si="59"/>
        <v>208256.2729877567</v>
      </c>
    </row>
    <row r="46" spans="1:59" customFormat="1" ht="13.5" customHeight="1" outlineLevel="1">
      <c r="A46" s="494"/>
      <c r="B46" s="494"/>
      <c r="C46" s="494"/>
      <c r="D46" s="496"/>
      <c r="E46" s="496"/>
      <c r="F46" s="494"/>
      <c r="G46" s="494"/>
      <c r="H46" s="494"/>
      <c r="I46" s="494"/>
      <c r="J46" s="503"/>
      <c r="K46" s="551" t="s">
        <v>283</v>
      </c>
      <c r="L46" s="547" t="s">
        <v>284</v>
      </c>
      <c r="M46" s="554" t="s">
        <v>1037</v>
      </c>
      <c r="N46" s="525">
        <f>SUM('EU-27_Medium_2030'!S$32+'EU-27_Medium_2030'!T$32)/1000000</f>
        <v>96.46686757407214</v>
      </c>
      <c r="O46" s="494"/>
      <c r="P46" s="494"/>
      <c r="Q46" s="525">
        <f>SUM('EU-27_High_2030-2050'!S$33+'EU-27_High_2030-2050'!T$33)/1000000</f>
        <v>128.62249009876282</v>
      </c>
      <c r="R46" s="525"/>
      <c r="S46" s="525"/>
      <c r="T46" s="525"/>
      <c r="U46" s="525"/>
      <c r="V46" s="525"/>
      <c r="W46" s="525"/>
      <c r="X46" s="525">
        <f>SUM('EU-27_High_2030-2050'!BN$33+'EU-27_High_2030-2050'!BO$33)/1000000</f>
        <v>122.94419040434806</v>
      </c>
      <c r="Y46" s="525"/>
      <c r="Z46" s="525"/>
      <c r="AA46" s="538">
        <f>'Conversion factors selected IV '!L$34</f>
        <v>0.13935790446109689</v>
      </c>
      <c r="AB46" s="619">
        <f t="shared" si="49"/>
        <v>96.46686757407214</v>
      </c>
      <c r="AC46" s="619">
        <f t="shared" si="10"/>
        <v>128.62249009876282</v>
      </c>
      <c r="AD46" s="619">
        <f t="shared" si="50"/>
        <v>122.94419040434806</v>
      </c>
      <c r="AE46" s="979">
        <f>1/'IVCs relevant in 2030'!R$10</f>
        <v>1</v>
      </c>
      <c r="AF46" s="963">
        <f>1/'IVCs relevant 2040-2050'!T$10</f>
        <v>1</v>
      </c>
      <c r="AG46" s="522">
        <f t="shared" si="51"/>
        <v>13.44342051504883</v>
      </c>
      <c r="AH46" s="530">
        <f t="shared" si="57"/>
        <v>156346.98059001789</v>
      </c>
      <c r="AI46" s="592">
        <f t="shared" si="52"/>
        <v>17.92456068673177</v>
      </c>
      <c r="AJ46" s="592">
        <f t="shared" si="58"/>
        <v>208462.64078669049</v>
      </c>
      <c r="AK46" s="531">
        <f t="shared" si="53"/>
        <v>14.365876571390633</v>
      </c>
      <c r="AL46" s="1006">
        <f t="shared" si="54"/>
        <v>17.72673170015284</v>
      </c>
      <c r="AM46" s="1007">
        <f t="shared" si="55"/>
        <v>15.288332627732437</v>
      </c>
      <c r="AN46" s="1007">
        <f t="shared" si="9"/>
        <v>17.528902713573906</v>
      </c>
      <c r="AO46" s="946">
        <f t="shared" si="56"/>
        <v>17.133244740416043</v>
      </c>
      <c r="AP46" s="494"/>
      <c r="AQ46" s="494"/>
      <c r="AR46" s="494"/>
      <c r="AS46" s="499"/>
      <c r="AT46" s="499"/>
      <c r="AU46" s="499"/>
      <c r="AV46" s="494"/>
      <c r="AW46" s="494"/>
      <c r="AX46" s="494"/>
      <c r="AY46" s="494"/>
      <c r="AZ46" s="494"/>
      <c r="BA46" s="494"/>
      <c r="BB46" s="494"/>
      <c r="BC46" s="494"/>
      <c r="BD46" s="499"/>
      <c r="BE46" s="499"/>
      <c r="BF46" s="499"/>
      <c r="BG46" s="51">
        <f t="shared" si="59"/>
        <v>199259.63633103858</v>
      </c>
    </row>
    <row r="47" spans="1:59" customFormat="1" ht="21.5" customHeight="1" outlineLevel="1">
      <c r="A47" s="494"/>
      <c r="B47" s="494"/>
      <c r="C47" s="494"/>
      <c r="D47" s="496"/>
      <c r="E47" s="496"/>
      <c r="F47" s="494"/>
      <c r="G47" s="494"/>
      <c r="H47" s="494"/>
      <c r="I47" s="494"/>
      <c r="J47" s="503"/>
      <c r="K47" s="551" t="s">
        <v>285</v>
      </c>
      <c r="L47" s="555">
        <v>5108</v>
      </c>
      <c r="M47" s="556" t="s">
        <v>1036</v>
      </c>
      <c r="N47" s="539">
        <f>'EU-27_Medium_2030'!AS$32/1000000</f>
        <v>8.8171616070517977</v>
      </c>
      <c r="O47" s="494"/>
      <c r="P47" s="494"/>
      <c r="Q47" s="557">
        <f>'EU-27_High_2030-2050'!AS$33/1000000</f>
        <v>9.854474737293188</v>
      </c>
      <c r="R47" s="525"/>
      <c r="S47" s="525"/>
      <c r="T47" s="525"/>
      <c r="U47" s="525"/>
      <c r="V47" s="525"/>
      <c r="W47" s="525"/>
      <c r="X47" s="557">
        <f>'EU-27_High_2030-2050'!CN$33/1000000</f>
        <v>9.1607302805822908</v>
      </c>
      <c r="Y47" s="557"/>
      <c r="Z47" s="557"/>
      <c r="AA47" s="538">
        <f>'Conversion factors selected IV '!L$35</f>
        <v>0.13935790446109689</v>
      </c>
      <c r="AB47" s="619">
        <f t="shared" si="49"/>
        <v>2.2042904017629494</v>
      </c>
      <c r="AC47" s="619">
        <f t="shared" si="10"/>
        <v>2.463618684323297</v>
      </c>
      <c r="AD47" s="619">
        <f t="shared" si="50"/>
        <v>2.2901825701455727</v>
      </c>
      <c r="AE47" s="979">
        <f>1/'IVCs relevant in 2030'!R$18</f>
        <v>0.25</v>
      </c>
      <c r="AF47" s="963">
        <f>1/'IVCs relevant 2040-2050'!T$18</f>
        <v>0.25</v>
      </c>
      <c r="AG47" s="522">
        <f t="shared" si="51"/>
        <v>0.307185291213394</v>
      </c>
      <c r="AH47" s="530">
        <f t="shared" si="57"/>
        <v>3572.564936811772</v>
      </c>
      <c r="AI47" s="592">
        <f t="shared" si="52"/>
        <v>0.34332473723849921</v>
      </c>
      <c r="AJ47" s="592">
        <f t="shared" si="58"/>
        <v>3992.8666940837456</v>
      </c>
      <c r="AK47" s="531">
        <f t="shared" si="53"/>
        <v>0.31017772936224952</v>
      </c>
      <c r="AL47" s="1006">
        <f t="shared" si="54"/>
        <v>0.33728231388107843</v>
      </c>
      <c r="AM47" s="1007">
        <f t="shared" si="55"/>
        <v>0.31317016751110505</v>
      </c>
      <c r="AN47" s="1007">
        <f t="shared" si="9"/>
        <v>0.33123989052365765</v>
      </c>
      <c r="AO47" s="946">
        <f t="shared" si="56"/>
        <v>0.31915504380881604</v>
      </c>
      <c r="AP47" s="494"/>
      <c r="AQ47" s="494"/>
      <c r="AR47" s="494"/>
      <c r="AS47" s="499"/>
      <c r="AT47" s="499"/>
      <c r="AU47" s="499"/>
      <c r="AV47" s="494"/>
      <c r="AW47" s="494"/>
      <c r="AX47" s="494"/>
      <c r="AY47" s="494"/>
      <c r="AZ47" s="494"/>
      <c r="BA47" s="494"/>
      <c r="BB47" s="494"/>
      <c r="BC47" s="494"/>
      <c r="BD47" s="499"/>
      <c r="BE47" s="499"/>
      <c r="BF47" s="499"/>
      <c r="BG47" s="51">
        <f t="shared" si="59"/>
        <v>3711.7731594965308</v>
      </c>
    </row>
    <row r="48" spans="1:59" customFormat="1" ht="16.5" customHeight="1" outlineLevel="1">
      <c r="A48" s="494"/>
      <c r="B48" s="494"/>
      <c r="C48" s="494"/>
      <c r="D48" s="496"/>
      <c r="E48" s="496"/>
      <c r="F48" s="494"/>
      <c r="G48" s="494"/>
      <c r="H48" s="494"/>
      <c r="I48" s="494"/>
      <c r="J48" s="503"/>
      <c r="K48" s="558" t="s">
        <v>286</v>
      </c>
      <c r="L48" s="547" t="s">
        <v>287</v>
      </c>
      <c r="M48" s="494" t="s">
        <v>1040</v>
      </c>
      <c r="N48" s="525">
        <f>SUM('EU-27_Medium_2030'!AN$32+'EU-27_Medium_2030'!AO$32+'EU-27_Medium_2030'!AP$32)/1000000</f>
        <v>18.294938291294546</v>
      </c>
      <c r="O48" s="494"/>
      <c r="P48" s="494"/>
      <c r="Q48" s="525">
        <f>SUM('EU-27_High_2030-2050'!AN$33+'EU-27_High_2030-2050'!AO$33+'EU-27_High_2030-2050'!AP$33)/1000000</f>
        <v>23.691276663135103</v>
      </c>
      <c r="R48" s="525"/>
      <c r="S48" s="525"/>
      <c r="T48" s="525"/>
      <c r="U48" s="525"/>
      <c r="V48" s="525"/>
      <c r="W48" s="525"/>
      <c r="X48" s="525">
        <f>SUM('EU-27_High_2030-2050'!CI$33+'EU-27_High_2030-2050'!CJ$33+'EU-27_High_2030-2050'!CK$33)/1000000</f>
        <v>20.468674369523679</v>
      </c>
      <c r="Y48" s="525"/>
      <c r="Z48" s="525"/>
      <c r="AA48" s="538">
        <f>'Conversion factors selected IV '!L$36</f>
        <v>0.22222420168224824</v>
      </c>
      <c r="AB48" s="619">
        <f t="shared" si="49"/>
        <v>18.294938291294546</v>
      </c>
      <c r="AC48" s="619">
        <f t="shared" si="10"/>
        <v>23.691276663135103</v>
      </c>
      <c r="AD48" s="619">
        <f t="shared" si="50"/>
        <v>20.468674369523679</v>
      </c>
      <c r="AE48" s="979">
        <f>1/'IVCs relevant in 2030'!R$19</f>
        <v>1</v>
      </c>
      <c r="AF48" s="963">
        <f>1/'IVCs relevant 2040-2050'!T$19</f>
        <v>1</v>
      </c>
      <c r="AG48" s="522">
        <f t="shared" si="51"/>
        <v>4.065578056608925</v>
      </c>
      <c r="AH48" s="530">
        <f t="shared" si="57"/>
        <v>47282.672798361797</v>
      </c>
      <c r="AI48" s="592">
        <f t="shared" si="52"/>
        <v>5.2647750432984761</v>
      </c>
      <c r="AJ48" s="592">
        <f t="shared" si="58"/>
        <v>61229.333753561281</v>
      </c>
      <c r="AK48" s="531">
        <f t="shared" si="53"/>
        <v>4.1863422477720178</v>
      </c>
      <c r="AL48" s="1006">
        <f t="shared" si="54"/>
        <v>5.0857399877891805</v>
      </c>
      <c r="AM48" s="1007">
        <f t="shared" si="55"/>
        <v>4.3071064389351097</v>
      </c>
      <c r="AN48" s="1007">
        <f t="shared" si="9"/>
        <v>4.9067049322798857</v>
      </c>
      <c r="AO48" s="946">
        <f t="shared" si="56"/>
        <v>4.5486348212612953</v>
      </c>
      <c r="AP48" s="494"/>
      <c r="AQ48" s="494"/>
      <c r="AR48" s="494"/>
      <c r="AS48" s="499"/>
      <c r="AT48" s="499"/>
      <c r="AU48" s="499"/>
      <c r="AV48" s="494"/>
      <c r="AW48" s="494"/>
      <c r="AX48" s="494"/>
      <c r="AY48" s="494"/>
      <c r="AZ48" s="494"/>
      <c r="BA48" s="494"/>
      <c r="BB48" s="494"/>
      <c r="BC48" s="494"/>
      <c r="BD48" s="499"/>
      <c r="BE48" s="499"/>
      <c r="BF48" s="499"/>
      <c r="BG48" s="51">
        <f t="shared" si="59"/>
        <v>52900.622971268866</v>
      </c>
    </row>
    <row r="49" spans="1:59" customFormat="1" ht="15.65" customHeight="1" outlineLevel="1">
      <c r="A49" s="494"/>
      <c r="B49" s="494"/>
      <c r="C49" s="494"/>
      <c r="D49" s="496"/>
      <c r="E49" s="496"/>
      <c r="F49" s="494"/>
      <c r="G49" s="494"/>
      <c r="H49" s="494"/>
      <c r="I49" s="494"/>
      <c r="J49" s="503"/>
      <c r="K49" s="558" t="s">
        <v>289</v>
      </c>
      <c r="L49" s="656">
        <v>4217</v>
      </c>
      <c r="M49" s="655"/>
      <c r="N49" s="499">
        <f>'[5]Feedstock availability per IVC'!$F$32</f>
        <v>0.64100000000000001</v>
      </c>
      <c r="O49" s="499"/>
      <c r="P49" s="499"/>
      <c r="Q49" s="499">
        <f>'[5]Feedstock availability per IVC'!$F$32</f>
        <v>0.64100000000000001</v>
      </c>
      <c r="R49" s="532"/>
      <c r="S49" s="532"/>
      <c r="T49" s="532"/>
      <c r="U49" s="532"/>
      <c r="V49" s="532"/>
      <c r="W49" s="532"/>
      <c r="X49" s="532">
        <f>'[5]Feedstock availability per IVC'!$M$32</f>
        <v>0.64100000000000001</v>
      </c>
      <c r="Y49" s="525"/>
      <c r="Z49" s="525"/>
      <c r="AA49" s="499">
        <f>'Conversion factors selected IV '!L37</f>
        <v>0.27500000000000002</v>
      </c>
      <c r="AB49" s="619">
        <f t="shared" si="49"/>
        <v>0.64100000000000001</v>
      </c>
      <c r="AC49" s="619">
        <f t="shared" si="10"/>
        <v>0.64100000000000001</v>
      </c>
      <c r="AD49" s="619">
        <f t="shared" si="50"/>
        <v>0.64100000000000001</v>
      </c>
      <c r="AE49" s="980">
        <f>1/'IVCs relevant in 2030'!R$12</f>
        <v>1</v>
      </c>
      <c r="AF49" s="963">
        <f>1</f>
        <v>1</v>
      </c>
      <c r="AG49" s="522">
        <f t="shared" si="51"/>
        <v>0.17627500000000002</v>
      </c>
      <c r="AH49" s="530">
        <f>AG49*11630</f>
        <v>2050.07825</v>
      </c>
      <c r="AI49" s="498">
        <f t="shared" si="52"/>
        <v>0.17627500000000002</v>
      </c>
      <c r="AJ49" s="592">
        <f t="shared" si="58"/>
        <v>2050.07825</v>
      </c>
      <c r="AK49" s="531">
        <f t="shared" si="53"/>
        <v>0.17627500000000002</v>
      </c>
      <c r="AL49" s="1006">
        <f t="shared" si="54"/>
        <v>0.17627500000000002</v>
      </c>
      <c r="AM49" s="1007">
        <f t="shared" si="55"/>
        <v>0.17627500000000002</v>
      </c>
      <c r="AN49" s="1007">
        <f t="shared" si="9"/>
        <v>0.17627500000000002</v>
      </c>
      <c r="AO49" s="946">
        <f t="shared" si="56"/>
        <v>0.17627500000000002</v>
      </c>
      <c r="AP49" s="494"/>
      <c r="AQ49" s="494"/>
      <c r="AR49" s="494"/>
      <c r="AS49" s="499"/>
      <c r="AT49" s="499"/>
      <c r="AU49" s="499"/>
      <c r="AV49" s="494"/>
      <c r="AW49" s="494"/>
      <c r="AX49" s="494"/>
      <c r="AY49" s="494"/>
      <c r="AZ49" s="494"/>
      <c r="BA49" s="494"/>
      <c r="BB49" s="494"/>
      <c r="BC49" s="494"/>
      <c r="BD49" s="499"/>
      <c r="BE49" s="499"/>
      <c r="BF49" s="499"/>
      <c r="BG49" s="51">
        <f t="shared" si="59"/>
        <v>2050.07825</v>
      </c>
    </row>
    <row r="50" spans="1:59" s="515" customFormat="1">
      <c r="A50" s="515" t="s">
        <v>9</v>
      </c>
      <c r="B50" s="515" t="s">
        <v>774</v>
      </c>
      <c r="C50" s="515" t="s">
        <v>956</v>
      </c>
      <c r="D50" s="515" t="s">
        <v>1184</v>
      </c>
      <c r="E50" s="515" t="s">
        <v>1181</v>
      </c>
      <c r="F50" s="515" t="s">
        <v>645</v>
      </c>
      <c r="J50" s="515" t="s">
        <v>1031</v>
      </c>
      <c r="K50" s="515" t="s">
        <v>950</v>
      </c>
      <c r="N50" s="515">
        <f>SUM(N51:N60)</f>
        <v>252.76748695189718</v>
      </c>
      <c r="O50" s="515">
        <f t="shared" ref="O50:X50" si="60">SUM(O51:O60)</f>
        <v>0</v>
      </c>
      <c r="P50" s="515">
        <f t="shared" si="60"/>
        <v>0</v>
      </c>
      <c r="Q50" s="515">
        <f t="shared" si="60"/>
        <v>365.13131220918297</v>
      </c>
      <c r="R50" s="515">
        <f t="shared" si="60"/>
        <v>0</v>
      </c>
      <c r="S50" s="515">
        <f t="shared" si="60"/>
        <v>0</v>
      </c>
      <c r="T50" s="515">
        <f t="shared" si="60"/>
        <v>0</v>
      </c>
      <c r="U50" s="515">
        <f t="shared" si="60"/>
        <v>0</v>
      </c>
      <c r="V50" s="515">
        <f t="shared" si="60"/>
        <v>0</v>
      </c>
      <c r="W50" s="515">
        <f t="shared" si="60"/>
        <v>0</v>
      </c>
      <c r="X50" s="515">
        <f t="shared" si="60"/>
        <v>443.1999555288649</v>
      </c>
      <c r="AB50" s="515">
        <f t="shared" ref="AB50:AD50" si="61">SUM(AB51:AB60)</f>
        <v>41.755581599616569</v>
      </c>
      <c r="AC50" s="515">
        <f t="shared" si="61"/>
        <v>58.944138985804884</v>
      </c>
      <c r="AD50" s="515">
        <f t="shared" si="61"/>
        <v>68.218782116192514</v>
      </c>
      <c r="AG50" s="593">
        <f>SUM(AG51:AG60)</f>
        <v>9.1567261174419503</v>
      </c>
      <c r="AH50" s="593">
        <f>SUM(AH51:AH60)</f>
        <v>106492.72474584988</v>
      </c>
      <c r="AI50" s="593">
        <f>SUM(AI51:AI60)</f>
        <v>12.904199625122519</v>
      </c>
      <c r="AJ50" s="593">
        <f>SUM(AJ51:AJ60)</f>
        <v>150075.84164017491</v>
      </c>
      <c r="AK50" s="593">
        <f t="shared" ref="AK50:AL50" si="62">SUM(AK51:AK60)</f>
        <v>10.508182324334593</v>
      </c>
      <c r="AL50" s="596">
        <f t="shared" si="62"/>
        <v>13.31878745509502</v>
      </c>
      <c r="AM50" s="596">
        <f t="shared" ref="AM50" si="63">SUM(AM51:AM60)</f>
        <v>11.859638531227237</v>
      </c>
      <c r="AN50" s="596">
        <f t="shared" ref="AN50" si="64">SUM(AN51:AN60)</f>
        <v>13.733375285067522</v>
      </c>
      <c r="AO50" s="593">
        <f>SUM(AO51:AO60)</f>
        <v>14.562550945012527</v>
      </c>
      <c r="AP50" s="515">
        <f t="shared" ref="AP50:BG50" si="65">SUM(AP51:AP60)</f>
        <v>0</v>
      </c>
      <c r="AQ50" s="515">
        <f t="shared" si="65"/>
        <v>0</v>
      </c>
      <c r="AR50" s="515">
        <f t="shared" si="65"/>
        <v>0</v>
      </c>
      <c r="AS50" s="515">
        <f t="shared" si="65"/>
        <v>0</v>
      </c>
      <c r="AT50" s="515">
        <f t="shared" si="65"/>
        <v>0</v>
      </c>
      <c r="AU50" s="515">
        <f t="shared" si="65"/>
        <v>0</v>
      </c>
      <c r="AV50" s="515">
        <f t="shared" si="65"/>
        <v>0</v>
      </c>
      <c r="AW50" s="515">
        <f t="shared" si="65"/>
        <v>0</v>
      </c>
      <c r="AX50" s="515">
        <f t="shared" si="65"/>
        <v>0</v>
      </c>
      <c r="AY50" s="515">
        <f t="shared" si="65"/>
        <v>0</v>
      </c>
      <c r="AZ50" s="515">
        <f t="shared" si="65"/>
        <v>0</v>
      </c>
      <c r="BA50" s="515">
        <f t="shared" si="65"/>
        <v>0</v>
      </c>
      <c r="BB50" s="515">
        <f t="shared" si="65"/>
        <v>0</v>
      </c>
      <c r="BC50" s="515">
        <f t="shared" si="65"/>
        <v>0</v>
      </c>
      <c r="BD50" s="515">
        <f t="shared" si="65"/>
        <v>0</v>
      </c>
      <c r="BE50" s="515">
        <f t="shared" si="65"/>
        <v>0</v>
      </c>
      <c r="BF50" s="515">
        <f t="shared" si="65"/>
        <v>0</v>
      </c>
      <c r="BG50" s="515">
        <f t="shared" si="65"/>
        <v>169362.46749049568</v>
      </c>
    </row>
    <row r="51" spans="1:59" customFormat="1" ht="29" outlineLevel="1">
      <c r="A51" s="494"/>
      <c r="B51" s="494"/>
      <c r="C51" s="494"/>
      <c r="D51" s="496"/>
      <c r="E51" s="496"/>
      <c r="F51" s="494"/>
      <c r="G51" s="494"/>
      <c r="H51" s="494"/>
      <c r="I51" s="494"/>
      <c r="J51" s="503"/>
      <c r="K51" s="551" t="s">
        <v>272</v>
      </c>
      <c r="L51" s="547" t="s">
        <v>273</v>
      </c>
      <c r="M51" s="547"/>
      <c r="N51" s="525">
        <f>SUM('EU-27_Medium_2030'!N32+'EU-27_Medium_2030'!O32+'EU-27_Medium_2030'!P32)/1000000</f>
        <v>130.89263574041894</v>
      </c>
      <c r="O51" s="525"/>
      <c r="P51" s="525"/>
      <c r="Q51" s="525">
        <f>SUM('EU-27_High_2030-2050'!BI33+'EU-27_High_2030-2050'!BJ33+'EU-27_High_2030-2050'!BK33)/1000000</f>
        <v>207.40944074964315</v>
      </c>
      <c r="R51" s="525"/>
      <c r="S51" s="525"/>
      <c r="T51" s="525"/>
      <c r="U51" s="525"/>
      <c r="V51" s="525"/>
      <c r="W51" s="525"/>
      <c r="X51" s="525">
        <f>SUM('EU-27_High_2030-2050'!BI33+'EU-27_High_2030-2050'!BJ33+'EU-27_High_2030-2050'!BK33)/1000000</f>
        <v>207.40944074964315</v>
      </c>
      <c r="Y51" s="525"/>
      <c r="Z51" s="525"/>
      <c r="AA51" s="538">
        <f>'Conversion factors selected IV '!L$39</f>
        <v>0.21080329770946685</v>
      </c>
      <c r="AB51" s="619">
        <f t="shared" ref="AB51:AB60" si="66">N51*AE51</f>
        <v>18.698947962916989</v>
      </c>
      <c r="AC51" s="619">
        <f t="shared" si="10"/>
        <v>29.629920107091877</v>
      </c>
      <c r="AD51" s="619">
        <f>X51*AF51</f>
        <v>29.629920107091877</v>
      </c>
      <c r="AE51" s="977">
        <f>1/'IVCs relevant in 2030'!R$8</f>
        <v>0.14285714285714285</v>
      </c>
      <c r="AF51" s="972">
        <f>1/'IVCs relevant 2040-2050'!T$8</f>
        <v>0.14285714285714285</v>
      </c>
      <c r="AG51" s="630">
        <f t="shared" ref="AG51:AG60" si="67">N51*AA51*AE51</f>
        <v>3.9417998942806189</v>
      </c>
      <c r="AH51" s="530">
        <f>AG51*11630</f>
        <v>45843.1327704836</v>
      </c>
      <c r="AI51" s="592">
        <f t="shared" ref="AI51:AI60" si="68">Q51*AA51*AE51</f>
        <v>6.2460848694430062</v>
      </c>
      <c r="AJ51" s="531">
        <f t="shared" ref="AJ51:AJ56" si="69">AI51*11630</f>
        <v>72641.96703162216</v>
      </c>
      <c r="AK51" s="531">
        <f t="shared" ref="AK51:AK60" si="70">AG51+0.25*(AO51-AG51)</f>
        <v>4.5178711380712162</v>
      </c>
      <c r="AL51" s="1006">
        <f t="shared" ref="AL51:AL60" si="71">AI51+0.25*(AO51-AI51)</f>
        <v>6.2460848694430062</v>
      </c>
      <c r="AM51" s="1007">
        <f t="shared" ref="AM51:AM60" si="72">AG51+0.5*(AO51-AG51)</f>
        <v>5.0939423818618126</v>
      </c>
      <c r="AN51" s="1007">
        <f t="shared" si="9"/>
        <v>6.2460848694430062</v>
      </c>
      <c r="AO51" s="525">
        <f t="shared" ref="AO51:AO59" si="73">X51*AA51*AF51</f>
        <v>6.2460848694430062</v>
      </c>
      <c r="AP51" s="494"/>
      <c r="AQ51" s="494"/>
      <c r="AR51" s="494"/>
      <c r="AS51" s="499"/>
      <c r="AT51" s="499"/>
      <c r="AU51" s="499"/>
      <c r="AV51" s="494"/>
      <c r="AW51" s="494"/>
      <c r="AX51" s="494"/>
      <c r="AY51" s="494"/>
      <c r="AZ51" s="494"/>
      <c r="BA51" s="494"/>
      <c r="BB51" s="494"/>
      <c r="BC51" s="494"/>
      <c r="BD51" s="499"/>
      <c r="BE51" s="499"/>
      <c r="BF51" s="499"/>
      <c r="BG51">
        <f>AO51*11630</f>
        <v>72641.96703162216</v>
      </c>
    </row>
    <row r="52" spans="1:59" customFormat="1" ht="21.75" customHeight="1" outlineLevel="1">
      <c r="A52" s="494"/>
      <c r="B52" s="494"/>
      <c r="C52" s="494"/>
      <c r="D52" s="496"/>
      <c r="E52" s="496"/>
      <c r="F52" s="494"/>
      <c r="G52" s="494"/>
      <c r="H52" s="494"/>
      <c r="I52" s="494"/>
      <c r="J52" s="503"/>
      <c r="K52" s="551" t="s">
        <v>1065</v>
      </c>
      <c r="L52" s="547" t="s">
        <v>291</v>
      </c>
      <c r="M52" s="547"/>
      <c r="N52" s="525">
        <f>SUM('EU-27_Medium_2030'!Q32+'EU-27_Medium_2030'!R32)/1000000</f>
        <v>8.4952845259123446</v>
      </c>
      <c r="O52" s="525"/>
      <c r="P52" s="525"/>
      <c r="Q52" s="525">
        <f>SUM('EU-27_High_2030-2050'!Q33+'EU-27_High_2030-2050'!R33+'EU-27_High_2030-2050'!AE33)/1000000</f>
        <v>12.257725308395727</v>
      </c>
      <c r="R52" s="525"/>
      <c r="S52" s="525"/>
      <c r="T52" s="525"/>
      <c r="U52" s="525"/>
      <c r="V52" s="525"/>
      <c r="W52" s="525"/>
      <c r="X52" s="525">
        <f>SUM('EU-27_High_2030-2050'!BL33+'EU-27_High_2030-2050'!BM33+'EU-27_High_2030-2050'!BZ33)/1000000</f>
        <v>11.938639120933642</v>
      </c>
      <c r="Y52" s="525"/>
      <c r="Z52" s="525"/>
      <c r="AA52" s="538">
        <f>'Conversion factors selected IV '!L$40</f>
        <v>0.21080329770946685</v>
      </c>
      <c r="AB52" s="619">
        <f t="shared" si="66"/>
        <v>1.415880754318724</v>
      </c>
      <c r="AC52" s="619">
        <f t="shared" si="10"/>
        <v>2.0429542180659546</v>
      </c>
      <c r="AD52" s="619">
        <f t="shared" si="50"/>
        <v>1.9897731868222737</v>
      </c>
      <c r="AE52" s="977">
        <f>1/'IVCs relevant in 2030'!R$9</f>
        <v>0.16666666666666666</v>
      </c>
      <c r="AF52" s="977">
        <f>1/'IVCs relevant 2040-2050'!T$9</f>
        <v>0.16666666666666666</v>
      </c>
      <c r="AG52" s="630">
        <f t="shared" si="67"/>
        <v>0.29847233217375446</v>
      </c>
      <c r="AH52" s="530">
        <f t="shared" ref="AH52:AH60" si="74">AG52*11630</f>
        <v>3471.2332231807645</v>
      </c>
      <c r="AI52" s="592">
        <f t="shared" si="68"/>
        <v>0.43066148623776845</v>
      </c>
      <c r="AJ52" s="531">
        <f t="shared" si="69"/>
        <v>5008.593084945247</v>
      </c>
      <c r="AK52" s="531">
        <f t="shared" si="70"/>
        <v>0.32871693649931844</v>
      </c>
      <c r="AL52" s="1006">
        <f t="shared" si="71"/>
        <v>0.4278588020473289</v>
      </c>
      <c r="AM52" s="1007">
        <f t="shared" si="72"/>
        <v>0.35896154082488241</v>
      </c>
      <c r="AN52" s="1007">
        <f t="shared" si="9"/>
        <v>0.42505611785688935</v>
      </c>
      <c r="AO52" s="525">
        <f t="shared" si="73"/>
        <v>0.4194507494760103</v>
      </c>
      <c r="AP52" s="494"/>
      <c r="AQ52" s="494"/>
      <c r="AR52" s="494"/>
      <c r="AS52" s="499"/>
      <c r="AT52" s="499"/>
      <c r="AU52" s="499"/>
      <c r="AV52" s="494"/>
      <c r="AW52" s="494"/>
      <c r="AX52" s="494"/>
      <c r="AY52" s="494"/>
      <c r="AZ52" s="494"/>
      <c r="BA52" s="494"/>
      <c r="BB52" s="494"/>
      <c r="BC52" s="494"/>
      <c r="BD52" s="499"/>
      <c r="BE52" s="499"/>
      <c r="BF52" s="499"/>
      <c r="BG52">
        <f t="shared" ref="BG52:BG58" si="75">AO52*11630</f>
        <v>4878.2122164060002</v>
      </c>
    </row>
    <row r="53" spans="1:59" customFormat="1" outlineLevel="1">
      <c r="A53" s="494"/>
      <c r="B53" s="494"/>
      <c r="C53" s="494"/>
      <c r="D53" s="496"/>
      <c r="E53" s="496"/>
      <c r="F53" s="494"/>
      <c r="G53" s="494"/>
      <c r="H53" s="494"/>
      <c r="I53" s="494"/>
      <c r="J53" s="503"/>
      <c r="K53" s="551" t="s">
        <v>285</v>
      </c>
      <c r="L53" s="555">
        <v>5108</v>
      </c>
      <c r="M53" s="555"/>
      <c r="N53" s="525">
        <f>'EU-27_Medium_2030'!AS32/1000000</f>
        <v>8.8171616070517977</v>
      </c>
      <c r="O53" s="525"/>
      <c r="P53" s="525"/>
      <c r="Q53" s="525">
        <f>'EU-27_High_2030-2050'!AS33/1000000</f>
        <v>9.854474737293188</v>
      </c>
      <c r="R53" s="525"/>
      <c r="S53" s="525"/>
      <c r="T53" s="525"/>
      <c r="U53" s="525"/>
      <c r="V53" s="525"/>
      <c r="W53" s="525"/>
      <c r="X53" s="525">
        <f>'EU-27_High_2030-2050'!CN33/1000000</f>
        <v>9.1607302805822908</v>
      </c>
      <c r="Y53" s="525"/>
      <c r="Z53" s="525"/>
      <c r="AA53" s="538">
        <f>'Conversion factors selected IV '!L$41</f>
        <v>0.1470720681693955</v>
      </c>
      <c r="AB53" s="619">
        <f t="shared" si="66"/>
        <v>2.2042904017629494</v>
      </c>
      <c r="AC53" s="619">
        <f t="shared" si="10"/>
        <v>2.463618684323297</v>
      </c>
      <c r="AD53" s="619">
        <f t="shared" si="50"/>
        <v>2.2901825701455727</v>
      </c>
      <c r="AE53" s="977">
        <f>1/'IVCs relevant in 2030'!R$18</f>
        <v>0.25</v>
      </c>
      <c r="AF53" s="963">
        <f>1/'IVCs relevant 2040-2050'!T$18</f>
        <v>0.25</v>
      </c>
      <c r="AG53" s="630">
        <f t="shared" si="67"/>
        <v>0.32418954823322471</v>
      </c>
      <c r="AH53" s="530">
        <f t="shared" si="74"/>
        <v>3770.3244459524035</v>
      </c>
      <c r="AI53" s="592">
        <f t="shared" si="68"/>
        <v>0.36232949508419238</v>
      </c>
      <c r="AJ53" s="531">
        <f t="shared" si="69"/>
        <v>4213.8920278291571</v>
      </c>
      <c r="AK53" s="531">
        <f t="shared" si="70"/>
        <v>0.32734763294412128</v>
      </c>
      <c r="AL53" s="1006">
        <f t="shared" si="71"/>
        <v>0.35595259308234706</v>
      </c>
      <c r="AM53" s="1007">
        <f t="shared" si="72"/>
        <v>0.33050571765501791</v>
      </c>
      <c r="AN53" s="1007">
        <f t="shared" si="9"/>
        <v>0.34957569108050168</v>
      </c>
      <c r="AO53" s="525">
        <f t="shared" si="73"/>
        <v>0.33682188707681104</v>
      </c>
      <c r="AP53" s="494"/>
      <c r="AQ53" s="494"/>
      <c r="AR53" s="494"/>
      <c r="AS53" s="499"/>
      <c r="AT53" s="499"/>
      <c r="AU53" s="499"/>
      <c r="AV53" s="494"/>
      <c r="AW53" s="494"/>
      <c r="AX53" s="494"/>
      <c r="AY53" s="494"/>
      <c r="AZ53" s="494"/>
      <c r="BA53" s="494"/>
      <c r="BB53" s="494"/>
      <c r="BC53" s="494"/>
      <c r="BD53" s="499"/>
      <c r="BE53" s="499"/>
      <c r="BF53" s="499"/>
      <c r="BG53">
        <f t="shared" si="75"/>
        <v>3917.2385467033123</v>
      </c>
    </row>
    <row r="54" spans="1:59" customFormat="1" outlineLevel="1">
      <c r="A54" s="494"/>
      <c r="B54" s="494"/>
      <c r="C54" s="494"/>
      <c r="D54" s="496"/>
      <c r="E54" s="496"/>
      <c r="F54" s="494"/>
      <c r="G54" s="494"/>
      <c r="H54" s="494"/>
      <c r="I54" s="494"/>
      <c r="J54" s="503"/>
      <c r="K54" s="551" t="s">
        <v>292</v>
      </c>
      <c r="L54" s="559">
        <v>4204</v>
      </c>
      <c r="M54" s="559"/>
      <c r="N54" s="525">
        <f>'EU-27_Medium_2030'!AD32/1000000</f>
        <v>3.4535388863652337</v>
      </c>
      <c r="O54" s="525"/>
      <c r="P54" s="525"/>
      <c r="Q54" s="525">
        <f>'EU-27_High_2030-2050'!AD33/1000000</f>
        <v>5.1803083295478496</v>
      </c>
      <c r="R54" s="525"/>
      <c r="S54" s="525"/>
      <c r="T54" s="525"/>
      <c r="U54" s="525"/>
      <c r="V54" s="525"/>
      <c r="W54" s="525"/>
      <c r="X54" s="525">
        <f>'EU-27_High_2030-2050'!BY33/1000000</f>
        <v>4.4480556436504077</v>
      </c>
      <c r="Y54" s="525"/>
      <c r="Z54" s="525"/>
      <c r="AA54" s="538">
        <f>'Conversion factors selected IV '!L$42</f>
        <v>0.21080329770946693</v>
      </c>
      <c r="AB54" s="619">
        <f t="shared" si="66"/>
        <v>0.69070777727304677</v>
      </c>
      <c r="AC54" s="619">
        <f t="shared" si="10"/>
        <v>1.0360616659095701</v>
      </c>
      <c r="AD54" s="619">
        <f t="shared" si="50"/>
        <v>0.88961112873008164</v>
      </c>
      <c r="AE54" s="977">
        <f>1/'IVCs relevant in 2030'!R$13</f>
        <v>0.2</v>
      </c>
      <c r="AF54" s="963">
        <f>1/'IVCs relevant 2040-2050'!T$13</f>
        <v>0.2</v>
      </c>
      <c r="AG54" s="630">
        <f t="shared" si="67"/>
        <v>0.14560347720273425</v>
      </c>
      <c r="AH54" s="530">
        <f t="shared" si="74"/>
        <v>1693.3684398677995</v>
      </c>
      <c r="AI54" s="592">
        <f t="shared" si="68"/>
        <v>0.21840521580410135</v>
      </c>
      <c r="AJ54" s="531">
        <f t="shared" si="69"/>
        <v>2540.0526598016986</v>
      </c>
      <c r="AK54" s="531">
        <f t="shared" si="70"/>
        <v>0.15608584780588627</v>
      </c>
      <c r="AL54" s="1006">
        <f t="shared" si="71"/>
        <v>0.21068715175691161</v>
      </c>
      <c r="AM54" s="1007">
        <f t="shared" si="72"/>
        <v>0.16656821840903829</v>
      </c>
      <c r="AN54" s="1007">
        <f t="shared" si="9"/>
        <v>0.20296908770972183</v>
      </c>
      <c r="AO54" s="525">
        <f t="shared" si="73"/>
        <v>0.1875329596153423</v>
      </c>
      <c r="AP54" s="494"/>
      <c r="AQ54" s="494"/>
      <c r="AR54" s="494"/>
      <c r="AS54" s="499"/>
      <c r="AT54" s="499"/>
      <c r="AU54" s="499"/>
      <c r="AV54" s="494"/>
      <c r="AW54" s="494"/>
      <c r="AX54" s="494"/>
      <c r="AY54" s="494"/>
      <c r="AZ54" s="494"/>
      <c r="BA54" s="494"/>
      <c r="BB54" s="494"/>
      <c r="BC54" s="494"/>
      <c r="BD54" s="499"/>
      <c r="BE54" s="499"/>
      <c r="BF54" s="499"/>
      <c r="BG54">
        <f t="shared" si="75"/>
        <v>2181.0083203264312</v>
      </c>
    </row>
    <row r="55" spans="1:59" customFormat="1" ht="14.15" customHeight="1" outlineLevel="1">
      <c r="A55" s="494"/>
      <c r="B55" s="494"/>
      <c r="C55" s="494"/>
      <c r="D55" s="496"/>
      <c r="E55" s="496"/>
      <c r="F55" s="494"/>
      <c r="G55" s="494"/>
      <c r="H55" s="494"/>
      <c r="I55" s="494"/>
      <c r="J55" s="503"/>
      <c r="K55" s="551" t="s">
        <v>274</v>
      </c>
      <c r="L55" s="547" t="s">
        <v>275</v>
      </c>
      <c r="M55" s="547"/>
      <c r="N55" s="525">
        <f>SUM('EU-27_Medium_2030'!E$32+'EU-27_Medium_2030'!G$32+'EU-27_Medium_2030'!H$32+'EU-27_Medium_2030'!J$32)/1000000</f>
        <v>5.1230865023155641</v>
      </c>
      <c r="O55" s="525"/>
      <c r="P55" s="525"/>
      <c r="Q55" s="525">
        <f>SUM('EU-27_High_2030-2050'!E$33+'EU-27_High_2030-2050'!G$33+'EU-27_High_2030-2050'!H$33+'EU-27_High_2030-2050'!J$33)/1000000</f>
        <v>8.738165736490755</v>
      </c>
      <c r="R55" s="525"/>
      <c r="S55" s="525"/>
      <c r="T55" s="525"/>
      <c r="U55" s="525"/>
      <c r="V55" s="525"/>
      <c r="W55" s="525"/>
      <c r="X55" s="525">
        <f>SUM('EU-27_High_2030-2050'!AZ$33+'EU-27_High_2030-2050'!BB$33+'EU-27_High_2030-2050'!BC$33+'EU-27_High_2030-2050'!BE$33)/1000000</f>
        <v>71.430408560585576</v>
      </c>
      <c r="Y55" s="525"/>
      <c r="Z55" s="525"/>
      <c r="AA55" s="538">
        <f>'Conversion factors selected IV '!L$43</f>
        <v>0.21080329770946685</v>
      </c>
      <c r="AB55" s="619">
        <f t="shared" si="66"/>
        <v>0.73186950033079479</v>
      </c>
      <c r="AC55" s="619">
        <f t="shared" si="10"/>
        <v>1.2483093909272507</v>
      </c>
      <c r="AD55" s="619">
        <f t="shared" si="50"/>
        <v>10.204344080083652</v>
      </c>
      <c r="AE55" s="977">
        <f>1/'IVCs relevant in 2030'!R$2</f>
        <v>0.14285714285714285</v>
      </c>
      <c r="AF55" s="972">
        <f>1/'IVCs relevant 2040-2050'!T$2</f>
        <v>0.14285714285714285</v>
      </c>
      <c r="AG55" s="630">
        <f t="shared" si="67"/>
        <v>0.1542805041627113</v>
      </c>
      <c r="AH55" s="530">
        <f t="shared" si="74"/>
        <v>1794.2822634123324</v>
      </c>
      <c r="AI55" s="592">
        <f t="shared" si="68"/>
        <v>0.26314773616916048</v>
      </c>
      <c r="AJ55" s="531">
        <f t="shared" si="69"/>
        <v>3060.4081716473365</v>
      </c>
      <c r="AK55" s="531">
        <f t="shared" si="70"/>
        <v>0.65348772388296095</v>
      </c>
      <c r="AL55" s="1006">
        <f t="shared" si="71"/>
        <v>0.73513814788779785</v>
      </c>
      <c r="AM55" s="1007">
        <f t="shared" si="72"/>
        <v>1.1526949436032106</v>
      </c>
      <c r="AN55" s="1007">
        <f t="shared" si="9"/>
        <v>1.2071285596064352</v>
      </c>
      <c r="AO55" s="525">
        <f t="shared" si="73"/>
        <v>2.15110938304371</v>
      </c>
      <c r="AP55" s="494"/>
      <c r="AQ55" s="494"/>
      <c r="AR55" s="494"/>
      <c r="AS55" s="499"/>
      <c r="AT55" s="499"/>
      <c r="AU55" s="499"/>
      <c r="AV55" s="494"/>
      <c r="AW55" s="494"/>
      <c r="AX55" s="494"/>
      <c r="AY55" s="494"/>
      <c r="AZ55" s="494"/>
      <c r="BA55" s="494"/>
      <c r="BB55" s="494"/>
      <c r="BC55" s="494"/>
      <c r="BD55" s="499"/>
      <c r="BE55" s="499"/>
      <c r="BF55" s="499"/>
      <c r="BG55">
        <f t="shared" si="75"/>
        <v>25017.402124798347</v>
      </c>
    </row>
    <row r="56" spans="1:59" customFormat="1" outlineLevel="1">
      <c r="A56" s="494"/>
      <c r="B56" s="494"/>
      <c r="C56" s="494"/>
      <c r="D56" s="496"/>
      <c r="E56" s="496"/>
      <c r="F56" s="494"/>
      <c r="G56" s="494"/>
      <c r="H56" s="494"/>
      <c r="I56" s="494"/>
      <c r="J56" s="503"/>
      <c r="K56" s="551" t="s">
        <v>276</v>
      </c>
      <c r="L56" s="547" t="s">
        <v>277</v>
      </c>
      <c r="M56" s="547"/>
      <c r="N56" s="525">
        <f>SUM('EU-27_Medium_2030'!K$32+'EU-27_Medium_2030'!M$32)/1000000</f>
        <v>2.3323784509315457</v>
      </c>
      <c r="O56" s="525"/>
      <c r="P56" s="525"/>
      <c r="Q56" s="525">
        <f>SUM('EU-27_High_2030-2050'!K$33+'EU-27_High_2030-2050'!M$33)/1000000</f>
        <v>6.1393981815063317</v>
      </c>
      <c r="R56" s="525"/>
      <c r="S56" s="525"/>
      <c r="T56" s="525"/>
      <c r="U56" s="525"/>
      <c r="V56" s="525"/>
      <c r="W56" s="525"/>
      <c r="X56" s="525">
        <f>SUM('EU-27_High_2030-2050'!BF$33+'EU-27_High_2030-2050'!BH$33)/1000000</f>
        <v>14.099411675482649</v>
      </c>
      <c r="Y56" s="525"/>
      <c r="Z56" s="525"/>
      <c r="AA56" s="538">
        <f>'Conversion factors selected IV '!L$44</f>
        <v>0.21080329770946685</v>
      </c>
      <c r="AB56" s="619">
        <f t="shared" si="66"/>
        <v>0.33319692156164937</v>
      </c>
      <c r="AC56" s="619">
        <f t="shared" si="10"/>
        <v>0.87705688307233309</v>
      </c>
      <c r="AD56" s="619">
        <f t="shared" si="50"/>
        <v>2.0142016679260926</v>
      </c>
      <c r="AE56" s="977">
        <f>1/'IVCs relevant in 2030'!R$4</f>
        <v>0.14285714285714285</v>
      </c>
      <c r="AF56" s="972">
        <f>1/'IVCs relevant 2040-2050'!T$4</f>
        <v>0.14285714285714285</v>
      </c>
      <c r="AG56" s="630">
        <f t="shared" si="67"/>
        <v>7.0239009851838244E-2</v>
      </c>
      <c r="AH56" s="530">
        <f t="shared" si="74"/>
        <v>816.87968457687873</v>
      </c>
      <c r="AI56" s="592">
        <f t="shared" si="68"/>
        <v>0.18488648323043408</v>
      </c>
      <c r="AJ56" s="531">
        <f t="shared" si="69"/>
        <v>2150.2297999699485</v>
      </c>
      <c r="AK56" s="531">
        <f t="shared" si="70"/>
        <v>0.15882934585156089</v>
      </c>
      <c r="AL56" s="1006">
        <f t="shared" si="71"/>
        <v>0.24481495088550775</v>
      </c>
      <c r="AM56" s="1007">
        <f t="shared" si="72"/>
        <v>0.24741968185128355</v>
      </c>
      <c r="AN56" s="1007">
        <f t="shared" si="9"/>
        <v>0.30474341854058146</v>
      </c>
      <c r="AO56" s="525">
        <f t="shared" si="73"/>
        <v>0.42460035385072881</v>
      </c>
      <c r="AP56" s="494"/>
      <c r="AQ56" s="494"/>
      <c r="AR56" s="494"/>
      <c r="AS56" s="499"/>
      <c r="AT56" s="499"/>
      <c r="AU56" s="499"/>
      <c r="AV56" s="494"/>
      <c r="AW56" s="494"/>
      <c r="AX56" s="494"/>
      <c r="AY56" s="494"/>
      <c r="AZ56" s="494"/>
      <c r="BA56" s="494"/>
      <c r="BB56" s="494"/>
      <c r="BC56" s="494"/>
      <c r="BD56" s="499"/>
      <c r="BE56" s="499"/>
      <c r="BF56" s="499"/>
      <c r="BG56">
        <f t="shared" si="75"/>
        <v>4938.1021152839758</v>
      </c>
    </row>
    <row r="57" spans="1:59" customFormat="1" outlineLevel="1">
      <c r="A57" s="494"/>
      <c r="B57" s="494"/>
      <c r="C57" s="494"/>
      <c r="D57" s="496"/>
      <c r="E57" s="496"/>
      <c r="F57" s="494"/>
      <c r="G57" s="494"/>
      <c r="H57" s="494"/>
      <c r="I57" s="494"/>
      <c r="J57" s="503"/>
      <c r="K57" s="551" t="s">
        <v>293</v>
      </c>
      <c r="L57" s="547" t="s">
        <v>294</v>
      </c>
      <c r="M57" s="526" t="s">
        <v>968</v>
      </c>
      <c r="N57" s="525">
        <f>SUM('EU-27_Medium_2030'!C$32+'EU-27_Medium_2030'!D$32)/1000000</f>
        <v>37.416699428169103</v>
      </c>
      <c r="O57" s="525"/>
      <c r="P57" s="525"/>
      <c r="Q57" s="525">
        <f>SUM('EU-27_High_2030-2050'!C$33+'EU-27_High_2030-2050'!D$33)/1000000</f>
        <v>37.416699428169103</v>
      </c>
      <c r="R57" s="525"/>
      <c r="S57" s="525"/>
      <c r="T57" s="525"/>
      <c r="U57" s="525"/>
      <c r="V57" s="525"/>
      <c r="W57" s="525"/>
      <c r="X57" s="525">
        <f>SUM('EU-27_High_2030-2050'!AX$33+'EU-27_High_2030-2050'!AY$33)/1000000</f>
        <v>38.131780786359911</v>
      </c>
      <c r="Y57" s="525"/>
      <c r="Z57" s="525"/>
      <c r="AA57" s="538">
        <f>'Conversion factors selected IV '!L$45</f>
        <v>0.23286410793487619</v>
      </c>
      <c r="AB57" s="619">
        <f t="shared" si="66"/>
        <v>7.4833398856338214</v>
      </c>
      <c r="AC57" s="619">
        <f t="shared" si="10"/>
        <v>7.4833398856338214</v>
      </c>
      <c r="AD57" s="619">
        <f t="shared" si="50"/>
        <v>7.6263561572719825</v>
      </c>
      <c r="AE57" s="977">
        <f>1/'IVCs relevant in 2030'!R$6</f>
        <v>0.2</v>
      </c>
      <c r="AF57" s="963">
        <f>1/'IVCs relevant 2040-2050'!T$6</f>
        <v>0.2</v>
      </c>
      <c r="AG57" s="630">
        <f t="shared" si="67"/>
        <v>1.7426012668415982</v>
      </c>
      <c r="AH57" s="530">
        <f t="shared" si="74"/>
        <v>20266.452733367787</v>
      </c>
      <c r="AI57" s="592">
        <f t="shared" si="68"/>
        <v>1.7426012668415982</v>
      </c>
      <c r="AJ57" s="531">
        <f t="shared" ref="AJ57:AJ60" si="76">AI57*11630</f>
        <v>20266.452733367787</v>
      </c>
      <c r="AK57" s="531">
        <f t="shared" si="70"/>
        <v>1.7509271059703964</v>
      </c>
      <c r="AL57" s="1006">
        <f t="shared" si="71"/>
        <v>1.7509271059703964</v>
      </c>
      <c r="AM57" s="1007">
        <f t="shared" si="72"/>
        <v>1.7592529450991945</v>
      </c>
      <c r="AN57" s="1007">
        <f t="shared" si="9"/>
        <v>1.7592529450991945</v>
      </c>
      <c r="AO57" s="525">
        <f t="shared" si="73"/>
        <v>1.7759046233567906</v>
      </c>
      <c r="AP57" s="494"/>
      <c r="AQ57" s="494"/>
      <c r="AR57" s="494"/>
      <c r="AS57" s="499"/>
      <c r="AT57" s="499"/>
      <c r="AU57" s="499"/>
      <c r="AV57" s="494"/>
      <c r="AW57" s="494"/>
      <c r="AX57" s="494"/>
      <c r="AY57" s="494"/>
      <c r="AZ57" s="494"/>
      <c r="BA57" s="494"/>
      <c r="BB57" s="494"/>
      <c r="BC57" s="494"/>
      <c r="BD57" s="499"/>
      <c r="BE57" s="499"/>
      <c r="BF57" s="499"/>
      <c r="BG57" s="9">
        <f t="shared" si="75"/>
        <v>20653.770769639475</v>
      </c>
    </row>
    <row r="58" spans="1:59" customFormat="1" ht="15.65" customHeight="1" outlineLevel="1">
      <c r="A58" s="494"/>
      <c r="B58" s="494"/>
      <c r="C58" s="494"/>
      <c r="D58" s="496"/>
      <c r="E58" s="496"/>
      <c r="F58" s="494"/>
      <c r="G58" s="494"/>
      <c r="H58" s="494"/>
      <c r="I58" s="494"/>
      <c r="J58" s="503"/>
      <c r="K58" s="551" t="s">
        <v>270</v>
      </c>
      <c r="L58" s="547" t="s">
        <v>271</v>
      </c>
      <c r="M58" s="526" t="s">
        <v>968</v>
      </c>
      <c r="N58" s="525">
        <f>SUM('EU-27_Medium_2030'!U$32+'EU-27_Medium_2030'!V$32+'EU-27_Medium_2030'!W$32+'EU-27_Medium_2030'!X$32+'EU-27_Medium_2030'!Y$32+'EU-27_Medium_2030'!Z$32)/1000000</f>
        <v>39.28182327905342</v>
      </c>
      <c r="O58" s="525"/>
      <c r="P58" s="525"/>
      <c r="Q58" s="525">
        <f>SUM('EU-27_High_2030-2050'!U$33+'EU-27_High_2030-2050'!V$33+'EU-27_High_2030-2050'!W$33+'EU-27_High_2030-2050'!X$33+'EU-27_High_2030-2050'!Y$33+'EU-27_High_2030-2050'!Z$33)/1000000</f>
        <v>55.037292867279561</v>
      </c>
      <c r="R58" s="525"/>
      <c r="S58" s="525"/>
      <c r="T58" s="525"/>
      <c r="U58" s="525"/>
      <c r="V58" s="525"/>
      <c r="W58" s="525"/>
      <c r="X58" s="525">
        <f>SUM('EU-27_High_2030-2050'!BP$33+'EU-27_High_2030-2050'!BQ$33+'EU-27_High_2030-2050'!BR$33+'EU-27_High_2030-2050'!BS$33+'EU-27_High_2030-2050'!BT$33+'EU-27_High_2030-2050'!BU$33)/1000000</f>
        <v>58.609743205605817</v>
      </c>
      <c r="Y58" s="525"/>
      <c r="Z58" s="525"/>
      <c r="AA58" s="538">
        <f>'Conversion factors selected IV '!$L46</f>
        <v>0.23286410793487619</v>
      </c>
      <c r="AB58" s="619">
        <f t="shared" si="66"/>
        <v>6.546970546508903</v>
      </c>
      <c r="AC58" s="619">
        <f t="shared" si="10"/>
        <v>9.1728821445465929</v>
      </c>
      <c r="AD58" s="619">
        <f t="shared" si="50"/>
        <v>9.7682905342676349</v>
      </c>
      <c r="AE58" s="977">
        <f>1/'IVCs relevant in 2030'!R$16</f>
        <v>0.16666666666666666</v>
      </c>
      <c r="AF58" s="972">
        <f>1/'IVCs relevant 2040-2050'!T$16</f>
        <v>0.16666666666666666</v>
      </c>
      <c r="AG58" s="630">
        <f t="shared" si="67"/>
        <v>1.5245544559887048</v>
      </c>
      <c r="AH58" s="530">
        <f t="shared" si="74"/>
        <v>17730.568323148636</v>
      </c>
      <c r="AI58" s="592">
        <f t="shared" si="68"/>
        <v>2.1360350177815963</v>
      </c>
      <c r="AJ58" s="531">
        <f t="shared" si="76"/>
        <v>24842.087256799965</v>
      </c>
      <c r="AK58" s="531">
        <f t="shared" si="70"/>
        <v>1.7120869073192606</v>
      </c>
      <c r="AL58" s="1006">
        <f t="shared" si="71"/>
        <v>2.1706973286639295</v>
      </c>
      <c r="AM58" s="1007">
        <f t="shared" si="72"/>
        <v>1.8996193586498165</v>
      </c>
      <c r="AN58" s="1007">
        <f t="shared" si="9"/>
        <v>2.2053596395462622</v>
      </c>
      <c r="AO58" s="525">
        <f t="shared" si="73"/>
        <v>2.2746842613109282</v>
      </c>
      <c r="AP58" s="494"/>
      <c r="AQ58" s="494"/>
      <c r="AR58" s="494"/>
      <c r="AS58" s="499"/>
      <c r="AT58" s="499"/>
      <c r="AU58" s="499"/>
      <c r="AV58" s="494"/>
      <c r="AW58" s="494"/>
      <c r="AX58" s="494"/>
      <c r="AY58" s="494"/>
      <c r="AZ58" s="494"/>
      <c r="BA58" s="494"/>
      <c r="BB58" s="494"/>
      <c r="BC58" s="494"/>
      <c r="BD58" s="499"/>
      <c r="BE58" s="499"/>
      <c r="BF58" s="499"/>
      <c r="BG58" s="9">
        <f t="shared" si="75"/>
        <v>26454.577959046095</v>
      </c>
    </row>
    <row r="59" spans="1:59" customFormat="1" outlineLevel="1">
      <c r="A59" s="494"/>
      <c r="B59" s="494"/>
      <c r="C59" s="494"/>
      <c r="D59" s="496"/>
      <c r="E59" s="496"/>
      <c r="F59" s="494"/>
      <c r="G59" s="494"/>
      <c r="H59" s="494"/>
      <c r="I59" s="494"/>
      <c r="J59" s="503"/>
      <c r="K59" s="551" t="s">
        <v>295</v>
      </c>
      <c r="L59" s="547" t="s">
        <v>296</v>
      </c>
      <c r="M59" s="547"/>
      <c r="N59" s="525">
        <f>SUM('EU-27_Medium_2030'!AT$32+'EU-27_Medium_2030'!AU$32)/1000000</f>
        <v>11.766835672202422</v>
      </c>
      <c r="O59" s="525"/>
      <c r="P59" s="525"/>
      <c r="Q59" s="525">
        <f>SUM('EU-27_High_2030-2050'!AT$33+'EU-27_High_2030-2050'!AU$33)/1000000</f>
        <v>15.689114229603229</v>
      </c>
      <c r="R59" s="525"/>
      <c r="S59" s="525"/>
      <c r="T59" s="525"/>
      <c r="U59" s="525"/>
      <c r="V59" s="525"/>
      <c r="W59" s="525"/>
      <c r="X59" s="525">
        <f>SUM('EU-27_High_2030-2050'!CO$33+'EU-27_High_2030-2050'!CP$33)/1000000</f>
        <v>19.03051341926674</v>
      </c>
      <c r="Y59" s="525"/>
      <c r="Z59" s="525"/>
      <c r="AA59" s="538">
        <f>'Conversion factors selected IV '!L$47</f>
        <v>0.19609609089252733</v>
      </c>
      <c r="AB59" s="619">
        <f t="shared" si="66"/>
        <v>2.3533671344404845</v>
      </c>
      <c r="AC59" s="619">
        <f t="shared" si="10"/>
        <v>3.1378228459206459</v>
      </c>
      <c r="AD59" s="619">
        <f t="shared" si="50"/>
        <v>3.8061026838533483</v>
      </c>
      <c r="AE59" s="977">
        <f>1/'IVCs relevant in 2030'!R$20</f>
        <v>0.2</v>
      </c>
      <c r="AF59" s="963">
        <f>1/'IVCs relevant 2040-2050'!T$20</f>
        <v>0.2</v>
      </c>
      <c r="AG59" s="630">
        <f t="shared" si="67"/>
        <v>0.46148609549872782</v>
      </c>
      <c r="AH59" s="530">
        <f t="shared" si="74"/>
        <v>5367.0832906502046</v>
      </c>
      <c r="AI59" s="592">
        <f t="shared" si="68"/>
        <v>0.6153147939983038</v>
      </c>
      <c r="AJ59" s="531">
        <f t="shared" si="76"/>
        <v>7156.1110542002734</v>
      </c>
      <c r="AK59" s="531">
        <f t="shared" si="70"/>
        <v>0.53270503608384545</v>
      </c>
      <c r="AL59" s="1006">
        <f t="shared" si="71"/>
        <v>0.64807655995852742</v>
      </c>
      <c r="AM59" s="1007">
        <f t="shared" si="72"/>
        <v>0.60392397666896314</v>
      </c>
      <c r="AN59" s="1007">
        <f t="shared" si="9"/>
        <v>0.68083832591875115</v>
      </c>
      <c r="AO59" s="525">
        <f t="shared" si="73"/>
        <v>0.74636185783919839</v>
      </c>
      <c r="AP59" s="494"/>
      <c r="AQ59" s="494"/>
      <c r="AR59" s="494"/>
      <c r="AS59" s="499"/>
      <c r="AT59" s="499"/>
      <c r="AU59" s="499"/>
      <c r="AV59" s="494"/>
      <c r="AW59" s="494"/>
      <c r="AX59" s="494"/>
      <c r="AY59" s="494"/>
      <c r="AZ59" s="494"/>
      <c r="BA59" s="494"/>
      <c r="BB59" s="494"/>
      <c r="BC59" s="494"/>
      <c r="BD59" s="499"/>
      <c r="BE59" s="499"/>
      <c r="BF59" s="499"/>
      <c r="BG59" s="9">
        <f>AO59*11630</f>
        <v>8680.1884066698767</v>
      </c>
    </row>
    <row r="60" spans="1:59" s="1" customFormat="1" outlineLevel="1">
      <c r="A60" s="499"/>
      <c r="B60" s="499"/>
      <c r="C60" s="499"/>
      <c r="D60" s="524"/>
      <c r="E60" s="524"/>
      <c r="F60" s="499"/>
      <c r="G60" s="499"/>
      <c r="H60" s="499"/>
      <c r="I60" s="499"/>
      <c r="J60" s="861"/>
      <c r="K60" s="923" t="s">
        <v>297</v>
      </c>
      <c r="L60" s="656"/>
      <c r="M60" s="656"/>
      <c r="N60" s="532">
        <f>AG119</f>
        <v>5.1880428594768198</v>
      </c>
      <c r="O60" s="532"/>
      <c r="P60" s="532"/>
      <c r="Q60" s="532">
        <f>AI119</f>
        <v>7.4086926412541239</v>
      </c>
      <c r="R60" s="532"/>
      <c r="S60" s="532"/>
      <c r="T60" s="532"/>
      <c r="U60" s="532"/>
      <c r="V60" s="532"/>
      <c r="W60" s="532"/>
      <c r="X60" s="532">
        <f>$AO$119</f>
        <v>8.9412320867547326</v>
      </c>
      <c r="Y60" s="499"/>
      <c r="Z60" s="499"/>
      <c r="AA60" s="538">
        <f>'Conversion factors selected IV '!L48</f>
        <v>0.38048994318277612</v>
      </c>
      <c r="AB60" s="619">
        <f t="shared" si="66"/>
        <v>1.2970107148692049</v>
      </c>
      <c r="AC60" s="619">
        <f t="shared" si="10"/>
        <v>1.852173160313531</v>
      </c>
      <c r="AD60" s="619"/>
      <c r="AE60" s="979">
        <f>1/'IVCs relevant in 2030'!R$22</f>
        <v>0.25</v>
      </c>
      <c r="AF60" s="980">
        <f>1/'IVCs relevant 2040-2050'!T$22</f>
        <v>0.25</v>
      </c>
      <c r="AG60" s="630">
        <f t="shared" si="67"/>
        <v>0.49349953320803563</v>
      </c>
      <c r="AH60" s="530">
        <f t="shared" si="74"/>
        <v>5739.3995712094547</v>
      </c>
      <c r="AI60" s="592">
        <f t="shared" si="68"/>
        <v>0.7047332605323583</v>
      </c>
      <c r="AJ60" s="531">
        <f t="shared" si="76"/>
        <v>8196.0478199913268</v>
      </c>
      <c r="AK60" s="531">
        <f t="shared" si="70"/>
        <v>0.37012464990602673</v>
      </c>
      <c r="AL60" s="1006">
        <f t="shared" si="71"/>
        <v>0.52854994539926869</v>
      </c>
      <c r="AM60" s="1007">
        <f t="shared" si="72"/>
        <v>0.24674976660401782</v>
      </c>
      <c r="AN60" s="1007">
        <f t="shared" si="9"/>
        <v>0.35236663026617915</v>
      </c>
      <c r="AO60" s="499"/>
      <c r="AP60" s="499"/>
      <c r="AQ60" s="499"/>
      <c r="AR60" s="499"/>
      <c r="AS60" s="499"/>
      <c r="AT60" s="499"/>
      <c r="AU60" s="499"/>
      <c r="AV60" s="499"/>
      <c r="AW60" s="499"/>
      <c r="AX60" s="499"/>
      <c r="AY60" s="499"/>
      <c r="AZ60" s="499"/>
      <c r="BA60" s="499"/>
      <c r="BB60" s="499"/>
      <c r="BC60" s="499"/>
      <c r="BD60" s="499"/>
      <c r="BE60" s="499"/>
      <c r="BF60" s="499"/>
      <c r="BG60" s="65"/>
    </row>
    <row r="61" spans="1:59" s="601" customFormat="1">
      <c r="A61" s="515" t="s">
        <v>11</v>
      </c>
      <c r="B61" s="515" t="s">
        <v>12</v>
      </c>
      <c r="C61" s="515" t="s">
        <v>51</v>
      </c>
      <c r="D61" s="515" t="s">
        <v>1184</v>
      </c>
      <c r="E61" s="563" t="s">
        <v>1181</v>
      </c>
      <c r="F61" s="515" t="s">
        <v>645</v>
      </c>
      <c r="G61" s="515"/>
      <c r="H61" s="515"/>
      <c r="I61" s="515"/>
      <c r="J61" s="859" t="s">
        <v>1030</v>
      </c>
      <c r="K61" s="952"/>
      <c r="L61" s="610"/>
      <c r="M61" s="610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5"/>
      <c r="AB61" s="619">
        <f>SUM(AB62:AB64)</f>
        <v>2.2959999999999998</v>
      </c>
      <c r="AC61" s="619">
        <f>SUM(AC62:AC64)</f>
        <v>26.023398020561689</v>
      </c>
      <c r="AD61" s="619"/>
      <c r="AE61" s="515"/>
      <c r="AF61" s="515"/>
      <c r="AG61" s="593">
        <f t="shared" ref="AG61:AH61" si="77">SUM(AG62)</f>
        <v>1.8597600000000001</v>
      </c>
      <c r="AH61" s="593">
        <f t="shared" si="77"/>
        <v>21629.0088</v>
      </c>
      <c r="AI61" s="593">
        <f>SUM(AI62)</f>
        <v>0</v>
      </c>
      <c r="AJ61" s="593">
        <f>SUM(AJ62)</f>
        <v>0</v>
      </c>
      <c r="AK61" s="593">
        <f t="shared" ref="AK61" si="78">SUM(AK62)</f>
        <v>1.3948200000000002</v>
      </c>
      <c r="AL61" s="596">
        <f t="shared" ref="AL61" si="79">SUM(AL62)</f>
        <v>0</v>
      </c>
      <c r="AM61" s="596">
        <f t="shared" ref="AM61" si="80">SUM(AM62)</f>
        <v>0.92988000000000004</v>
      </c>
      <c r="AN61" s="596">
        <f t="shared" ref="AN61" si="81">SUM(AN62)</f>
        <v>0</v>
      </c>
      <c r="AO61" s="515"/>
      <c r="AP61" s="515"/>
      <c r="AQ61" s="515"/>
      <c r="AR61" s="515"/>
      <c r="AS61" s="563"/>
      <c r="AT61" s="563"/>
      <c r="AU61" s="563"/>
      <c r="AV61" s="515"/>
      <c r="AW61" s="515"/>
      <c r="AX61" s="515"/>
      <c r="AY61" s="515"/>
      <c r="AZ61" s="515"/>
      <c r="BA61" s="515"/>
      <c r="BB61" s="515"/>
      <c r="BC61" s="515"/>
      <c r="BD61" s="563"/>
      <c r="BE61" s="563"/>
      <c r="BF61" s="563"/>
      <c r="BG61" s="628"/>
    </row>
    <row r="62" spans="1:59" customFormat="1">
      <c r="A62" s="494"/>
      <c r="B62" s="494" t="s">
        <v>1343</v>
      </c>
      <c r="C62" s="494"/>
      <c r="D62" s="496"/>
      <c r="E62" s="496"/>
      <c r="F62" s="494"/>
      <c r="G62" s="494"/>
      <c r="H62" s="494"/>
      <c r="I62" s="494"/>
      <c r="J62" s="503" t="s">
        <v>1658</v>
      </c>
      <c r="K62" s="560" t="s">
        <v>298</v>
      </c>
      <c r="L62" s="561"/>
      <c r="M62" s="561"/>
      <c r="N62" s="497">
        <v>2.2959999999999998</v>
      </c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4">
        <f>'Conversion factors selected IV '!$L$49</f>
        <v>0.81</v>
      </c>
      <c r="AB62" s="619">
        <f>N62*AE62</f>
        <v>2.2959999999999998</v>
      </c>
      <c r="AC62" s="619">
        <f t="shared" si="10"/>
        <v>0</v>
      </c>
      <c r="AD62" s="619"/>
      <c r="AE62" s="963">
        <f>1/'IVCs relevant in 2030'!R25</f>
        <v>1</v>
      </c>
      <c r="AF62" s="963">
        <f>1/'IVCs relevant 2040-2050'!T25</f>
        <v>1</v>
      </c>
      <c r="AG62" s="630">
        <f>N62*AA62*AE62</f>
        <v>1.8597600000000001</v>
      </c>
      <c r="AH62" s="530">
        <f t="shared" ref="AH62" si="82">AG62*11630</f>
        <v>21629.0088</v>
      </c>
      <c r="AI62" s="592">
        <f>Q62*AA62*AE62</f>
        <v>0</v>
      </c>
      <c r="AJ62" s="531">
        <f t="shared" ref="AJ62:AJ66" si="83">AI62*11630</f>
        <v>0</v>
      </c>
      <c r="AK62" s="531">
        <f>AG62+0.25*(AO62-AG62)</f>
        <v>1.3948200000000002</v>
      </c>
      <c r="AL62" s="1006">
        <f>AI62+0.25*(AO62-AI62)</f>
        <v>0</v>
      </c>
      <c r="AM62" s="1007">
        <f>AG62+0.5*(AO62-AG62)</f>
        <v>0.92988000000000004</v>
      </c>
      <c r="AN62" s="1007">
        <f t="shared" si="9"/>
        <v>0</v>
      </c>
      <c r="AO62" s="525">
        <f>X62*AA62*AF62</f>
        <v>0</v>
      </c>
      <c r="AP62" s="525">
        <f>Y62*AE62*AG62</f>
        <v>0</v>
      </c>
      <c r="AQ62" s="525">
        <f>Z62*AF62*AH62</f>
        <v>0</v>
      </c>
      <c r="AR62" s="525">
        <f>AA62*AG62*AI62</f>
        <v>0</v>
      </c>
      <c r="AS62" s="525">
        <f>AE62*AH62*AJ62</f>
        <v>0</v>
      </c>
      <c r="AT62" s="525">
        <f>AF62*AI62*AK62</f>
        <v>0</v>
      </c>
      <c r="AU62" s="525">
        <f>AG62*AJ62*AL62</f>
        <v>0</v>
      </c>
      <c r="AV62" s="525">
        <f>AH62*AK62*AM62</f>
        <v>28053.153641720353</v>
      </c>
      <c r="AW62" s="525">
        <f t="shared" ref="AW62" si="84">AI62*AL62*AN62</f>
        <v>0</v>
      </c>
      <c r="AX62" s="525">
        <f t="shared" ref="AX62" si="85">AJ62*AM62*AO62</f>
        <v>0</v>
      </c>
      <c r="AY62" s="525">
        <f t="shared" ref="AY62" si="86">AK62*AN62*AP62</f>
        <v>0</v>
      </c>
      <c r="AZ62" s="525">
        <f t="shared" ref="AZ62" si="87">AL62*AO62*AQ62</f>
        <v>0</v>
      </c>
      <c r="BA62" s="525">
        <f t="shared" ref="BA62" si="88">AM62*AP62*AR62</f>
        <v>0</v>
      </c>
      <c r="BB62" s="525">
        <f t="shared" ref="BB62" si="89">AN62*AQ62*AS62</f>
        <v>0</v>
      </c>
      <c r="BC62" s="525">
        <f t="shared" ref="BC62" si="90">AO62*AR62*AT62</f>
        <v>0</v>
      </c>
      <c r="BD62" s="525">
        <f t="shared" ref="BD62" si="91">AP62*AS62*AU62</f>
        <v>0</v>
      </c>
      <c r="BE62" s="525">
        <f t="shared" ref="BE62" si="92">AQ62*AT62*AV62</f>
        <v>0</v>
      </c>
      <c r="BF62" s="525">
        <f t="shared" ref="BF62" si="93">AR62*AU62*AW62</f>
        <v>0</v>
      </c>
      <c r="BG62">
        <f>AO62*11630</f>
        <v>0</v>
      </c>
    </row>
    <row r="63" spans="1:59" customFormat="1">
      <c r="A63" s="494"/>
      <c r="B63" s="494" t="s">
        <v>1344</v>
      </c>
      <c r="C63" s="494"/>
      <c r="D63" s="496"/>
      <c r="E63" s="496"/>
      <c r="F63" s="494"/>
      <c r="G63" s="494"/>
      <c r="H63" s="494"/>
      <c r="I63" s="494"/>
      <c r="J63" s="503"/>
      <c r="K63" s="560"/>
      <c r="L63" s="561"/>
      <c r="M63" s="561"/>
      <c r="N63" s="497"/>
      <c r="O63" s="497"/>
      <c r="P63" s="497"/>
      <c r="Q63" s="1011">
        <f>'[6]2030 costs Sc 2'!$D$93</f>
        <v>1.7283950617283947</v>
      </c>
      <c r="R63" s="497"/>
      <c r="S63" s="497"/>
      <c r="T63" s="497"/>
      <c r="U63" s="497"/>
      <c r="V63" s="497"/>
      <c r="W63" s="497"/>
      <c r="X63" s="497"/>
      <c r="Y63" s="497"/>
      <c r="Z63" s="497"/>
      <c r="AA63" s="494">
        <f>'Conversion factors selected IV '!$L$49</f>
        <v>0.81</v>
      </c>
      <c r="AB63" s="619">
        <f>N63*AE63</f>
        <v>0</v>
      </c>
      <c r="AC63" s="619">
        <f t="shared" si="10"/>
        <v>1.7283950617283947</v>
      </c>
      <c r="AD63" s="619"/>
      <c r="AE63" s="963">
        <v>1</v>
      </c>
      <c r="AF63" s="963">
        <v>1</v>
      </c>
      <c r="AG63" s="630"/>
      <c r="AH63" s="530">
        <f>AG63*11630</f>
        <v>0</v>
      </c>
      <c r="AI63" s="592">
        <f>Q63*AA63*AE63</f>
        <v>1.4</v>
      </c>
      <c r="AJ63" s="531"/>
      <c r="AK63" s="531">
        <f>AG63+0.25*(AO63-AG63)</f>
        <v>0</v>
      </c>
      <c r="AL63" s="1006">
        <f>AI63+0.25*(AO63-AI63)</f>
        <v>1.0499999999999998</v>
      </c>
      <c r="AM63" s="1007">
        <f>1*AA63*AE63</f>
        <v>0.81</v>
      </c>
      <c r="AN63" s="1007">
        <f t="shared" si="9"/>
        <v>0.7</v>
      </c>
      <c r="AO63" s="525">
        <f>X63*AA63*AF63</f>
        <v>0</v>
      </c>
      <c r="AP63" s="494"/>
      <c r="AQ63" s="494"/>
      <c r="AR63" s="494"/>
      <c r="AS63" s="499"/>
      <c r="AT63" s="499"/>
      <c r="AU63" s="499"/>
      <c r="AV63" s="494"/>
      <c r="AW63" s="494"/>
      <c r="AX63" s="494"/>
      <c r="AY63" s="494"/>
      <c r="AZ63" s="494"/>
      <c r="BA63" s="494"/>
      <c r="BB63" s="494"/>
      <c r="BC63" s="494"/>
      <c r="BD63" s="499"/>
      <c r="BE63" s="499"/>
      <c r="BF63" s="499"/>
      <c r="BG63">
        <f t="shared" ref="BG63:BG64" si="94">AO63*11630</f>
        <v>0</v>
      </c>
    </row>
    <row r="64" spans="1:59" customFormat="1">
      <c r="A64" s="494"/>
      <c r="B64" s="494" t="s">
        <v>1345</v>
      </c>
      <c r="C64" s="494"/>
      <c r="D64" s="496"/>
      <c r="E64" s="496"/>
      <c r="F64" s="494"/>
      <c r="G64" s="494"/>
      <c r="H64" s="494"/>
      <c r="I64" s="494"/>
      <c r="J64" s="503"/>
      <c r="K64" s="560"/>
      <c r="L64" s="561"/>
      <c r="M64" s="561"/>
      <c r="N64" s="497"/>
      <c r="O64" s="497"/>
      <c r="P64" s="497"/>
      <c r="Q64" s="497">
        <f>'[7]Scenario 3 2030'!$H$14</f>
        <v>24.295002958833294</v>
      </c>
      <c r="R64" s="497"/>
      <c r="S64" s="497"/>
      <c r="T64" s="497"/>
      <c r="U64" s="497"/>
      <c r="V64" s="497"/>
      <c r="W64" s="497"/>
      <c r="X64" s="497"/>
      <c r="Y64" s="497"/>
      <c r="Z64" s="497"/>
      <c r="AA64" s="494">
        <f>'Conversion factors selected IV '!$L$49</f>
        <v>0.81</v>
      </c>
      <c r="AB64" s="619">
        <f>N64*AE64</f>
        <v>0</v>
      </c>
      <c r="AC64" s="619">
        <f t="shared" si="10"/>
        <v>24.295002958833294</v>
      </c>
      <c r="AD64" s="619"/>
      <c r="AE64" s="963">
        <v>1</v>
      </c>
      <c r="AF64" s="963">
        <v>1</v>
      </c>
      <c r="AG64" s="630"/>
      <c r="AH64" s="530"/>
      <c r="AI64" s="592">
        <f>Q64*AA64*AE64</f>
        <v>19.678952396654971</v>
      </c>
      <c r="AJ64" s="531"/>
      <c r="AK64" s="531">
        <f>AG64+0.25*(AO64-AG64)</f>
        <v>0</v>
      </c>
      <c r="AL64" s="1006">
        <f>AI64+0.25*(AO64-AI64)</f>
        <v>14.759214297491228</v>
      </c>
      <c r="AM64" s="1003"/>
      <c r="AN64" s="1007">
        <f>AI64+0.5*(AO64-AI64)</f>
        <v>9.8394761983274854</v>
      </c>
      <c r="AO64" s="525">
        <f>X64*AA64*AF64</f>
        <v>0</v>
      </c>
      <c r="AP64" s="494"/>
      <c r="AQ64" s="494"/>
      <c r="AR64" s="494"/>
      <c r="AS64" s="499"/>
      <c r="AT64" s="499"/>
      <c r="AU64" s="499"/>
      <c r="AV64" s="494"/>
      <c r="AW64" s="494"/>
      <c r="AX64" s="494"/>
      <c r="AY64" s="494"/>
      <c r="AZ64" s="494"/>
      <c r="BA64" s="494"/>
      <c r="BB64" s="494"/>
      <c r="BC64" s="494"/>
      <c r="BD64" s="499"/>
      <c r="BE64" s="499"/>
      <c r="BF64" s="499"/>
      <c r="BG64">
        <f t="shared" si="94"/>
        <v>0</v>
      </c>
    </row>
    <row r="65" spans="1:59" s="601" customFormat="1">
      <c r="A65" s="515" t="s">
        <v>13</v>
      </c>
      <c r="B65" s="515" t="s">
        <v>957</v>
      </c>
      <c r="C65" s="609" t="s">
        <v>1342</v>
      </c>
      <c r="D65" s="515" t="s">
        <v>1184</v>
      </c>
      <c r="E65" s="563" t="s">
        <v>1181</v>
      </c>
      <c r="F65" s="515" t="s">
        <v>646</v>
      </c>
      <c r="G65" s="515"/>
      <c r="H65" s="515"/>
      <c r="I65" s="515"/>
      <c r="J65" s="859" t="s">
        <v>1030</v>
      </c>
      <c r="K65" s="612"/>
      <c r="L65" s="610"/>
      <c r="M65" s="610"/>
      <c r="N65" s="515"/>
      <c r="O65" s="515"/>
      <c r="P65" s="515"/>
      <c r="Q65" s="515"/>
      <c r="R65" s="515"/>
      <c r="S65" s="515"/>
      <c r="T65" s="515"/>
      <c r="U65" s="515"/>
      <c r="V65" s="515"/>
      <c r="W65" s="515"/>
      <c r="X65" s="515"/>
      <c r="Y65" s="515"/>
      <c r="Z65" s="515"/>
      <c r="AA65" s="515"/>
      <c r="AB65" s="619">
        <f>AB66</f>
        <v>16.34</v>
      </c>
      <c r="AC65" s="619">
        <f>AC66</f>
        <v>16.34</v>
      </c>
      <c r="AD65" s="619">
        <f>AD66</f>
        <v>32.195</v>
      </c>
      <c r="AE65" s="515"/>
      <c r="AF65" s="515"/>
      <c r="AG65" s="593">
        <f t="shared" ref="AG65:AH65" si="95">SUM(AG66)</f>
        <v>5.2287999999999997</v>
      </c>
      <c r="AH65" s="593">
        <f t="shared" si="95"/>
        <v>60810.943999999996</v>
      </c>
      <c r="AI65" s="593">
        <f>SUM(AI66)</f>
        <v>5.2287999999999997</v>
      </c>
      <c r="AJ65" s="593">
        <f>SUM(AJ66)</f>
        <v>60810.943999999996</v>
      </c>
      <c r="AK65" s="593">
        <f t="shared" ref="AK65" si="96">SUM(AK66)</f>
        <v>6.4971999999999994</v>
      </c>
      <c r="AL65" s="596">
        <f>SUM(AL66)</f>
        <v>6.4971999999999994</v>
      </c>
      <c r="AM65" s="596">
        <f t="shared" ref="AM65" si="97">SUM(AM66)</f>
        <v>7.7656000000000001</v>
      </c>
      <c r="AN65" s="596">
        <f t="shared" ref="AN65:AO65" si="98">SUM(AN66)</f>
        <v>7.7656000000000001</v>
      </c>
      <c r="AO65" s="593">
        <f t="shared" si="98"/>
        <v>10.3024</v>
      </c>
      <c r="AP65" s="593">
        <f t="shared" ref="AP65" si="99">SUM(AP66)</f>
        <v>0</v>
      </c>
      <c r="AQ65" s="593">
        <f t="shared" ref="AQ65" si="100">SUM(AQ66)</f>
        <v>0</v>
      </c>
      <c r="AR65" s="593">
        <f t="shared" ref="AR65" si="101">SUM(AR66)</f>
        <v>0</v>
      </c>
      <c r="AS65" s="593">
        <f t="shared" ref="AS65" si="102">SUM(AS66)</f>
        <v>0</v>
      </c>
      <c r="AT65" s="593">
        <f t="shared" ref="AT65" si="103">SUM(AT66)</f>
        <v>0</v>
      </c>
      <c r="AU65" s="593">
        <f t="shared" ref="AU65" si="104">SUM(AU66)</f>
        <v>0</v>
      </c>
      <c r="AV65" s="593">
        <f t="shared" ref="AV65" si="105">SUM(AV66)</f>
        <v>0</v>
      </c>
      <c r="AW65" s="593">
        <f t="shared" ref="AW65" si="106">SUM(AW66)</f>
        <v>0</v>
      </c>
      <c r="AX65" s="593">
        <f t="shared" ref="AX65" si="107">SUM(AX66)</f>
        <v>0</v>
      </c>
      <c r="AY65" s="593">
        <f t="shared" ref="AY65" si="108">SUM(AY66)</f>
        <v>0</v>
      </c>
      <c r="AZ65" s="593">
        <f t="shared" ref="AZ65" si="109">SUM(AZ66)</f>
        <v>0</v>
      </c>
      <c r="BA65" s="593">
        <f t="shared" ref="BA65" si="110">SUM(BA66)</f>
        <v>0</v>
      </c>
      <c r="BB65" s="593">
        <f t="shared" ref="BB65" si="111">SUM(BB66)</f>
        <v>0</v>
      </c>
      <c r="BC65" s="593">
        <f t="shared" ref="BC65" si="112">SUM(BC66)</f>
        <v>0</v>
      </c>
      <c r="BD65" s="593">
        <f t="shared" ref="BD65" si="113">SUM(BD66)</f>
        <v>0</v>
      </c>
      <c r="BE65" s="593">
        <f t="shared" ref="BE65" si="114">SUM(BE66)</f>
        <v>0</v>
      </c>
      <c r="BF65" s="593">
        <f t="shared" ref="BF65" si="115">SUM(BF66)</f>
        <v>0</v>
      </c>
      <c r="BG65" s="593">
        <f t="shared" ref="BG65" si="116">SUM(BG66)</f>
        <v>119816.91200000001</v>
      </c>
    </row>
    <row r="66" spans="1:59" customFormat="1">
      <c r="A66" s="494"/>
      <c r="B66" s="494"/>
      <c r="C66" s="494"/>
      <c r="D66" s="496"/>
      <c r="E66" s="496"/>
      <c r="F66" s="494"/>
      <c r="G66" s="494"/>
      <c r="H66" s="494"/>
      <c r="I66" s="494"/>
      <c r="J66" s="503"/>
      <c r="K66" s="567" t="s">
        <v>299</v>
      </c>
      <c r="L66" s="561"/>
      <c r="M66" s="561"/>
      <c r="N66" s="494">
        <f>'[5]Feedstock availability per IVC'!$F$62</f>
        <v>32.68</v>
      </c>
      <c r="O66" s="494"/>
      <c r="P66" s="494"/>
      <c r="Q66" s="499">
        <f>'[5]Feedstock availability per IVC'!$F$62</f>
        <v>32.68</v>
      </c>
      <c r="R66" s="494"/>
      <c r="S66" s="494"/>
      <c r="T66" s="494"/>
      <c r="U66" s="494"/>
      <c r="V66" s="494"/>
      <c r="W66" s="494"/>
      <c r="X66" s="494">
        <f>'[5]Feedstock availability per IVC'!$M$62</f>
        <v>64.39</v>
      </c>
      <c r="Y66" s="497"/>
      <c r="Z66" s="497"/>
      <c r="AA66" s="497">
        <v>0.32</v>
      </c>
      <c r="AB66" s="619">
        <f>N66*AE66</f>
        <v>16.34</v>
      </c>
      <c r="AC66" s="619">
        <f t="shared" ref="AC66:AC127" si="117">Q66*AE66</f>
        <v>16.34</v>
      </c>
      <c r="AD66" s="619">
        <f t="shared" ref="AD66" si="118">X66*AF66</f>
        <v>32.195</v>
      </c>
      <c r="AE66" s="963">
        <f>1/'IVCs relevant in 2030'!R28</f>
        <v>0.5</v>
      </c>
      <c r="AF66" s="963">
        <f>1/'IVCs relevant 2040-2050'!T28</f>
        <v>0.5</v>
      </c>
      <c r="AG66" s="630">
        <f>N66*AA66*AE66</f>
        <v>5.2287999999999997</v>
      </c>
      <c r="AH66" s="530">
        <f>AG66*11630</f>
        <v>60810.943999999996</v>
      </c>
      <c r="AI66" s="592">
        <f>Q66*AA66*AE66</f>
        <v>5.2287999999999997</v>
      </c>
      <c r="AJ66" s="531">
        <f t="shared" si="83"/>
        <v>60810.943999999996</v>
      </c>
      <c r="AK66" s="531">
        <f>AG66+0.25*(AO66-AG66)</f>
        <v>6.4971999999999994</v>
      </c>
      <c r="AL66" s="1006">
        <f>AI66+0.25*(AO66-AI66)</f>
        <v>6.4971999999999994</v>
      </c>
      <c r="AM66" s="1007">
        <f>AG66+0.5*(AO66-AG66)</f>
        <v>7.7656000000000001</v>
      </c>
      <c r="AN66" s="1007">
        <f t="shared" ref="AN66:AN127" si="119">AI66+0.5*(AO66-AI66)</f>
        <v>7.7656000000000001</v>
      </c>
      <c r="AO66" s="525">
        <f>X66*AA66*AF66</f>
        <v>10.3024</v>
      </c>
      <c r="AP66" s="494"/>
      <c r="AQ66" s="494"/>
      <c r="AR66" s="494"/>
      <c r="AS66" s="499"/>
      <c r="AT66" s="499"/>
      <c r="AU66" s="499"/>
      <c r="AV66" s="494"/>
      <c r="AW66" s="494"/>
      <c r="AX66" s="494"/>
      <c r="AY66" s="494"/>
      <c r="AZ66" s="494"/>
      <c r="BA66" s="494"/>
      <c r="BB66" s="494"/>
      <c r="BC66" s="494"/>
      <c r="BD66" s="499"/>
      <c r="BE66" s="499"/>
      <c r="BF66" s="499"/>
      <c r="BG66" s="9">
        <f>AO66*11630</f>
        <v>119816.91200000001</v>
      </c>
    </row>
    <row r="67" spans="1:59" s="34" customFormat="1" hidden="1">
      <c r="A67" s="514" t="s">
        <v>15</v>
      </c>
      <c r="B67" s="514" t="s">
        <v>16</v>
      </c>
      <c r="C67" s="568"/>
      <c r="D67" s="515"/>
      <c r="E67" s="515"/>
      <c r="F67" s="514"/>
      <c r="G67" s="514"/>
      <c r="H67" s="514"/>
      <c r="I67" s="514"/>
      <c r="J67" s="516"/>
      <c r="K67" s="560"/>
      <c r="L67" s="561"/>
      <c r="M67" s="56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1"/>
      <c r="AB67" s="619">
        <f>N67*AE67</f>
        <v>0</v>
      </c>
      <c r="AC67" s="619">
        <f t="shared" si="117"/>
        <v>0</v>
      </c>
      <c r="AD67" s="619"/>
      <c r="AE67" s="963">
        <v>1</v>
      </c>
      <c r="AF67" s="965"/>
      <c r="AG67" s="514"/>
      <c r="AH67" s="514"/>
      <c r="AI67" s="566"/>
      <c r="AJ67" s="566"/>
      <c r="AK67" s="531">
        <f>AG67+0.25*(AO67-AG67)</f>
        <v>0</v>
      </c>
      <c r="AL67" s="1006">
        <f>AI67+0.24*(AO67-AI67)</f>
        <v>0</v>
      </c>
      <c r="AM67" s="1007">
        <f>AG67+0.5*(AO67-AG67)</f>
        <v>0</v>
      </c>
      <c r="AN67" s="1007">
        <f t="shared" si="119"/>
        <v>0</v>
      </c>
      <c r="AO67" s="514"/>
      <c r="AP67" s="514"/>
      <c r="AQ67" s="514"/>
      <c r="AR67" s="514"/>
      <c r="AS67" s="564"/>
      <c r="AT67" s="564"/>
      <c r="AU67" s="564"/>
      <c r="AV67" s="514"/>
      <c r="AW67" s="514"/>
      <c r="AX67" s="514"/>
      <c r="AY67" s="514"/>
      <c r="AZ67" s="514"/>
      <c r="BA67" s="514"/>
      <c r="BB67" s="514"/>
      <c r="BC67" s="514"/>
      <c r="BD67" s="564"/>
      <c r="BE67" s="564"/>
      <c r="BF67" s="564"/>
      <c r="BG67" s="89"/>
    </row>
    <row r="68" spans="1:59" customFormat="1" hidden="1">
      <c r="A68" s="494"/>
      <c r="B68" s="494"/>
      <c r="C68" s="494"/>
      <c r="D68" s="496"/>
      <c r="E68" s="496"/>
      <c r="F68" s="494"/>
      <c r="G68" s="494"/>
      <c r="H68" s="494"/>
      <c r="I68" s="494"/>
      <c r="J68" s="503"/>
      <c r="K68" s="560" t="s">
        <v>300</v>
      </c>
      <c r="L68" s="561"/>
      <c r="M68" s="561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7"/>
      <c r="AB68" s="619">
        <f>N68*AE68</f>
        <v>0</v>
      </c>
      <c r="AC68" s="619">
        <f t="shared" si="117"/>
        <v>0</v>
      </c>
      <c r="AD68" s="619"/>
      <c r="AE68" s="963"/>
      <c r="AF68" s="963"/>
      <c r="AG68" s="494"/>
      <c r="AH68" s="494"/>
      <c r="AI68" s="498"/>
      <c r="AJ68" s="498"/>
      <c r="AK68" s="531">
        <f>AG68+0.25*(AO68-AG68)</f>
        <v>0</v>
      </c>
      <c r="AL68" s="1006">
        <f>AI68+0.24*(AO68-AI68)</f>
        <v>0</v>
      </c>
      <c r="AM68" s="1007">
        <f>AG68+0.5*(AO68-AG68)</f>
        <v>0</v>
      </c>
      <c r="AN68" s="1007">
        <f t="shared" si="119"/>
        <v>0</v>
      </c>
      <c r="AO68" s="494"/>
      <c r="AP68" s="494"/>
      <c r="AQ68" s="494"/>
      <c r="AR68" s="494"/>
      <c r="AS68" s="499"/>
      <c r="AT68" s="499"/>
      <c r="AU68" s="499"/>
      <c r="AV68" s="494"/>
      <c r="AW68" s="494"/>
      <c r="AX68" s="494"/>
      <c r="AY68" s="494"/>
      <c r="AZ68" s="494"/>
      <c r="BA68" s="494"/>
      <c r="BB68" s="494"/>
      <c r="BC68" s="494"/>
      <c r="BD68" s="499"/>
      <c r="BE68" s="499"/>
      <c r="BF68" s="499"/>
      <c r="BG68" s="9"/>
    </row>
    <row r="69" spans="1:59" s="601" customFormat="1">
      <c r="A69" s="515" t="s">
        <v>17</v>
      </c>
      <c r="B69" s="515" t="s">
        <v>18</v>
      </c>
      <c r="C69" s="515" t="s">
        <v>53</v>
      </c>
      <c r="D69" s="515" t="s">
        <v>559</v>
      </c>
      <c r="E69" s="563" t="s">
        <v>1183</v>
      </c>
      <c r="F69" s="515" t="s">
        <v>1023</v>
      </c>
      <c r="G69" s="515"/>
      <c r="H69" s="515"/>
      <c r="I69" s="515"/>
      <c r="J69" s="859" t="s">
        <v>1030</v>
      </c>
      <c r="K69" s="609" t="s">
        <v>950</v>
      </c>
      <c r="L69" s="610"/>
      <c r="M69" s="610"/>
      <c r="N69" s="593">
        <f>SUM(N70:N79)</f>
        <v>252.76748695189718</v>
      </c>
      <c r="O69" s="515"/>
      <c r="P69" s="515"/>
      <c r="Q69" s="593">
        <f>SUM(Q70:Q79)</f>
        <v>365.13131220918297</v>
      </c>
      <c r="R69" s="515"/>
      <c r="S69" s="515"/>
      <c r="T69" s="515"/>
      <c r="U69" s="515"/>
      <c r="V69" s="515"/>
      <c r="W69" s="515"/>
      <c r="X69" s="593">
        <f>SUM(X70:X79)</f>
        <v>443.1999555288649</v>
      </c>
      <c r="Y69" s="593"/>
      <c r="Z69" s="593"/>
      <c r="AA69" s="593"/>
      <c r="AB69" s="593">
        <f>SUM(AB70:AB79)</f>
        <v>41.755581599616569</v>
      </c>
      <c r="AC69" s="593">
        <f>SUM(AC70:AC79)</f>
        <v>58.944138985804884</v>
      </c>
      <c r="AD69" s="593">
        <f>SUM(AD70:AD79)</f>
        <v>70.454090137881195</v>
      </c>
      <c r="AE69" s="593"/>
      <c r="AF69" s="593"/>
      <c r="AG69" s="593">
        <f>SUM(AG70:AG79)</f>
        <v>13.397588624542491</v>
      </c>
      <c r="AH69" s="593">
        <f>SUM(AH70:AH79)</f>
        <v>155813.95570342918</v>
      </c>
      <c r="AI69" s="593">
        <f>SUM(AI70:AI79)</f>
        <v>18.890846530355372</v>
      </c>
      <c r="AJ69" s="593">
        <f>SUM(AJ70:AJ79)</f>
        <v>219700.54514803298</v>
      </c>
      <c r="AK69" s="593">
        <f t="shared" ref="AK69:AL69" si="120">SUM(AK70:AK79)</f>
        <v>15.159513494462677</v>
      </c>
      <c r="AL69" s="596">
        <f t="shared" si="120"/>
        <v>19.279456923822337</v>
      </c>
      <c r="AM69" s="596">
        <f t="shared" ref="AM69" si="121">SUM(AM70:AM79)</f>
        <v>16.921438364382865</v>
      </c>
      <c r="AN69" s="596">
        <f t="shared" ref="AN69" si="122">SUM(AN70:AN79)</f>
        <v>19.668067317289303</v>
      </c>
      <c r="AO69" s="593">
        <f t="shared" ref="AO69" si="123">SUM(AO70:AO79)</f>
        <v>20.445288104223245</v>
      </c>
      <c r="AP69" s="593">
        <f t="shared" ref="AP69" si="124">SUM(AP70:AP79)</f>
        <v>0</v>
      </c>
      <c r="AQ69" s="593">
        <f t="shared" ref="AQ69" si="125">SUM(AQ70:AQ79)</f>
        <v>0</v>
      </c>
      <c r="AR69" s="593">
        <f t="shared" ref="AR69" si="126">SUM(AR70:AR79)</f>
        <v>0</v>
      </c>
      <c r="AS69" s="593">
        <f t="shared" ref="AS69" si="127">SUM(AS70:AS79)</f>
        <v>0</v>
      </c>
      <c r="AT69" s="593">
        <f t="shared" ref="AT69" si="128">SUM(AT70:AT79)</f>
        <v>0</v>
      </c>
      <c r="AU69" s="593">
        <f t="shared" ref="AU69" si="129">SUM(AU70:AU79)</f>
        <v>0</v>
      </c>
      <c r="AV69" s="593">
        <f t="shared" ref="AV69" si="130">SUM(AV70:AV79)</f>
        <v>0</v>
      </c>
      <c r="AW69" s="593">
        <f t="shared" ref="AW69" si="131">SUM(AW70:AW79)</f>
        <v>0</v>
      </c>
      <c r="AX69" s="593">
        <f t="shared" ref="AX69" si="132">SUM(AX70:AX79)</f>
        <v>0</v>
      </c>
      <c r="AY69" s="593">
        <f t="shared" ref="AY69" si="133">SUM(AY70:AY79)</f>
        <v>0</v>
      </c>
      <c r="AZ69" s="593">
        <f t="shared" ref="AZ69" si="134">SUM(AZ70:AZ79)</f>
        <v>0</v>
      </c>
      <c r="BA69" s="593">
        <f t="shared" ref="BA69" si="135">SUM(BA70:BA79)</f>
        <v>0</v>
      </c>
      <c r="BB69" s="593">
        <f t="shared" ref="BB69" si="136">SUM(BB70:BB79)</f>
        <v>0</v>
      </c>
      <c r="BC69" s="593">
        <f t="shared" ref="BC69" si="137">SUM(BC70:BC79)</f>
        <v>0</v>
      </c>
      <c r="BD69" s="593">
        <f t="shared" ref="BD69" si="138">SUM(BD70:BD79)</f>
        <v>0</v>
      </c>
      <c r="BE69" s="593">
        <f t="shared" ref="BE69" si="139">SUM(BE70:BE79)</f>
        <v>0</v>
      </c>
      <c r="BF69" s="593">
        <f t="shared" ref="BF69" si="140">SUM(BF70:BF79)</f>
        <v>0</v>
      </c>
      <c r="BG69" s="593">
        <f t="shared" ref="BG69" si="141">SUM(BG70:BG79)</f>
        <v>237778.70065211633</v>
      </c>
    </row>
    <row r="70" spans="1:59" s="418" customFormat="1" ht="17.5" customHeight="1" outlineLevel="1">
      <c r="A70" s="497"/>
      <c r="B70" s="497"/>
      <c r="C70" s="497"/>
      <c r="D70" s="496"/>
      <c r="E70" s="496"/>
      <c r="F70" s="497"/>
      <c r="G70" s="497"/>
      <c r="H70" s="497"/>
      <c r="I70" s="497"/>
      <c r="J70" s="862"/>
      <c r="K70" s="551" t="s">
        <v>272</v>
      </c>
      <c r="L70" s="547" t="s">
        <v>273</v>
      </c>
      <c r="M70" s="547"/>
      <c r="N70" s="538">
        <f>SUM('EU-27_Medium_2030'!N$32+'EU-27_Medium_2030'!O$32+'EU-27_Medium_2030'!P$32)/1000000</f>
        <v>130.89263574041894</v>
      </c>
      <c r="O70" s="538"/>
      <c r="P70" s="538"/>
      <c r="Q70" s="538">
        <f>SUM('EU-27_High_2030-2050'!BI$33+'EU-27_High_2030-2050'!BJ$33+'EU-27_High_2030-2050'!BK$33)/1000000</f>
        <v>207.40944074964315</v>
      </c>
      <c r="R70" s="538"/>
      <c r="S70" s="538"/>
      <c r="T70" s="538"/>
      <c r="U70" s="538"/>
      <c r="V70" s="538"/>
      <c r="W70" s="538"/>
      <c r="X70" s="538">
        <f>SUM('EU-27_High_2030-2050'!BI$33+'EU-27_High_2030-2050'!BJ$33+'EU-27_High_2030-2050'!BK$33)/1000000</f>
        <v>207.40944074964315</v>
      </c>
      <c r="Y70" s="538"/>
      <c r="Z70" s="538"/>
      <c r="AA70" s="538">
        <f>'Conversion factors selected IV '!L$52</f>
        <v>0.29596010831237546</v>
      </c>
      <c r="AB70" s="619">
        <f t="shared" ref="AB70:AB127" si="142">N70*AE70</f>
        <v>18.698947962916989</v>
      </c>
      <c r="AC70" s="619">
        <f t="shared" si="117"/>
        <v>29.629920107091877</v>
      </c>
      <c r="AD70" s="619">
        <f t="shared" ref="AD70:AD79" si="143">X70*AF70</f>
        <v>29.629920107091877</v>
      </c>
      <c r="AE70" s="977">
        <f>1/'IVCs relevant in 2030'!R$8</f>
        <v>0.14285714285714285</v>
      </c>
      <c r="AF70" s="972">
        <f>1/'IVCs relevant 2040-2050'!T$8</f>
        <v>0.14285714285714285</v>
      </c>
      <c r="AG70" s="630">
        <f t="shared" ref="AG70:AG79" si="144">N70*AA70*AE70</f>
        <v>5.5341426644323848</v>
      </c>
      <c r="AH70" s="530">
        <f>AG70*11630</f>
        <v>64362.079187348638</v>
      </c>
      <c r="AI70" s="592">
        <f t="shared" ref="AI70:AI79" si="145">Q70*AA70*AE70</f>
        <v>8.7692743641819444</v>
      </c>
      <c r="AJ70" s="531">
        <f t="shared" ref="AJ70:AJ75" si="146">AI70*11630</f>
        <v>101986.66085543601</v>
      </c>
      <c r="AK70" s="531">
        <f t="shared" ref="AK70:AK79" si="147">AG70+0.25*(AO70-AG70)</f>
        <v>6.3429255893697745</v>
      </c>
      <c r="AL70" s="1006">
        <f t="shared" ref="AL70:AL81" si="148">AI70+0.25*(AO70-AI70)</f>
        <v>8.7692743641819444</v>
      </c>
      <c r="AM70" s="1007">
        <f t="shared" ref="AM70:AM79" si="149">AG70+0.5*(AO70-AG70)</f>
        <v>7.151708514307165</v>
      </c>
      <c r="AN70" s="1007">
        <f t="shared" si="119"/>
        <v>8.7692743641819444</v>
      </c>
      <c r="AO70" s="525">
        <f t="shared" ref="AO70:AO78" si="150">X70*AA70*AF70</f>
        <v>8.7692743641819444</v>
      </c>
      <c r="AP70" s="497"/>
      <c r="AQ70" s="497"/>
      <c r="AR70" s="497"/>
      <c r="AS70" s="569"/>
      <c r="AT70" s="569"/>
      <c r="AU70" s="569"/>
      <c r="AV70" s="497"/>
      <c r="AW70" s="497"/>
      <c r="AX70" s="497"/>
      <c r="AY70" s="497"/>
      <c r="AZ70" s="497"/>
      <c r="BA70" s="497"/>
      <c r="BB70" s="497"/>
      <c r="BC70" s="497"/>
      <c r="BD70" s="569"/>
      <c r="BE70" s="569"/>
      <c r="BF70" s="569"/>
      <c r="BG70" s="9">
        <f t="shared" ref="BG70:BG75" si="151">AO70*11630</f>
        <v>101986.66085543601</v>
      </c>
    </row>
    <row r="71" spans="1:59" customFormat="1" ht="18" customHeight="1" outlineLevel="1">
      <c r="A71" s="494"/>
      <c r="B71" s="494"/>
      <c r="C71" s="494"/>
      <c r="D71" s="496"/>
      <c r="E71" s="496"/>
      <c r="F71" s="494"/>
      <c r="G71" s="494"/>
      <c r="H71" s="494"/>
      <c r="I71" s="494"/>
      <c r="J71" s="503"/>
      <c r="K71" s="551" t="s">
        <v>1065</v>
      </c>
      <c r="L71" s="547" t="s">
        <v>291</v>
      </c>
      <c r="M71" s="547"/>
      <c r="N71" s="525">
        <f>SUM('EU-27_Medium_2030'!Q$32+'EU-27_Medium_2030'!R$32)/1000000</f>
        <v>8.4952845259123446</v>
      </c>
      <c r="O71" s="525"/>
      <c r="P71" s="525"/>
      <c r="Q71" s="525">
        <f>SUM('EU-27_High_2030-2050'!Q$33+'EU-27_High_2030-2050'!R$33+'EU-27_High_2030-2050'!AE$33)/1000000</f>
        <v>12.257725308395727</v>
      </c>
      <c r="R71" s="525"/>
      <c r="S71" s="525"/>
      <c r="T71" s="525"/>
      <c r="U71" s="525"/>
      <c r="V71" s="525"/>
      <c r="W71" s="525"/>
      <c r="X71" s="525">
        <f>SUM('EU-27_High_2030-2050'!BL$33+'EU-27_High_2030-2050'!BM$33+'EU-27_High_2030-2050'!BZ$33)/1000000</f>
        <v>11.938639120933642</v>
      </c>
      <c r="Y71" s="525"/>
      <c r="Z71" s="525"/>
      <c r="AA71" s="538">
        <f>'Conversion factors selected IV '!L$53</f>
        <v>0.29596010831237546</v>
      </c>
      <c r="AB71" s="619">
        <f t="shared" si="142"/>
        <v>1.415880754318724</v>
      </c>
      <c r="AC71" s="619">
        <f t="shared" si="117"/>
        <v>2.0429542180659546</v>
      </c>
      <c r="AD71" s="619">
        <f t="shared" si="143"/>
        <v>1.9897731868222737</v>
      </c>
      <c r="AE71" s="977">
        <f>1/'IVCs relevant in 2030'!R$9</f>
        <v>0.16666666666666666</v>
      </c>
      <c r="AF71" s="977">
        <f>1/'IVCs relevant 2040-2050'!T$9</f>
        <v>0.16666666666666666</v>
      </c>
      <c r="AG71" s="630">
        <f t="shared" si="144"/>
        <v>0.41904422140557746</v>
      </c>
      <c r="AH71" s="530">
        <f t="shared" ref="AH71:AH81" si="152">AG71*11630</f>
        <v>4873.4842949468657</v>
      </c>
      <c r="AI71" s="592">
        <f t="shared" si="145"/>
        <v>0.60463295165602415</v>
      </c>
      <c r="AJ71" s="531">
        <f t="shared" si="146"/>
        <v>7031.8812277595607</v>
      </c>
      <c r="AK71" s="531">
        <f t="shared" si="147"/>
        <v>0.46150653802642821</v>
      </c>
      <c r="AL71" s="1006">
        <f t="shared" si="148"/>
        <v>0.6006980857142632</v>
      </c>
      <c r="AM71" s="1007">
        <f t="shared" si="149"/>
        <v>0.50396885464727903</v>
      </c>
      <c r="AN71" s="1007">
        <f t="shared" si="119"/>
        <v>0.59676321977250235</v>
      </c>
      <c r="AO71" s="525">
        <f t="shared" si="150"/>
        <v>0.58889348788898055</v>
      </c>
      <c r="AP71" s="494"/>
      <c r="AQ71" s="494"/>
      <c r="AR71" s="494"/>
      <c r="AS71" s="499"/>
      <c r="AT71" s="499"/>
      <c r="AU71" s="499"/>
      <c r="AV71" s="494"/>
      <c r="AW71" s="494"/>
      <c r="AX71" s="494"/>
      <c r="AY71" s="494"/>
      <c r="AZ71" s="494"/>
      <c r="BA71" s="494"/>
      <c r="BB71" s="494"/>
      <c r="BC71" s="494"/>
      <c r="BD71" s="499"/>
      <c r="BE71" s="499"/>
      <c r="BF71" s="499"/>
      <c r="BG71" s="9">
        <f t="shared" si="151"/>
        <v>6848.8312641488437</v>
      </c>
    </row>
    <row r="72" spans="1:59" customFormat="1" outlineLevel="1">
      <c r="A72" s="494"/>
      <c r="B72" s="494"/>
      <c r="C72" s="494"/>
      <c r="D72" s="496"/>
      <c r="E72" s="496"/>
      <c r="F72" s="494"/>
      <c r="G72" s="494"/>
      <c r="H72" s="494"/>
      <c r="I72" s="494"/>
      <c r="J72" s="503"/>
      <c r="K72" s="551" t="s">
        <v>285</v>
      </c>
      <c r="L72" s="555">
        <v>5108</v>
      </c>
      <c r="M72" s="555"/>
      <c r="N72" s="525">
        <f>'EU-27_Medium_2030'!AS$32/1000000</f>
        <v>8.8171616070517977</v>
      </c>
      <c r="O72" s="525"/>
      <c r="P72" s="525"/>
      <c r="Q72" s="525">
        <f>'EU-27_High_2030-2050'!AS$33/1000000</f>
        <v>9.854474737293188</v>
      </c>
      <c r="R72" s="525"/>
      <c r="S72" s="525"/>
      <c r="T72" s="525"/>
      <c r="U72" s="525"/>
      <c r="V72" s="525"/>
      <c r="W72" s="525"/>
      <c r="X72" s="525">
        <f>'EU-27_High_2030-2050'!CN$33/1000000</f>
        <v>9.1607302805822908</v>
      </c>
      <c r="Y72" s="525"/>
      <c r="Z72" s="525"/>
      <c r="AA72" s="538">
        <f>'Conversion factors selected IV '!L$54</f>
        <v>0.20648379649700613</v>
      </c>
      <c r="AB72" s="619">
        <f t="shared" si="142"/>
        <v>2.2042904017629494</v>
      </c>
      <c r="AC72" s="619">
        <f t="shared" si="117"/>
        <v>2.463618684323297</v>
      </c>
      <c r="AD72" s="619">
        <f t="shared" si="143"/>
        <v>2.2901825701455727</v>
      </c>
      <c r="AE72" s="977">
        <f>1/'IVCs relevant in 2030'!R$18</f>
        <v>0.25</v>
      </c>
      <c r="AF72" s="963">
        <f>1/'IVCs relevant 2040-2050'!T$18</f>
        <v>0.25</v>
      </c>
      <c r="AG72" s="630">
        <f t="shared" si="144"/>
        <v>0.45515025073792476</v>
      </c>
      <c r="AH72" s="530">
        <f t="shared" si="152"/>
        <v>5293.3974160820653</v>
      </c>
      <c r="AI72" s="592">
        <f t="shared" si="145"/>
        <v>0.50869733906003367</v>
      </c>
      <c r="AJ72" s="531">
        <f t="shared" si="146"/>
        <v>5916.1500532681912</v>
      </c>
      <c r="AK72" s="531">
        <f t="shared" si="147"/>
        <v>0.45958408599217582</v>
      </c>
      <c r="AL72" s="1006">
        <f t="shared" si="148"/>
        <v>0.49974440223375749</v>
      </c>
      <c r="AM72" s="1007">
        <f t="shared" si="149"/>
        <v>0.46401792124642682</v>
      </c>
      <c r="AN72" s="1007">
        <f t="shared" si="119"/>
        <v>0.49079146540748131</v>
      </c>
      <c r="AO72" s="525">
        <f t="shared" si="150"/>
        <v>0.47288559175492889</v>
      </c>
      <c r="AP72" s="494"/>
      <c r="AQ72" s="494"/>
      <c r="AR72" s="494"/>
      <c r="AS72" s="499"/>
      <c r="AT72" s="499"/>
      <c r="AU72" s="499"/>
      <c r="AV72" s="494"/>
      <c r="AW72" s="494"/>
      <c r="AX72" s="494"/>
      <c r="AY72" s="494"/>
      <c r="AZ72" s="494"/>
      <c r="BA72" s="494"/>
      <c r="BB72" s="494"/>
      <c r="BC72" s="494"/>
      <c r="BD72" s="499"/>
      <c r="BE72" s="499"/>
      <c r="BF72" s="499"/>
      <c r="BG72" s="9">
        <f t="shared" si="151"/>
        <v>5499.6594321098228</v>
      </c>
    </row>
    <row r="73" spans="1:59" customFormat="1" outlineLevel="1">
      <c r="A73" s="494"/>
      <c r="B73" s="494"/>
      <c r="C73" s="494"/>
      <c r="D73" s="496"/>
      <c r="E73" s="496"/>
      <c r="F73" s="494"/>
      <c r="G73" s="494"/>
      <c r="H73" s="494"/>
      <c r="I73" s="494"/>
      <c r="J73" s="503"/>
      <c r="K73" s="551" t="s">
        <v>292</v>
      </c>
      <c r="L73" s="559">
        <v>4204</v>
      </c>
      <c r="M73" s="559"/>
      <c r="N73" s="525">
        <f>'EU-27_Medium_2030'!AD$32/1000000</f>
        <v>3.4535388863652337</v>
      </c>
      <c r="O73" s="525"/>
      <c r="P73" s="525"/>
      <c r="Q73" s="525">
        <f>'EU-27_High_2030-2050'!AD$33/1000000</f>
        <v>5.1803083295478496</v>
      </c>
      <c r="R73" s="525"/>
      <c r="S73" s="525"/>
      <c r="T73" s="525"/>
      <c r="U73" s="525"/>
      <c r="V73" s="525"/>
      <c r="W73" s="525"/>
      <c r="X73" s="525">
        <f>'EU-27_High_2030-2050'!BY$33/1000000</f>
        <v>4.4480556436504077</v>
      </c>
      <c r="Y73" s="525"/>
      <c r="Z73" s="525"/>
      <c r="AA73" s="538">
        <f>'Conversion factors selected IV '!L$55</f>
        <v>0.29596010831237546</v>
      </c>
      <c r="AB73" s="619">
        <f t="shared" si="142"/>
        <v>0.69070777727304677</v>
      </c>
      <c r="AC73" s="619">
        <f t="shared" si="117"/>
        <v>1.0360616659095701</v>
      </c>
      <c r="AD73" s="619">
        <f t="shared" si="143"/>
        <v>0.88961112873008164</v>
      </c>
      <c r="AE73" s="977">
        <f>1/'IVCs relevant in 2030'!R$13</f>
        <v>0.2</v>
      </c>
      <c r="AF73" s="963">
        <f>1/'IVCs relevant 2040-2050'!T$13</f>
        <v>0.2</v>
      </c>
      <c r="AG73" s="630">
        <f t="shared" si="144"/>
        <v>0.20442194857393103</v>
      </c>
      <c r="AH73" s="530">
        <f t="shared" si="152"/>
        <v>2377.4272619148178</v>
      </c>
      <c r="AI73" s="592">
        <f t="shared" si="145"/>
        <v>0.3066329228608965</v>
      </c>
      <c r="AJ73" s="531">
        <f t="shared" si="146"/>
        <v>3566.1408928722262</v>
      </c>
      <c r="AK73" s="531">
        <f t="shared" si="147"/>
        <v>0.21913881293416065</v>
      </c>
      <c r="AL73" s="1006">
        <f t="shared" si="148"/>
        <v>0.29579704364938475</v>
      </c>
      <c r="AM73" s="1007">
        <f t="shared" si="149"/>
        <v>0.2338556772943903</v>
      </c>
      <c r="AN73" s="1007">
        <f t="shared" si="119"/>
        <v>0.284961164437873</v>
      </c>
      <c r="AO73" s="525">
        <f t="shared" si="150"/>
        <v>0.26328940601484957</v>
      </c>
      <c r="AP73" s="494"/>
      <c r="AQ73" s="494"/>
      <c r="AR73" s="494"/>
      <c r="AS73" s="499"/>
      <c r="AT73" s="499"/>
      <c r="AU73" s="499"/>
      <c r="AV73" s="494"/>
      <c r="AW73" s="494"/>
      <c r="AX73" s="494"/>
      <c r="AY73" s="494"/>
      <c r="AZ73" s="494"/>
      <c r="BA73" s="494"/>
      <c r="BB73" s="494"/>
      <c r="BC73" s="494"/>
      <c r="BD73" s="499"/>
      <c r="BE73" s="499"/>
      <c r="BF73" s="499"/>
      <c r="BG73" s="9">
        <f t="shared" si="151"/>
        <v>3062.0557919527005</v>
      </c>
    </row>
    <row r="74" spans="1:59" customFormat="1" ht="15.65" customHeight="1" outlineLevel="1">
      <c r="A74" s="494"/>
      <c r="B74" s="494"/>
      <c r="C74" s="494"/>
      <c r="D74" s="496"/>
      <c r="E74" s="496"/>
      <c r="F74" s="494"/>
      <c r="G74" s="494"/>
      <c r="H74" s="494"/>
      <c r="I74" s="494"/>
      <c r="J74" s="503"/>
      <c r="K74" s="551" t="s">
        <v>274</v>
      </c>
      <c r="L74" s="547" t="s">
        <v>275</v>
      </c>
      <c r="M74" s="547"/>
      <c r="N74" s="525">
        <f>SUM('EU-27_Medium_2030'!E$32+'EU-27_Medium_2030'!G$32+'EU-27_Medium_2030'!H$32+'EU-27_Medium_2030'!J$32)/1000000</f>
        <v>5.1230865023155641</v>
      </c>
      <c r="O74" s="494"/>
      <c r="P74" s="494"/>
      <c r="Q74" s="525">
        <f>SUM('EU-27_High_2030-2050'!E$33+'EU-27_High_2030-2050'!G$33+'EU-27_High_2030-2050'!H$33+'EU-27_High_2030-2050'!J$33)/1000000</f>
        <v>8.738165736490755</v>
      </c>
      <c r="R74" s="494"/>
      <c r="S74" s="494"/>
      <c r="T74" s="494"/>
      <c r="U74" s="494"/>
      <c r="V74" s="494"/>
      <c r="W74" s="494"/>
      <c r="X74" s="525">
        <f>SUM('EU-27_High_2030-2050'!AZ$33+'EU-27_High_2030-2050'!BB$33+'EU-27_High_2030-2050'!BC$33+'EU-27_High_2030-2050'!BE$33)/1000000</f>
        <v>71.430408560585576</v>
      </c>
      <c r="Y74" s="525"/>
      <c r="Z74" s="525"/>
      <c r="AA74" s="538">
        <f>'Conversion factors selected IV '!L$56</f>
        <v>0.29596010831237546</v>
      </c>
      <c r="AB74" s="619">
        <f t="shared" si="142"/>
        <v>0.73186950033079479</v>
      </c>
      <c r="AC74" s="619">
        <f t="shared" si="117"/>
        <v>1.2483093909272507</v>
      </c>
      <c r="AD74" s="619">
        <f t="shared" si="143"/>
        <v>10.204344080083652</v>
      </c>
      <c r="AE74" s="977">
        <f>1/'IVCs relevant in 2030'!R$2</f>
        <v>0.14285714285714285</v>
      </c>
      <c r="AF74" s="972">
        <f>1/'IVCs relevant 2040-2050'!T$2</f>
        <v>0.14285714285714285</v>
      </c>
      <c r="AG74" s="630">
        <f t="shared" si="144"/>
        <v>0.21660417658842615</v>
      </c>
      <c r="AH74" s="530">
        <f t="shared" si="152"/>
        <v>2519.1065737233962</v>
      </c>
      <c r="AI74" s="592">
        <f t="shared" si="145"/>
        <v>0.36944978254618449</v>
      </c>
      <c r="AJ74" s="531">
        <f t="shared" si="146"/>
        <v>4296.7009710121256</v>
      </c>
      <c r="AK74" s="531">
        <f t="shared" si="147"/>
        <v>0.91747282724089585</v>
      </c>
      <c r="AL74" s="1006">
        <f t="shared" si="148"/>
        <v>1.0321070317092147</v>
      </c>
      <c r="AM74" s="1007">
        <f t="shared" si="149"/>
        <v>1.6183414778933656</v>
      </c>
      <c r="AN74" s="1007">
        <f t="shared" si="119"/>
        <v>1.6947642808722447</v>
      </c>
      <c r="AO74" s="525">
        <f t="shared" si="150"/>
        <v>3.0200787791983053</v>
      </c>
      <c r="AP74" s="494"/>
      <c r="AQ74" s="494"/>
      <c r="AR74" s="494"/>
      <c r="AS74" s="499"/>
      <c r="AT74" s="499"/>
      <c r="AU74" s="499"/>
      <c r="AV74" s="494"/>
      <c r="AW74" s="494"/>
      <c r="AX74" s="494"/>
      <c r="AY74" s="494"/>
      <c r="AZ74" s="494"/>
      <c r="BA74" s="494"/>
      <c r="BB74" s="494"/>
      <c r="BC74" s="494"/>
      <c r="BD74" s="499"/>
      <c r="BE74" s="499"/>
      <c r="BF74" s="499"/>
      <c r="BG74" s="9">
        <f t="shared" si="151"/>
        <v>35123.516202076287</v>
      </c>
    </row>
    <row r="75" spans="1:59" customFormat="1" outlineLevel="1">
      <c r="A75" s="494"/>
      <c r="B75" s="494"/>
      <c r="C75" s="494"/>
      <c r="D75" s="496"/>
      <c r="E75" s="496"/>
      <c r="F75" s="494"/>
      <c r="G75" s="494"/>
      <c r="H75" s="494"/>
      <c r="I75" s="494"/>
      <c r="J75" s="503"/>
      <c r="K75" s="551" t="s">
        <v>276</v>
      </c>
      <c r="L75" s="547" t="s">
        <v>277</v>
      </c>
      <c r="M75" s="547"/>
      <c r="N75" s="525">
        <f>SUM('EU-27_Medium_2030'!K$32+'EU-27_Medium_2030'!M$32)/1000000</f>
        <v>2.3323784509315457</v>
      </c>
      <c r="O75" s="525"/>
      <c r="P75" s="525"/>
      <c r="Q75" s="525">
        <f>SUM('EU-27_High_2030-2050'!K$33+'EU-27_High_2030-2050'!M$33)/1000000</f>
        <v>6.1393981815063317</v>
      </c>
      <c r="R75" s="525"/>
      <c r="S75" s="525"/>
      <c r="T75" s="525"/>
      <c r="U75" s="525"/>
      <c r="V75" s="525"/>
      <c r="W75" s="525"/>
      <c r="X75" s="525">
        <f>SUM('EU-27_High_2030-2050'!BF$33+'EU-27_High_2030-2050'!BH$33)/1000000</f>
        <v>14.099411675482649</v>
      </c>
      <c r="Y75" s="525"/>
      <c r="Z75" s="525"/>
      <c r="AA75" s="538">
        <f>'Conversion factors selected IV '!L$57</f>
        <v>0.29596010831237546</v>
      </c>
      <c r="AB75" s="619">
        <f t="shared" si="142"/>
        <v>0.33319692156164937</v>
      </c>
      <c r="AC75" s="619">
        <f t="shared" si="117"/>
        <v>0.87705688307233309</v>
      </c>
      <c r="AD75" s="619">
        <f t="shared" si="143"/>
        <v>2.0142016679260926</v>
      </c>
      <c r="AE75" s="977">
        <f>1/'IVCs relevant in 2030'!R$4</f>
        <v>0.14285714285714285</v>
      </c>
      <c r="AF75" s="972">
        <f>1/'IVCs relevant 2040-2050'!T$4</f>
        <v>0.14285714285714285</v>
      </c>
      <c r="AG75" s="630">
        <f t="shared" si="144"/>
        <v>9.8612996994735816E-2</v>
      </c>
      <c r="AH75" s="530">
        <f t="shared" si="152"/>
        <v>1146.8691550487774</v>
      </c>
      <c r="AI75" s="592">
        <f t="shared" si="145"/>
        <v>0.25957385011020212</v>
      </c>
      <c r="AJ75" s="531">
        <f t="shared" si="146"/>
        <v>3018.8438767816506</v>
      </c>
      <c r="AK75" s="531">
        <f t="shared" si="147"/>
        <v>0.22299058369664532</v>
      </c>
      <c r="AL75" s="1006">
        <f t="shared" si="148"/>
        <v>0.34371122353324501</v>
      </c>
      <c r="AM75" s="1007">
        <f t="shared" si="149"/>
        <v>0.34736817039855478</v>
      </c>
      <c r="AN75" s="1007">
        <f t="shared" si="119"/>
        <v>0.42784859695628796</v>
      </c>
      <c r="AO75" s="525">
        <f t="shared" si="150"/>
        <v>0.59612334380237375</v>
      </c>
      <c r="AP75" s="494"/>
      <c r="AQ75" s="494"/>
      <c r="AR75" s="494"/>
      <c r="AS75" s="499"/>
      <c r="AT75" s="499"/>
      <c r="AU75" s="499"/>
      <c r="AV75" s="494"/>
      <c r="AW75" s="494"/>
      <c r="AX75" s="494"/>
      <c r="AY75" s="494"/>
      <c r="AZ75" s="494"/>
      <c r="BA75" s="494"/>
      <c r="BB75" s="494"/>
      <c r="BC75" s="494"/>
      <c r="BD75" s="499"/>
      <c r="BE75" s="499"/>
      <c r="BF75" s="499"/>
      <c r="BG75" s="9">
        <f t="shared" si="151"/>
        <v>6932.9144884216066</v>
      </c>
    </row>
    <row r="76" spans="1:59" customFormat="1" outlineLevel="1">
      <c r="A76" s="494"/>
      <c r="B76" s="494"/>
      <c r="C76" s="494"/>
      <c r="D76" s="496"/>
      <c r="E76" s="496"/>
      <c r="F76" s="494"/>
      <c r="G76" s="494"/>
      <c r="H76" s="494"/>
      <c r="I76" s="494"/>
      <c r="J76" s="503"/>
      <c r="K76" s="551" t="s">
        <v>293</v>
      </c>
      <c r="L76" s="547" t="s">
        <v>294</v>
      </c>
      <c r="M76" s="526" t="s">
        <v>968</v>
      </c>
      <c r="N76" s="525">
        <f>SUM('EU-27_Medium_2030'!C$32+'EU-27_Medium_2030'!D$32)/1000000</f>
        <v>37.416699428169103</v>
      </c>
      <c r="O76" s="525"/>
      <c r="P76" s="525"/>
      <c r="Q76" s="525">
        <f>SUM('EU-27_High_2030-2050'!C$33+'EU-27_High_2030-2050'!D$33)/1000000</f>
        <v>37.416699428169103</v>
      </c>
      <c r="R76" s="525"/>
      <c r="S76" s="525"/>
      <c r="T76" s="525"/>
      <c r="U76" s="525"/>
      <c r="V76" s="525"/>
      <c r="W76" s="525"/>
      <c r="X76" s="525">
        <f>SUM('EU-27_High_2030-2050'!AX$33+'EU-27_High_2030-2050'!AY$33)/1000000</f>
        <v>38.131780786359911</v>
      </c>
      <c r="Y76" s="525"/>
      <c r="Z76" s="525"/>
      <c r="AA76" s="538">
        <f>'Conversion factors selected IV '!L$58</f>
        <v>0.32693267778692642</v>
      </c>
      <c r="AB76" s="619">
        <f t="shared" si="142"/>
        <v>7.4833398856338214</v>
      </c>
      <c r="AC76" s="619">
        <f t="shared" si="117"/>
        <v>7.4833398856338214</v>
      </c>
      <c r="AD76" s="619">
        <f t="shared" si="143"/>
        <v>7.6263561572719825</v>
      </c>
      <c r="AE76" s="977">
        <f>1/'IVCs relevant in 2030'!R$6</f>
        <v>0.2</v>
      </c>
      <c r="AF76" s="963">
        <f>1/'IVCs relevant 2040-2050'!T$6</f>
        <v>0.2</v>
      </c>
      <c r="AG76" s="630">
        <f t="shared" si="144"/>
        <v>2.4465483475999772</v>
      </c>
      <c r="AH76" s="530">
        <f t="shared" si="152"/>
        <v>28453.357282587735</v>
      </c>
      <c r="AI76" s="592">
        <f t="shared" si="145"/>
        <v>2.4465483475999772</v>
      </c>
      <c r="AJ76" s="531">
        <f t="shared" ref="AJ76:AJ78" si="153">AI76*11630</f>
        <v>28453.357282587735</v>
      </c>
      <c r="AK76" s="531">
        <f t="shared" si="147"/>
        <v>2.4582375207634186</v>
      </c>
      <c r="AL76" s="1006">
        <f t="shared" si="148"/>
        <v>2.4582375207634186</v>
      </c>
      <c r="AM76" s="1007">
        <f t="shared" si="149"/>
        <v>2.46992669392686</v>
      </c>
      <c r="AN76" s="1007">
        <f t="shared" si="119"/>
        <v>2.46992669392686</v>
      </c>
      <c r="AO76" s="525">
        <f t="shared" si="150"/>
        <v>2.4933050402537433</v>
      </c>
      <c r="AP76" s="494"/>
      <c r="AQ76" s="494"/>
      <c r="AR76" s="494"/>
      <c r="AS76" s="499"/>
      <c r="AT76" s="499"/>
      <c r="AU76" s="499"/>
      <c r="AV76" s="494"/>
      <c r="AW76" s="494"/>
      <c r="AX76" s="494"/>
      <c r="AY76" s="494"/>
      <c r="AZ76" s="494"/>
      <c r="BA76" s="494"/>
      <c r="BB76" s="494"/>
      <c r="BC76" s="494"/>
      <c r="BD76" s="499"/>
      <c r="BE76" s="499"/>
      <c r="BF76" s="499"/>
      <c r="BG76" s="9">
        <f>AO76*11630</f>
        <v>28997.137618151035</v>
      </c>
    </row>
    <row r="77" spans="1:59" customFormat="1" ht="15.65" customHeight="1" outlineLevel="1">
      <c r="A77" s="494"/>
      <c r="B77" s="494"/>
      <c r="C77" s="494"/>
      <c r="D77" s="496"/>
      <c r="E77" s="496"/>
      <c r="F77" s="494"/>
      <c r="G77" s="494"/>
      <c r="H77" s="494"/>
      <c r="I77" s="494"/>
      <c r="J77" s="503"/>
      <c r="K77" s="551" t="s">
        <v>270</v>
      </c>
      <c r="L77" s="547" t="s">
        <v>271</v>
      </c>
      <c r="M77" s="526" t="s">
        <v>968</v>
      </c>
      <c r="N77" s="525">
        <f>SUM('EU-27_Medium_2030'!U$32+'EU-27_Medium_2030'!V$32+'EU-27_Medium_2030'!W$32+'EU-27_Medium_2030'!X$32+'EU-27_Medium_2030'!Y$32+'EU-27_Medium_2030'!Z$32)/1000000</f>
        <v>39.28182327905342</v>
      </c>
      <c r="O77" s="525"/>
      <c r="P77" s="525"/>
      <c r="Q77" s="525">
        <f>SUM('EU-27_High_2030-2050'!U$33+'EU-27_High_2030-2050'!V$33+'EU-27_High_2030-2050'!W$33+'EU-27_High_2030-2050'!X$33+'EU-27_High_2030-2050'!Y$33+'EU-27_High_2030-2050'!Z$33)/1000000</f>
        <v>55.037292867279561</v>
      </c>
      <c r="R77" s="525"/>
      <c r="S77" s="525"/>
      <c r="T77" s="525"/>
      <c r="U77" s="525"/>
      <c r="V77" s="525"/>
      <c r="W77" s="525"/>
      <c r="X77" s="525">
        <f>SUM('EU-27_High_2030-2050'!BP$33+'EU-27_High_2030-2050'!BQ$33+'EU-27_High_2030-2050'!BR$33+'EU-27_High_2030-2050'!BS$33+'EU-27_High_2030-2050'!BT$33+'EU-27_High_2030-2050'!BU$33)/1000000</f>
        <v>58.609743205605817</v>
      </c>
      <c r="Y77" s="525"/>
      <c r="Z77" s="525"/>
      <c r="AA77" s="538">
        <f>'Conversion factors selected IV '!L$59</f>
        <v>0.32693267778692642</v>
      </c>
      <c r="AB77" s="619">
        <f t="shared" si="142"/>
        <v>6.546970546508903</v>
      </c>
      <c r="AC77" s="619">
        <f t="shared" si="117"/>
        <v>9.1728821445465929</v>
      </c>
      <c r="AD77" s="619">
        <f t="shared" si="143"/>
        <v>9.7682905342676349</v>
      </c>
      <c r="AE77" s="977">
        <f>1/'IVCs relevant in 2030'!R$16</f>
        <v>0.16666666666666666</v>
      </c>
      <c r="AF77" s="972">
        <f>1/'IVCs relevant 2040-2050'!T$16</f>
        <v>0.16666666666666666</v>
      </c>
      <c r="AG77" s="630">
        <f t="shared" si="144"/>
        <v>2.1404186121622928</v>
      </c>
      <c r="AH77" s="530">
        <f t="shared" si="152"/>
        <v>24893.068459447466</v>
      </c>
      <c r="AI77" s="592">
        <f t="shared" si="145"/>
        <v>2.9989149225405018</v>
      </c>
      <c r="AJ77" s="531">
        <f>AI77*11630</f>
        <v>34877.380549146037</v>
      </c>
      <c r="AK77" s="531">
        <f t="shared" si="147"/>
        <v>2.4037073045639206</v>
      </c>
      <c r="AL77" s="1006">
        <f t="shared" si="148"/>
        <v>3.0475795373475774</v>
      </c>
      <c r="AM77" s="1007">
        <f t="shared" si="149"/>
        <v>2.6669959969655483</v>
      </c>
      <c r="AN77" s="1007">
        <f t="shared" si="119"/>
        <v>3.0962441521546529</v>
      </c>
      <c r="AO77" s="525">
        <f t="shared" si="150"/>
        <v>3.1935733817688043</v>
      </c>
      <c r="AP77" s="494"/>
      <c r="AQ77" s="494"/>
      <c r="AR77" s="494"/>
      <c r="AS77" s="499"/>
      <c r="AT77" s="499"/>
      <c r="AU77" s="499"/>
      <c r="AV77" s="494"/>
      <c r="AW77" s="494"/>
      <c r="AX77" s="494"/>
      <c r="AY77" s="494"/>
      <c r="AZ77" s="494"/>
      <c r="BA77" s="494"/>
      <c r="BB77" s="494"/>
      <c r="BC77" s="494"/>
      <c r="BD77" s="499"/>
      <c r="BE77" s="499"/>
      <c r="BF77" s="499"/>
      <c r="BG77" s="9">
        <f t="shared" ref="BG77:BG78" si="154">AO77*11630</f>
        <v>37141.258429971196</v>
      </c>
    </row>
    <row r="78" spans="1:59" customFormat="1" outlineLevel="1">
      <c r="A78" s="494"/>
      <c r="B78" s="494"/>
      <c r="C78" s="494"/>
      <c r="D78" s="496"/>
      <c r="E78" s="496"/>
      <c r="F78" s="494"/>
      <c r="G78" s="494"/>
      <c r="H78" s="494"/>
      <c r="I78" s="494"/>
      <c r="J78" s="503"/>
      <c r="K78" s="551" t="s">
        <v>295</v>
      </c>
      <c r="L78" s="547" t="s">
        <v>296</v>
      </c>
      <c r="M78" s="547"/>
      <c r="N78" s="525">
        <f>SUM('EU-27_Medium_2030'!AT$32+'EU-27_Medium_2030'!AU$32)/1000000</f>
        <v>11.766835672202422</v>
      </c>
      <c r="O78" s="525"/>
      <c r="P78" s="525"/>
      <c r="Q78" s="525">
        <f>SUM('EU-27_High_2030-2050'!AT$33+'EU-27_High_2030-2050'!AU$33)/1000000</f>
        <v>15.689114229603229</v>
      </c>
      <c r="R78" s="525"/>
      <c r="S78" s="525"/>
      <c r="T78" s="525"/>
      <c r="U78" s="525"/>
      <c r="V78" s="525"/>
      <c r="W78" s="525"/>
      <c r="X78" s="525">
        <f>SUM('EU-27_High_2030-2050'!CO$33+'EU-27_High_2030-2050'!CP$33)/1000000</f>
        <v>19.03051341926674</v>
      </c>
      <c r="Y78" s="525"/>
      <c r="Z78" s="525"/>
      <c r="AA78" s="538">
        <f>'Conversion factors selected IV '!L$60</f>
        <v>0.27531172866267484</v>
      </c>
      <c r="AB78" s="619">
        <f t="shared" si="142"/>
        <v>2.3533671344404845</v>
      </c>
      <c r="AC78" s="619">
        <f t="shared" si="117"/>
        <v>3.1378228459206459</v>
      </c>
      <c r="AD78" s="619">
        <f t="shared" si="143"/>
        <v>3.8061026838533483</v>
      </c>
      <c r="AE78" s="977">
        <f>1/'IVCs relevant in 2030'!R$20</f>
        <v>0.2</v>
      </c>
      <c r="AF78" s="963">
        <f>1/'IVCs relevant 2040-2050'!T$20</f>
        <v>0.2</v>
      </c>
      <c r="AG78" s="630">
        <f t="shared" si="144"/>
        <v>0.64790957396073523</v>
      </c>
      <c r="AH78" s="530">
        <f t="shared" si="152"/>
        <v>7535.1883451633503</v>
      </c>
      <c r="AI78" s="592">
        <f t="shared" si="145"/>
        <v>0.86387943194764694</v>
      </c>
      <c r="AJ78" s="531">
        <f t="shared" si="153"/>
        <v>10046.917793551134</v>
      </c>
      <c r="AK78" s="531">
        <f t="shared" si="147"/>
        <v>0.74789835781037928</v>
      </c>
      <c r="AL78" s="1006">
        <f t="shared" si="148"/>
        <v>0.90987575130056308</v>
      </c>
      <c r="AM78" s="1007">
        <f t="shared" si="149"/>
        <v>0.84788714166002332</v>
      </c>
      <c r="AN78" s="1007">
        <f t="shared" si="119"/>
        <v>0.95587207065347912</v>
      </c>
      <c r="AO78" s="525">
        <f t="shared" si="150"/>
        <v>1.0478647093593114</v>
      </c>
      <c r="AP78" s="494"/>
      <c r="AQ78" s="494"/>
      <c r="AR78" s="494"/>
      <c r="AS78" s="499"/>
      <c r="AT78" s="499"/>
      <c r="AU78" s="499"/>
      <c r="AV78" s="494"/>
      <c r="AW78" s="494"/>
      <c r="AX78" s="494"/>
      <c r="AY78" s="494"/>
      <c r="AZ78" s="494"/>
      <c r="BA78" s="494"/>
      <c r="BB78" s="494"/>
      <c r="BC78" s="494"/>
      <c r="BD78" s="499"/>
      <c r="BE78" s="499"/>
      <c r="BF78" s="499"/>
      <c r="BG78" s="9">
        <f t="shared" si="154"/>
        <v>12186.666569848792</v>
      </c>
    </row>
    <row r="79" spans="1:59" customFormat="1" outlineLevel="1">
      <c r="A79" s="494"/>
      <c r="B79" s="494"/>
      <c r="C79" s="494"/>
      <c r="D79" s="496"/>
      <c r="E79" s="496"/>
      <c r="F79" s="494"/>
      <c r="G79" s="494"/>
      <c r="H79" s="494"/>
      <c r="I79" s="494"/>
      <c r="J79" s="503"/>
      <c r="K79" s="924" t="s">
        <v>301</v>
      </c>
      <c r="L79" s="561"/>
      <c r="M79" s="561"/>
      <c r="N79" s="532">
        <f>$AG$119</f>
        <v>5.1880428594768198</v>
      </c>
      <c r="O79" s="532"/>
      <c r="P79" s="532"/>
      <c r="Q79" s="532">
        <f>AI119</f>
        <v>7.4086926412541239</v>
      </c>
      <c r="R79" s="532"/>
      <c r="S79" s="532"/>
      <c r="T79" s="532"/>
      <c r="U79" s="532"/>
      <c r="V79" s="532"/>
      <c r="W79" s="532"/>
      <c r="X79" s="532">
        <f>$AO$119</f>
        <v>8.9412320867547326</v>
      </c>
      <c r="Y79" s="494"/>
      <c r="Z79" s="494"/>
      <c r="AA79" s="670">
        <f>'Conversion factors selected IV '!L61</f>
        <v>0.9519858378433057</v>
      </c>
      <c r="AB79" s="619">
        <f t="shared" si="142"/>
        <v>1.2970107148692049</v>
      </c>
      <c r="AC79" s="619">
        <f t="shared" si="117"/>
        <v>1.852173160313531</v>
      </c>
      <c r="AD79" s="619">
        <f t="shared" si="143"/>
        <v>2.2353080216886831</v>
      </c>
      <c r="AE79" s="977">
        <f>1/'IVCs relevant in 2030'!R22</f>
        <v>0.25</v>
      </c>
      <c r="AF79" s="963">
        <f>1/'IVCs relevant 2040-2050'!T22</f>
        <v>0.25</v>
      </c>
      <c r="AG79" s="630">
        <f t="shared" si="144"/>
        <v>1.2347358320865049</v>
      </c>
      <c r="AH79" s="530">
        <f t="shared" si="152"/>
        <v>14359.977727166053</v>
      </c>
      <c r="AI79" s="592">
        <f t="shared" si="145"/>
        <v>1.7632426178519602</v>
      </c>
      <c r="AJ79" s="531">
        <f t="shared" ref="AJ79:AJ81" si="155">AI79*11630</f>
        <v>20506.511645618299</v>
      </c>
      <c r="AK79" s="531">
        <f t="shared" si="147"/>
        <v>0.92605187406487866</v>
      </c>
      <c r="AL79" s="1006">
        <f t="shared" si="148"/>
        <v>1.3224319633889703</v>
      </c>
      <c r="AM79" s="1007">
        <f t="shared" si="149"/>
        <v>0.61736791604325247</v>
      </c>
      <c r="AN79" s="1007">
        <f t="shared" si="119"/>
        <v>0.88162130892598012</v>
      </c>
      <c r="AO79" s="494"/>
      <c r="AP79" s="494"/>
      <c r="AQ79" s="494"/>
      <c r="AR79" s="494"/>
      <c r="AS79" s="499"/>
      <c r="AT79" s="499"/>
      <c r="AU79" s="499"/>
      <c r="AV79" s="494"/>
      <c r="AW79" s="494"/>
      <c r="AX79" s="494"/>
      <c r="AY79" s="494"/>
      <c r="AZ79" s="494"/>
      <c r="BA79" s="494"/>
      <c r="BB79" s="494"/>
      <c r="BC79" s="494"/>
      <c r="BD79" s="499"/>
      <c r="BE79" s="499"/>
      <c r="BF79" s="499"/>
    </row>
    <row r="80" spans="1:59" s="601" customFormat="1">
      <c r="A80" s="515" t="s">
        <v>19</v>
      </c>
      <c r="B80" s="515" t="s">
        <v>959</v>
      </c>
      <c r="C80" s="611" t="s">
        <v>1341</v>
      </c>
      <c r="D80" s="515" t="s">
        <v>559</v>
      </c>
      <c r="E80" s="563" t="s">
        <v>1181</v>
      </c>
      <c r="F80" s="515" t="s">
        <v>964</v>
      </c>
      <c r="G80" s="515"/>
      <c r="H80" s="515"/>
      <c r="I80" s="515"/>
      <c r="J80" s="859" t="s">
        <v>1026</v>
      </c>
      <c r="K80" s="612"/>
      <c r="L80" s="610"/>
      <c r="M80" s="610"/>
      <c r="N80" s="515"/>
      <c r="O80" s="515"/>
      <c r="P80" s="515"/>
      <c r="Q80" s="515"/>
      <c r="R80" s="515"/>
      <c r="S80" s="515"/>
      <c r="T80" s="515"/>
      <c r="U80" s="515"/>
      <c r="V80" s="515"/>
      <c r="W80" s="515"/>
      <c r="X80" s="515"/>
      <c r="Y80" s="515"/>
      <c r="Z80" s="515"/>
      <c r="AA80" s="515"/>
      <c r="AB80" s="619">
        <f>AB81</f>
        <v>16.34</v>
      </c>
      <c r="AC80" s="619">
        <f>AC81</f>
        <v>16.34</v>
      </c>
      <c r="AD80" s="619"/>
      <c r="AE80" s="515"/>
      <c r="AF80" s="515"/>
      <c r="AG80" s="608">
        <f>AG81</f>
        <v>7.0262000000000002</v>
      </c>
      <c r="AH80" s="608">
        <f>AH81</f>
        <v>81714.706000000006</v>
      </c>
      <c r="AI80" s="593">
        <f>AI81</f>
        <v>7.0262000000000002</v>
      </c>
      <c r="AJ80" s="608">
        <f>AJ81</f>
        <v>81714.706000000006</v>
      </c>
      <c r="AK80" s="608">
        <f t="shared" ref="AK80:AL80" si="156">AK81</f>
        <v>8.7306124999999994</v>
      </c>
      <c r="AL80" s="1008">
        <f t="shared" si="156"/>
        <v>8.7306124999999994</v>
      </c>
      <c r="AM80" s="1008">
        <f t="shared" ref="AM80" si="157">AM81</f>
        <v>10.435025</v>
      </c>
      <c r="AN80" s="1008">
        <f t="shared" ref="AN80" si="158">AN81</f>
        <v>10.435025</v>
      </c>
      <c r="AO80" s="593">
        <v>13.84385</v>
      </c>
      <c r="AP80" s="515"/>
      <c r="AQ80" s="515"/>
      <c r="AR80" s="515"/>
      <c r="AS80" s="563"/>
      <c r="AT80" s="563"/>
      <c r="AU80" s="563"/>
      <c r="AV80" s="515"/>
      <c r="AW80" s="515"/>
      <c r="AX80" s="515"/>
      <c r="AY80" s="515"/>
      <c r="AZ80" s="515"/>
      <c r="BA80" s="515"/>
      <c r="BB80" s="515"/>
      <c r="BC80" s="515"/>
      <c r="BD80" s="563"/>
      <c r="BE80" s="563"/>
      <c r="BF80" s="563"/>
      <c r="BG80" s="628">
        <v>161003.9755</v>
      </c>
    </row>
    <row r="81" spans="1:59" customFormat="1">
      <c r="A81" s="494"/>
      <c r="B81" s="494"/>
      <c r="C81" s="494"/>
      <c r="D81" s="496"/>
      <c r="E81" s="496"/>
      <c r="F81" s="494"/>
      <c r="G81" s="494"/>
      <c r="H81" s="494"/>
      <c r="I81" s="494"/>
      <c r="J81" s="503"/>
      <c r="K81" s="567" t="s">
        <v>299</v>
      </c>
      <c r="L81" s="561"/>
      <c r="M81" s="561"/>
      <c r="N81" s="494">
        <f>'[5]Feedstock availability per IVC'!$F$62</f>
        <v>32.68</v>
      </c>
      <c r="O81" s="494"/>
      <c r="P81" s="494"/>
      <c r="Q81" s="499">
        <f>'[5]Feedstock availability per IVC'!$F$62</f>
        <v>32.68</v>
      </c>
      <c r="R81" s="494"/>
      <c r="S81" s="494"/>
      <c r="T81" s="494"/>
      <c r="U81" s="494"/>
      <c r="V81" s="494"/>
      <c r="W81" s="494"/>
      <c r="X81" s="494">
        <f>'[5]Feedstock availability per IVC'!$M$62</f>
        <v>64.39</v>
      </c>
      <c r="Y81" s="494"/>
      <c r="Z81" s="494"/>
      <c r="AA81" s="494">
        <v>0.43</v>
      </c>
      <c r="AB81" s="619">
        <f t="shared" si="142"/>
        <v>16.34</v>
      </c>
      <c r="AC81" s="619">
        <f t="shared" si="117"/>
        <v>16.34</v>
      </c>
      <c r="AD81" s="619"/>
      <c r="AE81" s="963">
        <f>1/'IVCs relevant in 2030'!R28</f>
        <v>0.5</v>
      </c>
      <c r="AF81" s="963">
        <f>1/'IVCs relevant 2040-2050'!T28</f>
        <v>0.5</v>
      </c>
      <c r="AG81" s="630">
        <f>N81*AA81*AE81</f>
        <v>7.0262000000000002</v>
      </c>
      <c r="AH81" s="530">
        <f t="shared" si="152"/>
        <v>81714.706000000006</v>
      </c>
      <c r="AI81" s="592">
        <f>Q81*AA81*AE81</f>
        <v>7.0262000000000002</v>
      </c>
      <c r="AJ81" s="531">
        <f t="shared" si="155"/>
        <v>81714.706000000006</v>
      </c>
      <c r="AK81" s="531">
        <f t="shared" ref="AK81:AK92" si="159">AG81+0.25*(AO81-AG81)</f>
        <v>8.7306124999999994</v>
      </c>
      <c r="AL81" s="1006">
        <f t="shared" si="148"/>
        <v>8.7306124999999994</v>
      </c>
      <c r="AM81" s="1007">
        <f t="shared" ref="AM81:AM92" si="160">AG81+0.5*(AO81-AG81)</f>
        <v>10.435025</v>
      </c>
      <c r="AN81" s="1007">
        <f t="shared" si="119"/>
        <v>10.435025</v>
      </c>
      <c r="AO81" s="525">
        <f>X81*AA81*AF81</f>
        <v>13.84385</v>
      </c>
      <c r="AP81" s="494"/>
      <c r="AQ81" s="494"/>
      <c r="AR81" s="494"/>
      <c r="AS81" s="499"/>
      <c r="AT81" s="499"/>
      <c r="AU81" s="499"/>
      <c r="AV81" s="494"/>
      <c r="AW81" s="494"/>
      <c r="AX81" s="494"/>
      <c r="AY81" s="494"/>
      <c r="AZ81" s="494"/>
      <c r="BA81" s="494"/>
      <c r="BB81" s="494"/>
      <c r="BC81" s="494"/>
      <c r="BD81" s="499"/>
      <c r="BE81" s="499"/>
      <c r="BF81" s="499"/>
      <c r="BG81" s="9">
        <f t="shared" ref="BG81" si="161">AO81*11630</f>
        <v>161003.9755</v>
      </c>
    </row>
    <row r="82" spans="1:59" s="34" customFormat="1" hidden="1">
      <c r="A82" s="514">
        <v>10</v>
      </c>
      <c r="B82" s="564" t="s">
        <v>21</v>
      </c>
      <c r="C82" s="564" t="s">
        <v>55</v>
      </c>
      <c r="D82" s="563"/>
      <c r="E82" s="563"/>
      <c r="F82" s="564" t="s">
        <v>649</v>
      </c>
      <c r="G82" s="570">
        <v>8</v>
      </c>
      <c r="H82" s="514">
        <v>2</v>
      </c>
      <c r="I82" s="537">
        <v>172.95924105520081</v>
      </c>
      <c r="J82" s="863"/>
      <c r="K82" s="537" t="s">
        <v>950</v>
      </c>
      <c r="L82" s="537"/>
      <c r="M82" s="537"/>
      <c r="N82" s="537">
        <f>SUM(N83:N92)</f>
        <v>247.57944409242037</v>
      </c>
      <c r="O82" s="537">
        <v>477.66891467214953</v>
      </c>
      <c r="P82" s="537">
        <v>174.23597692179897</v>
      </c>
      <c r="Q82" s="537">
        <f>SUM(Q83:Q92)</f>
        <v>357.72261956792886</v>
      </c>
      <c r="R82" s="537"/>
      <c r="S82" s="537">
        <v>323.73594297882539</v>
      </c>
      <c r="T82" s="537">
        <v>529.84507951627268</v>
      </c>
      <c r="U82" s="537">
        <v>175.51271278839712</v>
      </c>
      <c r="V82" s="537">
        <v>335.00801534812865</v>
      </c>
      <c r="W82" s="537"/>
      <c r="X82" s="537">
        <f>SUM(X83:X92)</f>
        <v>434.25872344211018</v>
      </c>
      <c r="Y82" s="537"/>
      <c r="Z82" s="537"/>
      <c r="AA82" s="579">
        <f>'[5]Product yields'!$G$19</f>
        <v>0.28661507595299512</v>
      </c>
      <c r="AB82" s="619">
        <f t="shared" si="142"/>
        <v>61.894861023105094</v>
      </c>
      <c r="AC82" s="619">
        <f t="shared" si="117"/>
        <v>89.430654891982215</v>
      </c>
      <c r="AD82" s="619"/>
      <c r="AE82" s="970">
        <f>1/4</f>
        <v>0.25</v>
      </c>
      <c r="AF82" s="969"/>
      <c r="AG82" s="529">
        <f>N82*AA82*AE82</f>
        <v>17.740000293237344</v>
      </c>
      <c r="AH82" s="529"/>
      <c r="AI82" s="523">
        <f>Q82*AA82*AE82</f>
        <v>25.632173944391578</v>
      </c>
      <c r="AJ82" s="523"/>
      <c r="AK82" s="531">
        <f t="shared" si="159"/>
        <v>21.084068782591203</v>
      </c>
      <c r="AL82" s="1006">
        <f t="shared" ref="AL82:AL92" si="162">AI82+0.24*(AO82-AI82)</f>
        <v>26.948358017894265</v>
      </c>
      <c r="AM82" s="1007">
        <f t="shared" si="160"/>
        <v>24.428137271945062</v>
      </c>
      <c r="AN82" s="1007">
        <f t="shared" si="119"/>
        <v>28.37422409752218</v>
      </c>
      <c r="AO82" s="529">
        <f>X82*AA82*AE82</f>
        <v>31.116274250652779</v>
      </c>
      <c r="AP82" s="565"/>
      <c r="AQ82" s="565">
        <v>24.31419248251089</v>
      </c>
      <c r="AR82" s="565">
        <v>6.7786885085905109</v>
      </c>
      <c r="AS82" s="571"/>
      <c r="AT82" s="571" t="e">
        <f>#REF!/AQ82</f>
        <v>#REF!</v>
      </c>
      <c r="AU82" s="571">
        <f>AO82/AR82</f>
        <v>4.5903089087542055</v>
      </c>
      <c r="AV82" s="570" t="s">
        <v>70</v>
      </c>
      <c r="AW82" s="570" t="s">
        <v>70</v>
      </c>
      <c r="AX82" s="570" t="s">
        <v>70</v>
      </c>
      <c r="AY82" s="570" t="s">
        <v>74</v>
      </c>
      <c r="AZ82" s="570" t="s">
        <v>40</v>
      </c>
      <c r="BA82" s="570" t="s">
        <v>73</v>
      </c>
      <c r="BB82" s="572">
        <v>0.89</v>
      </c>
      <c r="BC82" s="570" t="s">
        <v>93</v>
      </c>
      <c r="BD82" s="564">
        <v>0.14299999999999999</v>
      </c>
      <c r="BE82" s="564">
        <v>3.5830000000000002</v>
      </c>
      <c r="BF82" s="564" t="s">
        <v>101</v>
      </c>
    </row>
    <row r="83" spans="1:59" customFormat="1" ht="17.149999999999999" hidden="1" customHeight="1" outlineLevel="1">
      <c r="A83" s="494"/>
      <c r="B83" s="499"/>
      <c r="C83" s="499"/>
      <c r="D83" s="524"/>
      <c r="E83" s="524"/>
      <c r="F83" s="499"/>
      <c r="G83" s="534"/>
      <c r="H83" s="494"/>
      <c r="I83" s="525"/>
      <c r="J83" s="854"/>
      <c r="K83" s="551" t="s">
        <v>272</v>
      </c>
      <c r="L83" s="547" t="s">
        <v>273</v>
      </c>
      <c r="M83" s="547"/>
      <c r="N83" s="538">
        <f>SUM('EU-27_Medium_2030'!N$32+'EU-27_Medium_2030'!O$32+'EU-27_Medium_2030'!P$32)/1000000</f>
        <v>130.89263574041894</v>
      </c>
      <c r="O83" s="538"/>
      <c r="P83" s="538"/>
      <c r="Q83" s="538">
        <f>SUM('EU-27_High_2030-2050'!BI$33+'EU-27_High_2030-2050'!BJ$33+'EU-27_High_2030-2050'!BK$33)/1000000</f>
        <v>207.40944074964315</v>
      </c>
      <c r="R83" s="538"/>
      <c r="S83" s="538"/>
      <c r="T83" s="538"/>
      <c r="U83" s="538"/>
      <c r="V83" s="538"/>
      <c r="W83" s="538"/>
      <c r="X83" s="538">
        <f>SUM('EU-27_High_2030-2050'!BI$33+'EU-27_High_2030-2050'!BJ$33+'EU-27_High_2030-2050'!BK$33)/1000000</f>
        <v>207.40944074964315</v>
      </c>
      <c r="Y83" s="538"/>
      <c r="Z83" s="538"/>
      <c r="AA83" s="580"/>
      <c r="AB83" s="619">
        <f t="shared" si="142"/>
        <v>0</v>
      </c>
      <c r="AC83" s="619">
        <f t="shared" si="117"/>
        <v>0</v>
      </c>
      <c r="AD83" s="619"/>
      <c r="AE83" s="963"/>
      <c r="AF83" s="972">
        <f>1/'IVCs relevant 2040-2050'!T$8</f>
        <v>0.14285714285714285</v>
      </c>
      <c r="AG83" s="530"/>
      <c r="AH83" s="530"/>
      <c r="AI83" s="531"/>
      <c r="AJ83" s="531"/>
      <c r="AK83" s="531">
        <f t="shared" si="159"/>
        <v>0</v>
      </c>
      <c r="AL83" s="1006">
        <f t="shared" si="162"/>
        <v>0</v>
      </c>
      <c r="AM83" s="1007">
        <f t="shared" si="160"/>
        <v>0</v>
      </c>
      <c r="AN83" s="1007">
        <f t="shared" si="119"/>
        <v>0</v>
      </c>
      <c r="AO83" s="530"/>
      <c r="AP83" s="532"/>
      <c r="AQ83" s="532"/>
      <c r="AR83" s="532"/>
      <c r="AS83" s="533"/>
      <c r="AT83" s="533"/>
      <c r="AU83" s="533"/>
      <c r="AV83" s="534"/>
      <c r="AW83" s="534"/>
      <c r="AX83" s="534"/>
      <c r="AY83" s="534"/>
      <c r="AZ83" s="534"/>
      <c r="BA83" s="534"/>
      <c r="BB83" s="573"/>
      <c r="BC83" s="534"/>
      <c r="BD83" s="499"/>
      <c r="BE83" s="499"/>
      <c r="BF83" s="499"/>
    </row>
    <row r="84" spans="1:59" customFormat="1" ht="18" hidden="1" customHeight="1" outlineLevel="1">
      <c r="A84" s="494"/>
      <c r="B84" s="499"/>
      <c r="C84" s="499"/>
      <c r="D84" s="524"/>
      <c r="E84" s="524"/>
      <c r="F84" s="499"/>
      <c r="G84" s="534"/>
      <c r="H84" s="494"/>
      <c r="I84" s="525"/>
      <c r="J84" s="854"/>
      <c r="K84" s="551" t="s">
        <v>1065</v>
      </c>
      <c r="L84" s="547" t="s">
        <v>291</v>
      </c>
      <c r="M84" s="547"/>
      <c r="N84" s="525">
        <f>SUM('EU-27_Medium_2030'!Q$32+'EU-27_Medium_2030'!R$32)/1000000</f>
        <v>8.4952845259123446</v>
      </c>
      <c r="O84" s="525"/>
      <c r="P84" s="525"/>
      <c r="Q84" s="525">
        <f>SUM('EU-27_High_2030-2050'!Q$33+'EU-27_High_2030-2050'!R$33+'EU-27_High_2030-2050'!AE$33)/1000000</f>
        <v>12.257725308395727</v>
      </c>
      <c r="R84" s="525"/>
      <c r="S84" s="525"/>
      <c r="T84" s="525"/>
      <c r="U84" s="525"/>
      <c r="V84" s="525"/>
      <c r="W84" s="525"/>
      <c r="X84" s="525">
        <f>SUM('EU-27_High_2030-2050'!BL$33+'EU-27_High_2030-2050'!BM$33+'EU-27_High_2030-2050'!BZ$33)/1000000</f>
        <v>11.938639120933642</v>
      </c>
      <c r="Y84" s="525"/>
      <c r="Z84" s="525"/>
      <c r="AA84" s="580"/>
      <c r="AB84" s="619">
        <f t="shared" si="142"/>
        <v>0</v>
      </c>
      <c r="AC84" s="619">
        <f t="shared" si="117"/>
        <v>0</v>
      </c>
      <c r="AD84" s="619"/>
      <c r="AE84" s="963"/>
      <c r="AF84" s="977">
        <f>1/'IVCs relevant 2040-2050'!T$9</f>
        <v>0.16666666666666666</v>
      </c>
      <c r="AG84" s="530"/>
      <c r="AH84" s="530"/>
      <c r="AI84" s="531"/>
      <c r="AJ84" s="531"/>
      <c r="AK84" s="531">
        <f t="shared" si="159"/>
        <v>0</v>
      </c>
      <c r="AL84" s="1006">
        <f t="shared" si="162"/>
        <v>0</v>
      </c>
      <c r="AM84" s="1007">
        <f t="shared" si="160"/>
        <v>0</v>
      </c>
      <c r="AN84" s="1007">
        <f t="shared" si="119"/>
        <v>0</v>
      </c>
      <c r="AO84" s="530"/>
      <c r="AP84" s="532"/>
      <c r="AQ84" s="532"/>
      <c r="AR84" s="532"/>
      <c r="AS84" s="533"/>
      <c r="AT84" s="533"/>
      <c r="AU84" s="533"/>
      <c r="AV84" s="534"/>
      <c r="AW84" s="534"/>
      <c r="AX84" s="534"/>
      <c r="AY84" s="534"/>
      <c r="AZ84" s="534"/>
      <c r="BA84" s="534"/>
      <c r="BB84" s="573"/>
      <c r="BC84" s="534"/>
      <c r="BD84" s="499"/>
      <c r="BE84" s="499"/>
      <c r="BF84" s="499"/>
    </row>
    <row r="85" spans="1:59" customFormat="1" hidden="1" outlineLevel="1">
      <c r="A85" s="494"/>
      <c r="B85" s="499"/>
      <c r="C85" s="499"/>
      <c r="D85" s="524"/>
      <c r="E85" s="524"/>
      <c r="F85" s="499"/>
      <c r="G85" s="534"/>
      <c r="H85" s="494"/>
      <c r="I85" s="525"/>
      <c r="J85" s="854"/>
      <c r="K85" s="551" t="s">
        <v>285</v>
      </c>
      <c r="L85" s="555">
        <v>5108</v>
      </c>
      <c r="M85" s="555"/>
      <c r="N85" s="525">
        <f>'EU-27_Medium_2030'!AS$32/1000000</f>
        <v>8.8171616070517977</v>
      </c>
      <c r="O85" s="525"/>
      <c r="P85" s="525"/>
      <c r="Q85" s="525">
        <f>'EU-27_High_2030-2050'!AS$33/1000000</f>
        <v>9.854474737293188</v>
      </c>
      <c r="R85" s="525"/>
      <c r="S85" s="525"/>
      <c r="T85" s="525"/>
      <c r="U85" s="525"/>
      <c r="V85" s="525"/>
      <c r="W85" s="525"/>
      <c r="X85" s="525">
        <f>'EU-27_High_2030-2050'!CN$33/1000000</f>
        <v>9.1607302805822908</v>
      </c>
      <c r="Y85" s="525"/>
      <c r="Z85" s="525"/>
      <c r="AA85" s="580"/>
      <c r="AB85" s="619">
        <f t="shared" si="142"/>
        <v>0</v>
      </c>
      <c r="AC85" s="619">
        <f t="shared" si="117"/>
        <v>0</v>
      </c>
      <c r="AD85" s="619"/>
      <c r="AE85" s="963"/>
      <c r="AF85" s="963">
        <f>1/'IVCs relevant 2040-2050'!T$18</f>
        <v>0.25</v>
      </c>
      <c r="AG85" s="530"/>
      <c r="AH85" s="530"/>
      <c r="AI85" s="531"/>
      <c r="AJ85" s="531"/>
      <c r="AK85" s="531">
        <f t="shared" si="159"/>
        <v>0</v>
      </c>
      <c r="AL85" s="1006">
        <f t="shared" si="162"/>
        <v>0</v>
      </c>
      <c r="AM85" s="1007">
        <f t="shared" si="160"/>
        <v>0</v>
      </c>
      <c r="AN85" s="1007">
        <f t="shared" si="119"/>
        <v>0</v>
      </c>
      <c r="AO85" s="530"/>
      <c r="AP85" s="532"/>
      <c r="AQ85" s="532"/>
      <c r="AR85" s="532"/>
      <c r="AS85" s="533"/>
      <c r="AT85" s="533"/>
      <c r="AU85" s="533"/>
      <c r="AV85" s="534"/>
      <c r="AW85" s="534"/>
      <c r="AX85" s="534"/>
      <c r="AY85" s="534"/>
      <c r="AZ85" s="534"/>
      <c r="BA85" s="534"/>
      <c r="BB85" s="573"/>
      <c r="BC85" s="534"/>
      <c r="BD85" s="499"/>
      <c r="BE85" s="499"/>
      <c r="BF85" s="499"/>
    </row>
    <row r="86" spans="1:59" customFormat="1" hidden="1" outlineLevel="1">
      <c r="A86" s="494"/>
      <c r="B86" s="499"/>
      <c r="C86" s="499"/>
      <c r="D86" s="524"/>
      <c r="E86" s="524"/>
      <c r="F86" s="499"/>
      <c r="G86" s="534"/>
      <c r="H86" s="494"/>
      <c r="I86" s="525"/>
      <c r="J86" s="854"/>
      <c r="K86" s="551" t="s">
        <v>292</v>
      </c>
      <c r="L86" s="559">
        <v>4204</v>
      </c>
      <c r="M86" s="559"/>
      <c r="N86" s="525">
        <f>'EU-27_Medium_2030'!AD$32/1000000</f>
        <v>3.4535388863652337</v>
      </c>
      <c r="O86" s="525"/>
      <c r="P86" s="525"/>
      <c r="Q86" s="525">
        <f>'EU-27_High_2030-2050'!AD$33/1000000</f>
        <v>5.1803083295478496</v>
      </c>
      <c r="R86" s="525"/>
      <c r="S86" s="525"/>
      <c r="T86" s="525"/>
      <c r="U86" s="525"/>
      <c r="V86" s="525"/>
      <c r="W86" s="525"/>
      <c r="X86" s="525">
        <f>'EU-27_High_2030-2050'!BY$33/1000000</f>
        <v>4.4480556436504077</v>
      </c>
      <c r="Y86" s="525"/>
      <c r="Z86" s="525"/>
      <c r="AA86" s="580"/>
      <c r="AB86" s="619">
        <f t="shared" si="142"/>
        <v>0</v>
      </c>
      <c r="AC86" s="619">
        <f t="shared" si="117"/>
        <v>0</v>
      </c>
      <c r="AD86" s="619"/>
      <c r="AE86" s="963"/>
      <c r="AF86" s="963">
        <f>1/'IVCs relevant 2040-2050'!T$13</f>
        <v>0.2</v>
      </c>
      <c r="AG86" s="530"/>
      <c r="AH86" s="530"/>
      <c r="AI86" s="531"/>
      <c r="AJ86" s="531"/>
      <c r="AK86" s="531">
        <f t="shared" si="159"/>
        <v>0</v>
      </c>
      <c r="AL86" s="1006">
        <f t="shared" si="162"/>
        <v>0</v>
      </c>
      <c r="AM86" s="1007">
        <f t="shared" si="160"/>
        <v>0</v>
      </c>
      <c r="AN86" s="1007">
        <f t="shared" si="119"/>
        <v>0</v>
      </c>
      <c r="AO86" s="530"/>
      <c r="AP86" s="532"/>
      <c r="AQ86" s="532"/>
      <c r="AR86" s="532"/>
      <c r="AS86" s="533"/>
      <c r="AT86" s="533"/>
      <c r="AU86" s="533"/>
      <c r="AV86" s="534"/>
      <c r="AW86" s="534"/>
      <c r="AX86" s="534"/>
      <c r="AY86" s="534"/>
      <c r="AZ86" s="534"/>
      <c r="BA86" s="534"/>
      <c r="BB86" s="573"/>
      <c r="BC86" s="534"/>
      <c r="BD86" s="499"/>
      <c r="BE86" s="499"/>
      <c r="BF86" s="499"/>
    </row>
    <row r="87" spans="1:59" customFormat="1" ht="17.5" hidden="1" customHeight="1" outlineLevel="1">
      <c r="A87" s="494"/>
      <c r="B87" s="499"/>
      <c r="C87" s="499"/>
      <c r="D87" s="524"/>
      <c r="E87" s="524"/>
      <c r="F87" s="499"/>
      <c r="G87" s="534"/>
      <c r="H87" s="494"/>
      <c r="I87" s="525"/>
      <c r="J87" s="854"/>
      <c r="K87" s="551" t="s">
        <v>274</v>
      </c>
      <c r="L87" s="547" t="s">
        <v>275</v>
      </c>
      <c r="M87" s="547"/>
      <c r="N87" s="525">
        <f>SUM('EU-27_Medium_2030'!E$32+'EU-27_Medium_2030'!G$32+'EU-27_Medium_2030'!H$32+'EU-27_Medium_2030'!J$32)/1000000</f>
        <v>5.1230865023155641</v>
      </c>
      <c r="O87" s="494"/>
      <c r="P87" s="494"/>
      <c r="Q87" s="525">
        <f>SUM('EU-27_High_2030-2050'!E$33+'EU-27_High_2030-2050'!G$33+'EU-27_High_2030-2050'!H$33+'EU-27_High_2030-2050'!J$33)/1000000</f>
        <v>8.738165736490755</v>
      </c>
      <c r="R87" s="494"/>
      <c r="S87" s="494"/>
      <c r="T87" s="494"/>
      <c r="U87" s="494"/>
      <c r="V87" s="494"/>
      <c r="W87" s="494"/>
      <c r="X87" s="525">
        <f>SUM('EU-27_High_2030-2050'!AZ$33+'EU-27_High_2030-2050'!BB$33+'EU-27_High_2030-2050'!BC$33+'EU-27_High_2030-2050'!BE$33)/1000000</f>
        <v>71.430408560585576</v>
      </c>
      <c r="Y87" s="525"/>
      <c r="Z87" s="525"/>
      <c r="AA87" s="580"/>
      <c r="AB87" s="619">
        <f t="shared" si="142"/>
        <v>0</v>
      </c>
      <c r="AC87" s="619">
        <f t="shared" si="117"/>
        <v>0</v>
      </c>
      <c r="AD87" s="619"/>
      <c r="AE87" s="963"/>
      <c r="AF87" s="972">
        <f>1/'IVCs relevant 2040-2050'!T$2</f>
        <v>0.14285714285714285</v>
      </c>
      <c r="AG87" s="530"/>
      <c r="AH87" s="530"/>
      <c r="AI87" s="531"/>
      <c r="AJ87" s="531"/>
      <c r="AK87" s="531">
        <f t="shared" si="159"/>
        <v>0</v>
      </c>
      <c r="AL87" s="1006">
        <f t="shared" si="162"/>
        <v>0</v>
      </c>
      <c r="AM87" s="1007">
        <f t="shared" si="160"/>
        <v>0</v>
      </c>
      <c r="AN87" s="1007">
        <f t="shared" si="119"/>
        <v>0</v>
      </c>
      <c r="AO87" s="530"/>
      <c r="AP87" s="532"/>
      <c r="AQ87" s="532"/>
      <c r="AR87" s="532"/>
      <c r="AS87" s="533"/>
      <c r="AT87" s="533"/>
      <c r="AU87" s="533"/>
      <c r="AV87" s="534"/>
      <c r="AW87" s="534"/>
      <c r="AX87" s="534"/>
      <c r="AY87" s="534"/>
      <c r="AZ87" s="534"/>
      <c r="BA87" s="534"/>
      <c r="BB87" s="573"/>
      <c r="BC87" s="534"/>
      <c r="BD87" s="499"/>
      <c r="BE87" s="499"/>
      <c r="BF87" s="499"/>
    </row>
    <row r="88" spans="1:59" customFormat="1" hidden="1" outlineLevel="1">
      <c r="A88" s="494"/>
      <c r="B88" s="499"/>
      <c r="C88" s="499"/>
      <c r="D88" s="524"/>
      <c r="E88" s="524"/>
      <c r="F88" s="499"/>
      <c r="G88" s="534"/>
      <c r="H88" s="494"/>
      <c r="I88" s="525"/>
      <c r="J88" s="854"/>
      <c r="K88" s="551" t="s">
        <v>276</v>
      </c>
      <c r="L88" s="547" t="s">
        <v>277</v>
      </c>
      <c r="M88" s="547"/>
      <c r="N88" s="525">
        <f>SUM('EU-27_Medium_2030'!K$32+'EU-27_Medium_2030'!M$32)/1000000</f>
        <v>2.3323784509315457</v>
      </c>
      <c r="O88" s="525"/>
      <c r="P88" s="525"/>
      <c r="Q88" s="525">
        <f>SUM('EU-27_High_2030-2050'!K$33+'EU-27_High_2030-2050'!M$33)/1000000</f>
        <v>6.1393981815063317</v>
      </c>
      <c r="R88" s="525"/>
      <c r="S88" s="525"/>
      <c r="T88" s="525"/>
      <c r="U88" s="525"/>
      <c r="V88" s="525"/>
      <c r="W88" s="525"/>
      <c r="X88" s="525">
        <f>SUM('EU-27_High_2030-2050'!BF$33+'EU-27_High_2030-2050'!BH$33)/1000000</f>
        <v>14.099411675482649</v>
      </c>
      <c r="Y88" s="525"/>
      <c r="Z88" s="525"/>
      <c r="AA88" s="580"/>
      <c r="AB88" s="619">
        <f t="shared" si="142"/>
        <v>0</v>
      </c>
      <c r="AC88" s="619">
        <f t="shared" si="117"/>
        <v>0</v>
      </c>
      <c r="AD88" s="619"/>
      <c r="AE88" s="963"/>
      <c r="AF88" s="972">
        <f>1/'IVCs relevant 2040-2050'!T$4</f>
        <v>0.14285714285714285</v>
      </c>
      <c r="AG88" s="530"/>
      <c r="AH88" s="530"/>
      <c r="AI88" s="531"/>
      <c r="AJ88" s="531"/>
      <c r="AK88" s="531">
        <f t="shared" si="159"/>
        <v>0</v>
      </c>
      <c r="AL88" s="1006">
        <f t="shared" si="162"/>
        <v>0</v>
      </c>
      <c r="AM88" s="1007">
        <f t="shared" si="160"/>
        <v>0</v>
      </c>
      <c r="AN88" s="1007">
        <f t="shared" si="119"/>
        <v>0</v>
      </c>
      <c r="AO88" s="530"/>
      <c r="AP88" s="532"/>
      <c r="AQ88" s="532"/>
      <c r="AR88" s="532"/>
      <c r="AS88" s="533"/>
      <c r="AT88" s="533"/>
      <c r="AU88" s="533"/>
      <c r="AV88" s="534"/>
      <c r="AW88" s="534"/>
      <c r="AX88" s="534"/>
      <c r="AY88" s="534"/>
      <c r="AZ88" s="534"/>
      <c r="BA88" s="534"/>
      <c r="BB88" s="573"/>
      <c r="BC88" s="534"/>
      <c r="BD88" s="499"/>
      <c r="BE88" s="499"/>
      <c r="BF88" s="499"/>
    </row>
    <row r="89" spans="1:59" customFormat="1" hidden="1" outlineLevel="1">
      <c r="A89" s="494"/>
      <c r="B89" s="499"/>
      <c r="C89" s="499"/>
      <c r="D89" s="524"/>
      <c r="E89" s="524"/>
      <c r="F89" s="499"/>
      <c r="G89" s="534"/>
      <c r="H89" s="494"/>
      <c r="I89" s="525"/>
      <c r="J89" s="854"/>
      <c r="K89" s="551" t="s">
        <v>293</v>
      </c>
      <c r="L89" s="547" t="s">
        <v>294</v>
      </c>
      <c r="M89" s="526" t="s">
        <v>968</v>
      </c>
      <c r="N89" s="525">
        <f>SUM('EU-27_Medium_2030'!C$32+'EU-27_Medium_2030'!D$32)/1000000</f>
        <v>37.416699428169103</v>
      </c>
      <c r="O89" s="525"/>
      <c r="P89" s="525"/>
      <c r="Q89" s="525">
        <f>SUM('EU-27_High_2030-2050'!C$33+'EU-27_High_2030-2050'!D$33)/1000000</f>
        <v>37.416699428169103</v>
      </c>
      <c r="R89" s="525"/>
      <c r="S89" s="525"/>
      <c r="T89" s="525"/>
      <c r="U89" s="525"/>
      <c r="V89" s="525"/>
      <c r="W89" s="525"/>
      <c r="X89" s="525">
        <f>SUM('EU-27_High_2030-2050'!AX$33+'EU-27_High_2030-2050'!AY$33)/1000000</f>
        <v>38.131780786359911</v>
      </c>
      <c r="Y89" s="525"/>
      <c r="Z89" s="525"/>
      <c r="AA89" s="580"/>
      <c r="AB89" s="619">
        <f t="shared" si="142"/>
        <v>0</v>
      </c>
      <c r="AC89" s="619">
        <f t="shared" si="117"/>
        <v>0</v>
      </c>
      <c r="AD89" s="619"/>
      <c r="AE89" s="963"/>
      <c r="AF89" s="963">
        <f>1/'IVCs relevant 2040-2050'!T$6</f>
        <v>0.2</v>
      </c>
      <c r="AG89" s="530"/>
      <c r="AH89" s="530"/>
      <c r="AI89" s="531"/>
      <c r="AJ89" s="531"/>
      <c r="AK89" s="531">
        <f t="shared" si="159"/>
        <v>0</v>
      </c>
      <c r="AL89" s="1006">
        <f t="shared" si="162"/>
        <v>0</v>
      </c>
      <c r="AM89" s="1007">
        <f t="shared" si="160"/>
        <v>0</v>
      </c>
      <c r="AN89" s="1007">
        <f t="shared" si="119"/>
        <v>0</v>
      </c>
      <c r="AO89" s="530"/>
      <c r="AP89" s="532"/>
      <c r="AQ89" s="532"/>
      <c r="AR89" s="532"/>
      <c r="AS89" s="533"/>
      <c r="AT89" s="533"/>
      <c r="AU89" s="533"/>
      <c r="AV89" s="534"/>
      <c r="AW89" s="534"/>
      <c r="AX89" s="534"/>
      <c r="AY89" s="534"/>
      <c r="AZ89" s="534"/>
      <c r="BA89" s="534"/>
      <c r="BB89" s="573"/>
      <c r="BC89" s="534"/>
      <c r="BD89" s="499"/>
      <c r="BE89" s="499"/>
      <c r="BF89" s="499"/>
    </row>
    <row r="90" spans="1:59" customFormat="1" ht="16.5" hidden="1" customHeight="1" outlineLevel="1">
      <c r="A90" s="494"/>
      <c r="B90" s="499"/>
      <c r="C90" s="499"/>
      <c r="D90" s="524"/>
      <c r="E90" s="524"/>
      <c r="F90" s="499"/>
      <c r="G90" s="534"/>
      <c r="H90" s="494"/>
      <c r="I90" s="525"/>
      <c r="J90" s="854"/>
      <c r="K90" s="551" t="s">
        <v>270</v>
      </c>
      <c r="L90" s="547" t="s">
        <v>271</v>
      </c>
      <c r="M90" s="526" t="s">
        <v>968</v>
      </c>
      <c r="N90" s="525">
        <f>SUM('EU-27_Medium_2030'!U$32+'EU-27_Medium_2030'!V$32+'EU-27_Medium_2030'!W$32+'EU-27_Medium_2030'!X$32+'EU-27_Medium_2030'!Y$32+'EU-27_Medium_2030'!Z$32)/1000000</f>
        <v>39.28182327905342</v>
      </c>
      <c r="O90" s="525"/>
      <c r="P90" s="525"/>
      <c r="Q90" s="525">
        <f>SUM('EU-27_High_2030-2050'!U$33+'EU-27_High_2030-2050'!V$33+'EU-27_High_2030-2050'!W$33+'EU-27_High_2030-2050'!X$33+'EU-27_High_2030-2050'!Y$33+'EU-27_High_2030-2050'!Z$33)/1000000</f>
        <v>55.037292867279561</v>
      </c>
      <c r="R90" s="525"/>
      <c r="S90" s="525"/>
      <c r="T90" s="525"/>
      <c r="U90" s="525"/>
      <c r="V90" s="525"/>
      <c r="W90" s="525"/>
      <c r="X90" s="525">
        <f>SUM('EU-27_High_2030-2050'!BP$33+'EU-27_High_2030-2050'!BQ$33+'EU-27_High_2030-2050'!BR$33+'EU-27_High_2030-2050'!BS$33+'EU-27_High_2030-2050'!BT$33+'EU-27_High_2030-2050'!BU$33)/1000000</f>
        <v>58.609743205605817</v>
      </c>
      <c r="Y90" s="525"/>
      <c r="Z90" s="525"/>
      <c r="AA90" s="580"/>
      <c r="AB90" s="619">
        <f t="shared" si="142"/>
        <v>0</v>
      </c>
      <c r="AC90" s="619">
        <f t="shared" si="117"/>
        <v>0</v>
      </c>
      <c r="AD90" s="619"/>
      <c r="AE90" s="963"/>
      <c r="AF90" s="972">
        <f>1/'IVCs relevant 2040-2050'!T$16</f>
        <v>0.16666666666666666</v>
      </c>
      <c r="AG90" s="530"/>
      <c r="AH90" s="530"/>
      <c r="AI90" s="531"/>
      <c r="AJ90" s="531"/>
      <c r="AK90" s="531">
        <f t="shared" si="159"/>
        <v>0</v>
      </c>
      <c r="AL90" s="1006">
        <f t="shared" si="162"/>
        <v>0</v>
      </c>
      <c r="AM90" s="1007">
        <f t="shared" si="160"/>
        <v>0</v>
      </c>
      <c r="AN90" s="1007">
        <f t="shared" si="119"/>
        <v>0</v>
      </c>
      <c r="AO90" s="530"/>
      <c r="AP90" s="532"/>
      <c r="AQ90" s="532"/>
      <c r="AR90" s="532"/>
      <c r="AS90" s="533"/>
      <c r="AT90" s="533"/>
      <c r="AU90" s="533"/>
      <c r="AV90" s="534"/>
      <c r="AW90" s="534"/>
      <c r="AX90" s="534"/>
      <c r="AY90" s="534"/>
      <c r="AZ90" s="534"/>
      <c r="BA90" s="534"/>
      <c r="BB90" s="573"/>
      <c r="BC90" s="534"/>
      <c r="BD90" s="499"/>
      <c r="BE90" s="499"/>
      <c r="BF90" s="499"/>
    </row>
    <row r="91" spans="1:59" customFormat="1" hidden="1" outlineLevel="1">
      <c r="A91" s="494"/>
      <c r="B91" s="499"/>
      <c r="C91" s="499"/>
      <c r="D91" s="524"/>
      <c r="E91" s="524"/>
      <c r="F91" s="499"/>
      <c r="G91" s="534"/>
      <c r="H91" s="494"/>
      <c r="I91" s="525"/>
      <c r="J91" s="854"/>
      <c r="K91" s="551" t="s">
        <v>295</v>
      </c>
      <c r="L91" s="547" t="s">
        <v>296</v>
      </c>
      <c r="M91" s="547"/>
      <c r="N91" s="525">
        <f>SUM('EU-27_Medium_2030'!AT$32+'EU-27_Medium_2030'!AU$32)/1000000</f>
        <v>11.766835672202422</v>
      </c>
      <c r="O91" s="525"/>
      <c r="P91" s="525"/>
      <c r="Q91" s="525">
        <f>SUM('EU-27_High_2030-2050'!AT$33+'EU-27_High_2030-2050'!AU$33)/1000000</f>
        <v>15.689114229603229</v>
      </c>
      <c r="R91" s="525"/>
      <c r="S91" s="525"/>
      <c r="T91" s="525"/>
      <c r="U91" s="525"/>
      <c r="V91" s="525"/>
      <c r="W91" s="525"/>
      <c r="X91" s="525">
        <f>SUM('EU-27_High_2030-2050'!CO$33+'EU-27_High_2030-2050'!CP$33)/1000000</f>
        <v>19.03051341926674</v>
      </c>
      <c r="Y91" s="525"/>
      <c r="Z91" s="525"/>
      <c r="AA91" s="580"/>
      <c r="AB91" s="619">
        <f t="shared" si="142"/>
        <v>0</v>
      </c>
      <c r="AC91" s="619">
        <f t="shared" si="117"/>
        <v>0</v>
      </c>
      <c r="AD91" s="619"/>
      <c r="AE91" s="963"/>
      <c r="AF91" s="963">
        <f>1/'IVCs relevant 2040-2050'!T$20</f>
        <v>0.2</v>
      </c>
      <c r="AG91" s="530"/>
      <c r="AH91" s="530"/>
      <c r="AI91" s="531"/>
      <c r="AJ91" s="531"/>
      <c r="AK91" s="531">
        <f t="shared" si="159"/>
        <v>0</v>
      </c>
      <c r="AL91" s="1006">
        <f t="shared" si="162"/>
        <v>0</v>
      </c>
      <c r="AM91" s="1007">
        <f t="shared" si="160"/>
        <v>0</v>
      </c>
      <c r="AN91" s="1007">
        <f t="shared" si="119"/>
        <v>0</v>
      </c>
      <c r="AO91" s="530"/>
      <c r="AP91" s="532"/>
      <c r="AQ91" s="532"/>
      <c r="AR91" s="532"/>
      <c r="AS91" s="533"/>
      <c r="AT91" s="533"/>
      <c r="AU91" s="533"/>
      <c r="AV91" s="534"/>
      <c r="AW91" s="534"/>
      <c r="AX91" s="534"/>
      <c r="AY91" s="534"/>
      <c r="AZ91" s="534"/>
      <c r="BA91" s="534"/>
      <c r="BB91" s="573"/>
      <c r="BC91" s="534"/>
      <c r="BD91" s="499"/>
      <c r="BE91" s="499"/>
      <c r="BF91" s="499"/>
    </row>
    <row r="92" spans="1:59" customFormat="1" hidden="1" outlineLevel="1">
      <c r="A92" s="494"/>
      <c r="B92" s="499"/>
      <c r="C92" s="499"/>
      <c r="D92" s="524"/>
      <c r="E92" s="524"/>
      <c r="F92" s="499"/>
      <c r="G92" s="534"/>
      <c r="H92" s="494"/>
      <c r="I92" s="525"/>
      <c r="J92" s="854"/>
      <c r="K92" s="560" t="s">
        <v>301</v>
      </c>
      <c r="L92" s="561"/>
      <c r="M92" s="561"/>
      <c r="N92" s="494"/>
      <c r="O92" s="494"/>
      <c r="P92" s="494"/>
      <c r="Q92" s="494"/>
      <c r="R92" s="494"/>
      <c r="S92" s="494"/>
      <c r="T92" s="494"/>
      <c r="U92" s="494"/>
      <c r="V92" s="494"/>
      <c r="W92" s="494"/>
      <c r="X92" s="494"/>
      <c r="Y92" s="494"/>
      <c r="Z92" s="494"/>
      <c r="AA92" s="580"/>
      <c r="AB92" s="619">
        <f t="shared" si="142"/>
        <v>0</v>
      </c>
      <c r="AC92" s="619">
        <f t="shared" si="117"/>
        <v>0</v>
      </c>
      <c r="AD92" s="619"/>
      <c r="AE92" s="970"/>
      <c r="AF92" s="963">
        <f>1/'IVCs relevant 2040-2050'!T22</f>
        <v>0.25</v>
      </c>
      <c r="AG92" s="530"/>
      <c r="AH92" s="530"/>
      <c r="AI92" s="531"/>
      <c r="AJ92" s="531"/>
      <c r="AK92" s="531">
        <f t="shared" si="159"/>
        <v>0</v>
      </c>
      <c r="AL92" s="1006">
        <f t="shared" si="162"/>
        <v>0</v>
      </c>
      <c r="AM92" s="1007">
        <f t="shared" si="160"/>
        <v>0</v>
      </c>
      <c r="AN92" s="1007">
        <f t="shared" si="119"/>
        <v>0</v>
      </c>
      <c r="AO92" s="530"/>
      <c r="AP92" s="532"/>
      <c r="AQ92" s="532"/>
      <c r="AR92" s="532"/>
      <c r="AS92" s="533"/>
      <c r="AT92" s="533"/>
      <c r="AU92" s="533"/>
      <c r="AV92" s="534"/>
      <c r="AW92" s="534"/>
      <c r="AX92" s="534"/>
      <c r="AY92" s="534"/>
      <c r="AZ92" s="534"/>
      <c r="BA92" s="534"/>
      <c r="BB92" s="573"/>
      <c r="BC92" s="534"/>
      <c r="BD92" s="499"/>
      <c r="BE92" s="499"/>
      <c r="BF92" s="499"/>
    </row>
    <row r="93" spans="1:59" customFormat="1" outlineLevel="1">
      <c r="A93" s="563" t="s">
        <v>22</v>
      </c>
      <c r="B93" s="563" t="s">
        <v>23</v>
      </c>
      <c r="C93" s="563" t="s">
        <v>120</v>
      </c>
      <c r="D93" s="563" t="s">
        <v>1346</v>
      </c>
      <c r="E93" s="563" t="s">
        <v>1347</v>
      </c>
      <c r="F93" s="563" t="s">
        <v>640</v>
      </c>
      <c r="G93" s="598" t="s">
        <v>35</v>
      </c>
      <c r="H93" s="515">
        <v>1</v>
      </c>
      <c r="I93" s="593">
        <v>172.95924105520081</v>
      </c>
      <c r="J93" s="853" t="s">
        <v>1030</v>
      </c>
      <c r="K93" s="593" t="s">
        <v>950</v>
      </c>
      <c r="L93" s="593"/>
      <c r="M93" s="593"/>
      <c r="N93" s="593">
        <f>SUM(N94:N103)</f>
        <v>252.76748695189718</v>
      </c>
      <c r="O93" s="593">
        <f t="shared" ref="O93:AD93" si="163">SUM(O94:O103)</f>
        <v>0</v>
      </c>
      <c r="P93" s="593">
        <f t="shared" si="163"/>
        <v>0</v>
      </c>
      <c r="Q93" s="593">
        <f t="shared" si="163"/>
        <v>365.13131220918297</v>
      </c>
      <c r="R93" s="593">
        <f t="shared" si="163"/>
        <v>0</v>
      </c>
      <c r="S93" s="593">
        <f t="shared" si="163"/>
        <v>0</v>
      </c>
      <c r="T93" s="593">
        <f t="shared" si="163"/>
        <v>0</v>
      </c>
      <c r="U93" s="593">
        <f t="shared" si="163"/>
        <v>0</v>
      </c>
      <c r="V93" s="593">
        <f t="shared" si="163"/>
        <v>0</v>
      </c>
      <c r="W93" s="593">
        <f t="shared" si="163"/>
        <v>0</v>
      </c>
      <c r="X93" s="593">
        <f t="shared" si="163"/>
        <v>443.1999555288649</v>
      </c>
      <c r="Y93" s="593">
        <f t="shared" si="163"/>
        <v>0</v>
      </c>
      <c r="Z93" s="593">
        <f t="shared" si="163"/>
        <v>0</v>
      </c>
      <c r="AA93" s="593"/>
      <c r="AB93" s="593">
        <f t="shared" si="163"/>
        <v>20.877790799808285</v>
      </c>
      <c r="AC93" s="593">
        <f t="shared" si="163"/>
        <v>29.472069492902442</v>
      </c>
      <c r="AD93" s="593">
        <f t="shared" si="163"/>
        <v>36.344699079784938</v>
      </c>
      <c r="AE93" s="594"/>
      <c r="AF93" s="594"/>
      <c r="AG93" s="594">
        <f>SUM(AG94:AG103)</f>
        <v>4.1616479168194616</v>
      </c>
      <c r="AH93" s="595">
        <f t="shared" ref="AH93:AJ93" si="164">SUM(AH94:AH103)</f>
        <v>48399.965272610338</v>
      </c>
      <c r="AI93" s="595">
        <f>SUM(AI94:AI103)</f>
        <v>5.8462852609877034</v>
      </c>
      <c r="AJ93" s="595">
        <f t="shared" si="164"/>
        <v>67992.297585286986</v>
      </c>
      <c r="AK93" s="595">
        <f>SUM(AK94:AK103)</f>
        <v>4.9536135209307908</v>
      </c>
      <c r="AL93" s="595">
        <f>SUM(AL94:AL103)</f>
        <v>6.2170915290569715</v>
      </c>
      <c r="AM93" s="595">
        <f t="shared" ref="AM93" si="165">SUM(AM94:AM103)</f>
        <v>5.7455791250421226</v>
      </c>
      <c r="AN93" s="595">
        <f>SUM(AN94:AN103)</f>
        <v>6.5878977971262422</v>
      </c>
      <c r="AO93" s="593">
        <f>SUM(AO94:AO103)</f>
        <v>7.329510333264782</v>
      </c>
      <c r="AP93" s="596">
        <v>22.442503287543463</v>
      </c>
      <c r="AQ93" s="596"/>
      <c r="AR93" s="596"/>
      <c r="AS93" s="597">
        <f>AG93/AP93</f>
        <v>0.18543599452781864</v>
      </c>
      <c r="AT93" s="597"/>
      <c r="AU93" s="597"/>
      <c r="AV93" s="598" t="s">
        <v>70</v>
      </c>
      <c r="AW93" s="598" t="s">
        <v>68</v>
      </c>
      <c r="AX93" s="598" t="s">
        <v>69</v>
      </c>
      <c r="AY93" s="598" t="s">
        <v>73</v>
      </c>
      <c r="AZ93" s="598" t="s">
        <v>73</v>
      </c>
      <c r="BA93" s="598" t="s">
        <v>73</v>
      </c>
      <c r="BB93" s="599">
        <v>0.88</v>
      </c>
      <c r="BC93" s="602" t="s">
        <v>61</v>
      </c>
      <c r="BD93" s="563">
        <v>8.1999999999999993</v>
      </c>
      <c r="BE93" s="600">
        <v>63.399999999999991</v>
      </c>
      <c r="BF93" s="563">
        <v>81.8</v>
      </c>
      <c r="BG93" s="593">
        <f>SUM(BG94:BG103)</f>
        <v>76743.056567125503</v>
      </c>
    </row>
    <row r="94" spans="1:59" customFormat="1" ht="29" outlineLevel="1">
      <c r="A94" s="534"/>
      <c r="B94" s="499"/>
      <c r="C94" s="499"/>
      <c r="D94" s="524"/>
      <c r="E94" s="935"/>
      <c r="F94" s="499"/>
      <c r="G94" s="534"/>
      <c r="H94" s="494"/>
      <c r="I94" s="525"/>
      <c r="J94" s="854"/>
      <c r="K94" s="551" t="s">
        <v>272</v>
      </c>
      <c r="L94" s="547" t="s">
        <v>273</v>
      </c>
      <c r="M94" s="547"/>
      <c r="N94" s="538">
        <f>SUM('EU-27_Medium_2030'!N$32+'EU-27_Medium_2030'!O$32+'EU-27_Medium_2030'!P$32)/1000000</f>
        <v>130.89263574041894</v>
      </c>
      <c r="O94" s="538"/>
      <c r="P94" s="538"/>
      <c r="Q94" s="538">
        <f>SUM('EU-27_High_2030-2050'!BI$33+'EU-27_High_2030-2050'!BJ$33+'EU-27_High_2030-2050'!BK$33)/1000000</f>
        <v>207.40944074964315</v>
      </c>
      <c r="R94" s="538"/>
      <c r="S94" s="538"/>
      <c r="T94" s="538"/>
      <c r="U94" s="538"/>
      <c r="V94" s="538"/>
      <c r="W94" s="538"/>
      <c r="X94" s="538">
        <f>SUM('EU-27_High_2030-2050'!BI$33+'EU-27_High_2030-2050'!BJ$33+'EU-27_High_2030-2050'!BK$33)/1000000</f>
        <v>207.40944074964315</v>
      </c>
      <c r="Y94" s="538"/>
      <c r="Z94" s="538"/>
      <c r="AA94" s="527">
        <f>'Conversion factors selected IV '!L64</f>
        <v>0.18914644345714046</v>
      </c>
      <c r="AB94" s="619">
        <f t="shared" si="142"/>
        <v>9.3494739814584946</v>
      </c>
      <c r="AC94" s="619">
        <f t="shared" si="117"/>
        <v>14.814960053545938</v>
      </c>
      <c r="AD94" s="619">
        <f t="shared" ref="AD94:AD114" si="166">X94*AF94</f>
        <v>14.814960053545938</v>
      </c>
      <c r="AE94" s="977">
        <f>1/'IVCs relevant in 2030'!R8/2</f>
        <v>7.1428571428571425E-2</v>
      </c>
      <c r="AF94" s="972">
        <f>1/'IVCs relevant 2040-2050'!T$8/2</f>
        <v>7.1428571428571425E-2</v>
      </c>
      <c r="AG94" s="836">
        <f t="shared" ref="AG94:AG103" si="167">N94*AA94*AE94</f>
        <v>1.768419751787945</v>
      </c>
      <c r="AH94" s="530">
        <f>AG94*11630</f>
        <v>20566.721713293799</v>
      </c>
      <c r="AI94" s="592">
        <f>Q94*AA94*AE94</f>
        <v>2.8021970040878212</v>
      </c>
      <c r="AJ94" s="531">
        <f t="shared" ref="AJ94:AJ103" si="168">AI94*11630</f>
        <v>32589.551157541362</v>
      </c>
      <c r="AK94" s="531">
        <f t="shared" ref="AK94:AK103" si="169">AG94+0.25*(AO94-AG94)</f>
        <v>2.0268640648629139</v>
      </c>
      <c r="AL94" s="1006">
        <f>AI94+0.25*(AO94-AI94)</f>
        <v>2.8021970040878212</v>
      </c>
      <c r="AM94" s="1007">
        <f t="shared" ref="AM94:AM103" si="170">AG94+0.5*(AO94-AG94)</f>
        <v>2.2853083779378833</v>
      </c>
      <c r="AN94" s="1007">
        <f>AI94+0.5*(AO94-AI94)</f>
        <v>2.8021970040878212</v>
      </c>
      <c r="AO94" s="525">
        <f t="shared" ref="AO94:AO103" si="171">X94*AA94*AF94</f>
        <v>2.8021970040878212</v>
      </c>
      <c r="AP94" s="532"/>
      <c r="AQ94" s="532"/>
      <c r="AR94" s="532"/>
      <c r="AS94" s="533"/>
      <c r="AT94" s="533"/>
      <c r="AU94" s="533"/>
      <c r="AV94" s="534"/>
      <c r="AW94" s="534"/>
      <c r="AX94" s="534"/>
      <c r="AY94" s="534"/>
      <c r="AZ94" s="534"/>
      <c r="BA94" s="534"/>
      <c r="BB94" s="535"/>
      <c r="BC94" s="543"/>
      <c r="BD94" s="499"/>
      <c r="BE94" s="536"/>
      <c r="BF94" s="499"/>
      <c r="BG94" s="9">
        <f t="shared" ref="BG94:BG102" si="172">AO94*11630</f>
        <v>32589.551157541362</v>
      </c>
    </row>
    <row r="95" spans="1:59" customFormat="1" ht="29" outlineLevel="1">
      <c r="A95" s="534"/>
      <c r="B95" s="499"/>
      <c r="C95" s="499"/>
      <c r="D95" s="524"/>
      <c r="E95" s="524"/>
      <c r="F95" s="499"/>
      <c r="G95" s="534"/>
      <c r="H95" s="494"/>
      <c r="I95" s="525"/>
      <c r="J95" s="854"/>
      <c r="K95" s="551" t="s">
        <v>1065</v>
      </c>
      <c r="L95" s="547" t="s">
        <v>291</v>
      </c>
      <c r="M95" s="547"/>
      <c r="N95" s="525">
        <f>SUM('EU-27_Medium_2030'!Q$32+'EU-27_Medium_2030'!R$32)/1000000</f>
        <v>8.4952845259123446</v>
      </c>
      <c r="O95" s="525"/>
      <c r="P95" s="525"/>
      <c r="Q95" s="525">
        <f>SUM('EU-27_High_2030-2050'!Q$33+'EU-27_High_2030-2050'!R$33+'EU-27_High_2030-2050'!AE$33)/1000000</f>
        <v>12.257725308395727</v>
      </c>
      <c r="R95" s="525"/>
      <c r="S95" s="525"/>
      <c r="T95" s="525"/>
      <c r="U95" s="525"/>
      <c r="V95" s="525"/>
      <c r="W95" s="525"/>
      <c r="X95" s="525">
        <f>SUM('EU-27_High_2030-2050'!BL$33+'EU-27_High_2030-2050'!BM$33+'EU-27_High_2030-2050'!BZ$33)/1000000</f>
        <v>11.938639120933642</v>
      </c>
      <c r="Y95" s="525"/>
      <c r="Z95" s="525"/>
      <c r="AA95" s="527">
        <f>'Conversion factors selected IV '!L65</f>
        <v>0.18914644345714046</v>
      </c>
      <c r="AB95" s="619">
        <f t="shared" si="142"/>
        <v>0.70794037715936198</v>
      </c>
      <c r="AC95" s="619">
        <f t="shared" si="117"/>
        <v>1.0214771090329773</v>
      </c>
      <c r="AD95" s="619">
        <f t="shared" si="166"/>
        <v>0.99488659341113683</v>
      </c>
      <c r="AE95" s="977">
        <f>1/'IVCs relevant in 2030'!R9/2</f>
        <v>8.3333333333333329E-2</v>
      </c>
      <c r="AF95" s="977">
        <f>1/'IVCs relevant 2040-2050'!T$9/2</f>
        <v>8.3333333333333329E-2</v>
      </c>
      <c r="AG95" s="836">
        <f t="shared" si="167"/>
        <v>0.13390440451939994</v>
      </c>
      <c r="AH95" s="530">
        <f t="shared" ref="AH95:AH103" si="173">AG95*11630</f>
        <v>1557.3082245606213</v>
      </c>
      <c r="AI95" s="592">
        <f t="shared" ref="AI95:AI103" si="174">Q95*AA95*AE95</f>
        <v>0.19320876224646932</v>
      </c>
      <c r="AJ95" s="531">
        <f t="shared" si="168"/>
        <v>2247.0179049264384</v>
      </c>
      <c r="AK95" s="531">
        <f t="shared" si="169"/>
        <v>0.14747311858627662</v>
      </c>
      <c r="AL95" s="1006">
        <f t="shared" ref="AL95:AL127" si="175">AI95+0.25*(AO95-AI95)</f>
        <v>0.19195138688157865</v>
      </c>
      <c r="AM95" s="1007">
        <f t="shared" si="170"/>
        <v>0.16104183265315331</v>
      </c>
      <c r="AN95" s="1007">
        <f t="shared" si="119"/>
        <v>0.19069401151668799</v>
      </c>
      <c r="AO95" s="525">
        <f t="shared" si="171"/>
        <v>0.18817926078690667</v>
      </c>
      <c r="AP95" s="532"/>
      <c r="AQ95" s="532"/>
      <c r="AR95" s="532"/>
      <c r="AS95" s="533"/>
      <c r="AT95" s="533"/>
      <c r="AU95" s="533"/>
      <c r="AV95" s="534"/>
      <c r="AW95" s="534"/>
      <c r="AX95" s="534"/>
      <c r="AY95" s="534"/>
      <c r="AZ95" s="534"/>
      <c r="BA95" s="534"/>
      <c r="BB95" s="535"/>
      <c r="BC95" s="543"/>
      <c r="BD95" s="499"/>
      <c r="BE95" s="536"/>
      <c r="BF95" s="499"/>
      <c r="BG95" s="9">
        <f t="shared" si="172"/>
        <v>2188.5248029517247</v>
      </c>
    </row>
    <row r="96" spans="1:59" customFormat="1" outlineLevel="1">
      <c r="A96" s="534"/>
      <c r="B96" s="499"/>
      <c r="C96" s="499"/>
      <c r="D96" s="524"/>
      <c r="E96" s="524"/>
      <c r="F96" s="499"/>
      <c r="G96" s="534"/>
      <c r="H96" s="494"/>
      <c r="I96" s="525"/>
      <c r="J96" s="854"/>
      <c r="K96" s="551" t="s">
        <v>285</v>
      </c>
      <c r="L96" s="555">
        <v>5108</v>
      </c>
      <c r="M96" s="555"/>
      <c r="N96" s="525">
        <f>'EU-27_Medium_2030'!AS$32/1000000</f>
        <v>8.8171616070517977</v>
      </c>
      <c r="O96" s="525"/>
      <c r="P96" s="525"/>
      <c r="Q96" s="525">
        <f>'EU-27_High_2030-2050'!AS$33/1000000</f>
        <v>9.854474737293188</v>
      </c>
      <c r="R96" s="525"/>
      <c r="S96" s="525"/>
      <c r="T96" s="525"/>
      <c r="U96" s="525"/>
      <c r="V96" s="525"/>
      <c r="W96" s="525"/>
      <c r="X96" s="525">
        <f>'EU-27_High_2030-2050'!CN$33/1000000</f>
        <v>9.1607302805822908</v>
      </c>
      <c r="Y96" s="525"/>
      <c r="Z96" s="525"/>
      <c r="AA96" s="527">
        <f>'Conversion factors selected IV '!L66</f>
        <v>0.18914644345714046</v>
      </c>
      <c r="AB96" s="619">
        <f t="shared" si="142"/>
        <v>1.1021452008814747</v>
      </c>
      <c r="AC96" s="619">
        <f t="shared" si="117"/>
        <v>1.2318093421616485</v>
      </c>
      <c r="AD96" s="619">
        <f t="shared" si="166"/>
        <v>1.1450912850727863</v>
      </c>
      <c r="AE96" s="977">
        <f>1/'IVCs relevant in 2030'!R18/2</f>
        <v>0.125</v>
      </c>
      <c r="AF96" s="963">
        <f>1/'IVCs relevant 2040-2050'!T$18/2</f>
        <v>0.125</v>
      </c>
      <c r="AG96" s="836">
        <f t="shared" si="167"/>
        <v>0.20846684492008657</v>
      </c>
      <c r="AH96" s="530">
        <f t="shared" si="173"/>
        <v>2424.4694064206069</v>
      </c>
      <c r="AI96" s="592">
        <f t="shared" si="174"/>
        <v>0.23299235608715563</v>
      </c>
      <c r="AJ96" s="531">
        <f t="shared" si="168"/>
        <v>2709.70110129362</v>
      </c>
      <c r="AK96" s="531">
        <f t="shared" si="169"/>
        <v>0.21049761969138595</v>
      </c>
      <c r="AL96" s="1006">
        <f t="shared" si="175"/>
        <v>0.22889175306668774</v>
      </c>
      <c r="AM96" s="1007">
        <f t="shared" si="170"/>
        <v>0.21252839446268534</v>
      </c>
      <c r="AN96" s="1007">
        <f t="shared" si="119"/>
        <v>0.22479115004621986</v>
      </c>
      <c r="AO96" s="525">
        <f t="shared" si="171"/>
        <v>0.21658994400528409</v>
      </c>
      <c r="AP96" s="532"/>
      <c r="AQ96" s="532"/>
      <c r="AR96" s="532"/>
      <c r="AS96" s="533"/>
      <c r="AT96" s="533"/>
      <c r="AU96" s="533"/>
      <c r="AV96" s="534"/>
      <c r="AW96" s="534"/>
      <c r="AX96" s="534"/>
      <c r="AY96" s="534"/>
      <c r="AZ96" s="534"/>
      <c r="BA96" s="534"/>
      <c r="BB96" s="535"/>
      <c r="BC96" s="543"/>
      <c r="BD96" s="499"/>
      <c r="BE96" s="536"/>
      <c r="BF96" s="499"/>
      <c r="BG96" s="9">
        <f t="shared" si="172"/>
        <v>2518.9410487814539</v>
      </c>
    </row>
    <row r="97" spans="1:59" customFormat="1" outlineLevel="1">
      <c r="A97" s="534"/>
      <c r="B97" s="499"/>
      <c r="C97" s="499"/>
      <c r="D97" s="524"/>
      <c r="E97" s="524"/>
      <c r="F97" s="499"/>
      <c r="G97" s="534"/>
      <c r="H97" s="494"/>
      <c r="I97" s="525"/>
      <c r="J97" s="854"/>
      <c r="K97" s="551" t="s">
        <v>292</v>
      </c>
      <c r="L97" s="559">
        <v>4204</v>
      </c>
      <c r="M97" s="559"/>
      <c r="N97" s="525">
        <f>'EU-27_Medium_2030'!AD$32/1000000</f>
        <v>3.4535388863652337</v>
      </c>
      <c r="O97" s="525"/>
      <c r="P97" s="525"/>
      <c r="Q97" s="525">
        <f>'EU-27_High_2030-2050'!AD$33/1000000</f>
        <v>5.1803083295478496</v>
      </c>
      <c r="R97" s="525"/>
      <c r="S97" s="525"/>
      <c r="T97" s="525"/>
      <c r="U97" s="525"/>
      <c r="V97" s="525"/>
      <c r="W97" s="525"/>
      <c r="X97" s="525">
        <f>'EU-27_High_2030-2050'!BY$33/1000000</f>
        <v>4.4480556436504077</v>
      </c>
      <c r="Y97" s="525"/>
      <c r="Z97" s="525"/>
      <c r="AA97" s="527">
        <f>'Conversion factors selected IV '!L67</f>
        <v>0.18914644345714046</v>
      </c>
      <c r="AB97" s="619">
        <f t="shared" si="142"/>
        <v>0.34535388863652339</v>
      </c>
      <c r="AC97" s="619">
        <f t="shared" si="117"/>
        <v>0.51803083295478503</v>
      </c>
      <c r="AD97" s="619">
        <f t="shared" si="166"/>
        <v>0.44480556436504082</v>
      </c>
      <c r="AE97" s="977">
        <f>1/'IVCs relevant in 2030'!R13/2</f>
        <v>0.1</v>
      </c>
      <c r="AF97" s="963">
        <f>1/'IVCs relevant 2040-2050'!T$13/2</f>
        <v>0.1</v>
      </c>
      <c r="AG97" s="836">
        <f t="shared" si="167"/>
        <v>6.5322459769691754E-2</v>
      </c>
      <c r="AH97" s="530">
        <f t="shared" si="173"/>
        <v>759.70020712151506</v>
      </c>
      <c r="AI97" s="592">
        <f t="shared" si="174"/>
        <v>9.7983689654537617E-2</v>
      </c>
      <c r="AJ97" s="531">
        <f t="shared" si="168"/>
        <v>1139.5503106822725</v>
      </c>
      <c r="AK97" s="531">
        <f t="shared" si="169"/>
        <v>7.0025192459667221E-2</v>
      </c>
      <c r="AL97" s="1006">
        <f t="shared" si="175"/>
        <v>9.4521114873301615E-2</v>
      </c>
      <c r="AM97" s="1007">
        <f t="shared" si="170"/>
        <v>7.4727925149642688E-2</v>
      </c>
      <c r="AN97" s="1007">
        <f t="shared" si="119"/>
        <v>9.1058540092065626E-2</v>
      </c>
      <c r="AO97" s="525">
        <f t="shared" si="171"/>
        <v>8.4133390529593635E-2</v>
      </c>
      <c r="AP97" s="532"/>
      <c r="AQ97" s="532"/>
      <c r="AR97" s="532"/>
      <c r="AS97" s="533"/>
      <c r="AT97" s="533"/>
      <c r="AU97" s="533"/>
      <c r="AV97" s="534"/>
      <c r="AW97" s="534"/>
      <c r="AX97" s="534"/>
      <c r="AY97" s="534"/>
      <c r="AZ97" s="534"/>
      <c r="BA97" s="534"/>
      <c r="BB97" s="535"/>
      <c r="BC97" s="543"/>
      <c r="BD97" s="499"/>
      <c r="BE97" s="536"/>
      <c r="BF97" s="499"/>
      <c r="BG97" s="9">
        <f t="shared" si="172"/>
        <v>978.47133185917403</v>
      </c>
    </row>
    <row r="98" spans="1:59" customFormat="1" ht="29" outlineLevel="1">
      <c r="A98" s="534"/>
      <c r="B98" s="499"/>
      <c r="C98" s="499"/>
      <c r="D98" s="524"/>
      <c r="E98" s="524"/>
      <c r="F98" s="499"/>
      <c r="G98" s="534"/>
      <c r="H98" s="494"/>
      <c r="I98" s="525"/>
      <c r="J98" s="854"/>
      <c r="K98" s="551" t="s">
        <v>274</v>
      </c>
      <c r="L98" s="547" t="s">
        <v>275</v>
      </c>
      <c r="M98" s="547"/>
      <c r="N98" s="525">
        <f>SUM('EU-27_Medium_2030'!E$32+'EU-27_Medium_2030'!G$32+'EU-27_Medium_2030'!H$32+'EU-27_Medium_2030'!J$32)/1000000</f>
        <v>5.1230865023155641</v>
      </c>
      <c r="O98" s="494"/>
      <c r="P98" s="494"/>
      <c r="Q98" s="525">
        <f>SUM('EU-27_High_2030-2050'!E$33+'EU-27_High_2030-2050'!G$33+'EU-27_High_2030-2050'!H$33+'EU-27_High_2030-2050'!J$33)/1000000</f>
        <v>8.738165736490755</v>
      </c>
      <c r="R98" s="494"/>
      <c r="S98" s="494"/>
      <c r="T98" s="494"/>
      <c r="U98" s="494"/>
      <c r="V98" s="494"/>
      <c r="W98" s="494"/>
      <c r="X98" s="525">
        <f>SUM('EU-27_High_2030-2050'!AZ$33+'EU-27_High_2030-2050'!BB$33+'EU-27_High_2030-2050'!BC$33+'EU-27_High_2030-2050'!BE$33)/1000000</f>
        <v>71.430408560585576</v>
      </c>
      <c r="Y98" s="525"/>
      <c r="Z98" s="525"/>
      <c r="AA98" s="527">
        <f>'Conversion factors selected IV '!L68</f>
        <v>0.18914644345714046</v>
      </c>
      <c r="AB98" s="619">
        <f t="shared" si="142"/>
        <v>0.36593475016539739</v>
      </c>
      <c r="AC98" s="619">
        <f t="shared" si="117"/>
        <v>0.62415469546362534</v>
      </c>
      <c r="AD98" s="619">
        <f t="shared" si="166"/>
        <v>5.1021720400418262</v>
      </c>
      <c r="AE98" s="977">
        <f>1/'IVCs relevant in 2030'!R2/2</f>
        <v>7.1428571428571425E-2</v>
      </c>
      <c r="AF98" s="972">
        <f>1/'IVCs relevant 2040-2050'!T$2/2</f>
        <v>7.1428571428571425E-2</v>
      </c>
      <c r="AG98" s="836">
        <f t="shared" si="167"/>
        <v>6.9215256531162159E-2</v>
      </c>
      <c r="AH98" s="530">
        <f t="shared" si="173"/>
        <v>804.97343345741592</v>
      </c>
      <c r="AI98" s="592">
        <f t="shared" si="174"/>
        <v>0.11805664081401934</v>
      </c>
      <c r="AJ98" s="531">
        <f>AI98*11630</f>
        <v>1372.998732667045</v>
      </c>
      <c r="AK98" s="531">
        <f t="shared" si="169"/>
        <v>0.29317586621846525</v>
      </c>
      <c r="AL98" s="1006">
        <f t="shared" si="175"/>
        <v>0.32980690443060812</v>
      </c>
      <c r="AM98" s="1007">
        <f t="shared" si="170"/>
        <v>0.51713647590576828</v>
      </c>
      <c r="AN98" s="1007">
        <f>AI98+0.5*(AO98-AI98)</f>
        <v>0.54155716804719689</v>
      </c>
      <c r="AO98" s="525">
        <f t="shared" si="171"/>
        <v>0.96505769528037444</v>
      </c>
      <c r="AP98" s="532"/>
      <c r="AQ98" s="532"/>
      <c r="AR98" s="532"/>
      <c r="AS98" s="533"/>
      <c r="AT98" s="533"/>
      <c r="AU98" s="533"/>
      <c r="AV98" s="534"/>
      <c r="AW98" s="534"/>
      <c r="AX98" s="534"/>
      <c r="AY98" s="534"/>
      <c r="AZ98" s="534"/>
      <c r="BA98" s="534"/>
      <c r="BB98" s="535"/>
      <c r="BC98" s="543"/>
      <c r="BD98" s="499"/>
      <c r="BE98" s="536"/>
      <c r="BF98" s="499"/>
      <c r="BG98" s="9">
        <f t="shared" si="172"/>
        <v>11223.620996110754</v>
      </c>
    </row>
    <row r="99" spans="1:59" customFormat="1" outlineLevel="1">
      <c r="A99" s="534"/>
      <c r="B99" s="499"/>
      <c r="C99" s="499"/>
      <c r="D99" s="524"/>
      <c r="E99" s="524"/>
      <c r="F99" s="499"/>
      <c r="G99" s="534"/>
      <c r="H99" s="494"/>
      <c r="I99" s="525"/>
      <c r="J99" s="854"/>
      <c r="K99" s="551" t="s">
        <v>276</v>
      </c>
      <c r="L99" s="547" t="s">
        <v>277</v>
      </c>
      <c r="M99" s="547"/>
      <c r="N99" s="525">
        <f>SUM('EU-27_Medium_2030'!K$32+'EU-27_Medium_2030'!M$32)/1000000</f>
        <v>2.3323784509315457</v>
      </c>
      <c r="O99" s="525"/>
      <c r="P99" s="525"/>
      <c r="Q99" s="525">
        <f>SUM('EU-27_High_2030-2050'!K$33+'EU-27_High_2030-2050'!M$33)/1000000</f>
        <v>6.1393981815063317</v>
      </c>
      <c r="R99" s="525"/>
      <c r="S99" s="525"/>
      <c r="T99" s="525"/>
      <c r="U99" s="525"/>
      <c r="V99" s="525"/>
      <c r="W99" s="525"/>
      <c r="X99" s="525">
        <f>SUM('EU-27_High_2030-2050'!BF$33+'EU-27_High_2030-2050'!BH$33)/1000000</f>
        <v>14.099411675482649</v>
      </c>
      <c r="Y99" s="525"/>
      <c r="Z99" s="525"/>
      <c r="AA99" s="527">
        <f>'Conversion factors selected IV '!L69</f>
        <v>0.18914644345714046</v>
      </c>
      <c r="AB99" s="619">
        <f t="shared" si="142"/>
        <v>0.16659846078082469</v>
      </c>
      <c r="AC99" s="619">
        <f t="shared" si="117"/>
        <v>0.43852844153616655</v>
      </c>
      <c r="AD99" s="619">
        <f t="shared" si="166"/>
        <v>1.0071008339630463</v>
      </c>
      <c r="AE99" s="977">
        <f>1/'IVCs relevant in 2030'!R4/2</f>
        <v>7.1428571428571425E-2</v>
      </c>
      <c r="AF99" s="972">
        <f>1/'IVCs relevant 2040-2050'!T$4/2</f>
        <v>7.1428571428571425E-2</v>
      </c>
      <c r="AG99" s="836">
        <f t="shared" si="167"/>
        <v>3.1511506342126884E-2</v>
      </c>
      <c r="AH99" s="530">
        <f t="shared" si="173"/>
        <v>366.47881875893569</v>
      </c>
      <c r="AI99" s="592">
        <f t="shared" si="174"/>
        <v>8.294609507136845E-2</v>
      </c>
      <c r="AJ99" s="531">
        <f t="shared" si="168"/>
        <v>964.66308568001512</v>
      </c>
      <c r="AK99" s="531">
        <f t="shared" si="169"/>
        <v>7.1256014993302752E-2</v>
      </c>
      <c r="AL99" s="1006">
        <f t="shared" si="175"/>
        <v>0.10983195654023392</v>
      </c>
      <c r="AM99" s="1007">
        <f t="shared" si="170"/>
        <v>0.11100052364447863</v>
      </c>
      <c r="AN99" s="1007">
        <f t="shared" si="119"/>
        <v>0.13671781800909941</v>
      </c>
      <c r="AO99" s="525">
        <f t="shared" si="171"/>
        <v>0.19048954094683035</v>
      </c>
      <c r="AP99" s="532"/>
      <c r="AQ99" s="532"/>
      <c r="AR99" s="532"/>
      <c r="AS99" s="533"/>
      <c r="AT99" s="533"/>
      <c r="AU99" s="533"/>
      <c r="AV99" s="534"/>
      <c r="AW99" s="534"/>
      <c r="AX99" s="534"/>
      <c r="AY99" s="534"/>
      <c r="AZ99" s="534"/>
      <c r="BA99" s="534"/>
      <c r="BB99" s="535"/>
      <c r="BC99" s="543"/>
      <c r="BD99" s="499"/>
      <c r="BE99" s="536"/>
      <c r="BF99" s="499"/>
      <c r="BG99" s="9">
        <f t="shared" si="172"/>
        <v>2215.3933612116371</v>
      </c>
    </row>
    <row r="100" spans="1:59" customFormat="1" outlineLevel="1">
      <c r="A100" s="534"/>
      <c r="B100" s="499"/>
      <c r="C100" s="499"/>
      <c r="D100" s="524"/>
      <c r="E100" s="524"/>
      <c r="F100" s="499"/>
      <c r="G100" s="534"/>
      <c r="H100" s="494"/>
      <c r="I100" s="525"/>
      <c r="J100" s="854"/>
      <c r="K100" s="551" t="s">
        <v>293</v>
      </c>
      <c r="L100" s="547" t="s">
        <v>294</v>
      </c>
      <c r="M100" s="547"/>
      <c r="N100" s="525">
        <f>SUM('EU-27_Medium_2030'!C$32+'EU-27_Medium_2030'!D$32)/1000000</f>
        <v>37.416699428169103</v>
      </c>
      <c r="O100" s="525"/>
      <c r="P100" s="525"/>
      <c r="Q100" s="525">
        <f>SUM('EU-27_High_2030-2050'!C$33+'EU-27_High_2030-2050'!D$33)/1000000</f>
        <v>37.416699428169103</v>
      </c>
      <c r="R100" s="525"/>
      <c r="S100" s="525"/>
      <c r="T100" s="525"/>
      <c r="U100" s="525"/>
      <c r="V100" s="525"/>
      <c r="W100" s="525"/>
      <c r="X100" s="525">
        <f>SUM('EU-27_High_2030-2050'!AX$33+'EU-27_High_2030-2050'!AY$33)/1000000</f>
        <v>38.131780786359911</v>
      </c>
      <c r="Y100" s="525"/>
      <c r="Z100" s="525"/>
      <c r="AA100" s="527">
        <f>'Conversion factors selected IV '!L70</f>
        <v>0.20894083870265517</v>
      </c>
      <c r="AB100" s="619">
        <f t="shared" si="142"/>
        <v>3.7416699428169107</v>
      </c>
      <c r="AC100" s="619">
        <f t="shared" si="117"/>
        <v>3.7416699428169107</v>
      </c>
      <c r="AD100" s="619">
        <f t="shared" si="166"/>
        <v>3.8131780786359912</v>
      </c>
      <c r="AE100" s="977">
        <f>1/'IVCs relevant in 2030'!R6/2</f>
        <v>0.1</v>
      </c>
      <c r="AF100" s="963">
        <f>1/'IVCs relevant 2040-2050'!T$6/2</f>
        <v>0.1</v>
      </c>
      <c r="AG100" s="836">
        <f t="shared" si="167"/>
        <v>0.78178765600068112</v>
      </c>
      <c r="AH100" s="530">
        <f t="shared" si="173"/>
        <v>9092.1904392879205</v>
      </c>
      <c r="AI100" s="592">
        <f t="shared" si="174"/>
        <v>0.78178765600068112</v>
      </c>
      <c r="AJ100" s="531">
        <f t="shared" si="168"/>
        <v>9092.1904392879205</v>
      </c>
      <c r="AK100" s="531">
        <f t="shared" si="169"/>
        <v>0.7855228984687066</v>
      </c>
      <c r="AL100" s="1006">
        <f t="shared" si="175"/>
        <v>0.7855228984687066</v>
      </c>
      <c r="AM100" s="1007">
        <f t="shared" si="170"/>
        <v>0.78925814093673219</v>
      </c>
      <c r="AN100" s="1007">
        <f t="shared" si="119"/>
        <v>0.78925814093673219</v>
      </c>
      <c r="AO100" s="525">
        <f t="shared" si="171"/>
        <v>0.79672862587278326</v>
      </c>
      <c r="AP100" s="532"/>
      <c r="AQ100" s="532"/>
      <c r="AR100" s="532"/>
      <c r="AS100" s="533"/>
      <c r="AT100" s="533"/>
      <c r="AU100" s="533"/>
      <c r="AV100" s="534"/>
      <c r="AW100" s="534"/>
      <c r="AX100" s="534"/>
      <c r="AY100" s="534"/>
      <c r="AZ100" s="534"/>
      <c r="BA100" s="534"/>
      <c r="BB100" s="535"/>
      <c r="BC100" s="543"/>
      <c r="BD100" s="499"/>
      <c r="BE100" s="536"/>
      <c r="BF100" s="499"/>
      <c r="BG100" s="9">
        <f t="shared" si="172"/>
        <v>9265.9539189004699</v>
      </c>
    </row>
    <row r="101" spans="1:59" customFormat="1" ht="43.5" outlineLevel="1">
      <c r="A101" s="534"/>
      <c r="B101" s="499"/>
      <c r="C101" s="499"/>
      <c r="D101" s="524"/>
      <c r="E101" s="524"/>
      <c r="F101" s="499"/>
      <c r="G101" s="534"/>
      <c r="H101" s="494"/>
      <c r="I101" s="525"/>
      <c r="J101" s="854"/>
      <c r="K101" s="551" t="s">
        <v>270</v>
      </c>
      <c r="L101" s="547" t="s">
        <v>271</v>
      </c>
      <c r="M101" s="547"/>
      <c r="N101" s="525">
        <f>SUM('EU-27_Medium_2030'!U$32+'EU-27_Medium_2030'!V$32+'EU-27_Medium_2030'!W$32+'EU-27_Medium_2030'!X$32+'EU-27_Medium_2030'!Y$32+'EU-27_Medium_2030'!Z$32)/1000000</f>
        <v>39.28182327905342</v>
      </c>
      <c r="O101" s="525"/>
      <c r="P101" s="525"/>
      <c r="Q101" s="525">
        <f>SUM('EU-27_High_2030-2050'!U$33+'EU-27_High_2030-2050'!V$33+'EU-27_High_2030-2050'!W$33+'EU-27_High_2030-2050'!X$33+'EU-27_High_2030-2050'!Y$33+'EU-27_High_2030-2050'!Z$33)/1000000</f>
        <v>55.037292867279561</v>
      </c>
      <c r="R101" s="525"/>
      <c r="S101" s="525"/>
      <c r="T101" s="525"/>
      <c r="U101" s="525"/>
      <c r="V101" s="525"/>
      <c r="W101" s="525"/>
      <c r="X101" s="525">
        <f>SUM('EU-27_High_2030-2050'!BP$33+'EU-27_High_2030-2050'!BQ$33+'EU-27_High_2030-2050'!BR$33+'EU-27_High_2030-2050'!BS$33+'EU-27_High_2030-2050'!BT$33+'EU-27_High_2030-2050'!BU$33)/1000000</f>
        <v>58.609743205605817</v>
      </c>
      <c r="Y101" s="525"/>
      <c r="Z101" s="525"/>
      <c r="AA101" s="527">
        <f>'Conversion factors selected IV '!L71</f>
        <v>0.20894083870265517</v>
      </c>
      <c r="AB101" s="619">
        <f t="shared" si="142"/>
        <v>3.2734852732544515</v>
      </c>
      <c r="AC101" s="619">
        <f t="shared" si="117"/>
        <v>4.5864410722732964</v>
      </c>
      <c r="AD101" s="619">
        <f t="shared" si="166"/>
        <v>4.8841452671338175</v>
      </c>
      <c r="AE101" s="977">
        <f>1/'IVCs relevant in 2030'!R16/2</f>
        <v>8.3333333333333329E-2</v>
      </c>
      <c r="AF101" s="972">
        <f>1/'IVCs relevant 2040-2050'!T$16/2</f>
        <v>8.3333333333333329E-2</v>
      </c>
      <c r="AG101" s="836">
        <f t="shared" si="167"/>
        <v>0.68396475847457538</v>
      </c>
      <c r="AH101" s="530">
        <f t="shared" si="173"/>
        <v>7954.5101410593115</v>
      </c>
      <c r="AI101" s="592">
        <f t="shared" si="174"/>
        <v>0.95829484430108769</v>
      </c>
      <c r="AJ101" s="531">
        <f t="shared" si="168"/>
        <v>11144.969039221649</v>
      </c>
      <c r="AK101" s="531">
        <f t="shared" si="169"/>
        <v>0.76809792097106744</v>
      </c>
      <c r="AL101" s="1006">
        <f>AI101+0.25*(AO101-AI101)</f>
        <v>0.97384548534095172</v>
      </c>
      <c r="AM101" s="1007">
        <f t="shared" si="170"/>
        <v>0.85223108346755949</v>
      </c>
      <c r="AN101" s="1007">
        <f t="shared" si="119"/>
        <v>0.98939612638081564</v>
      </c>
      <c r="AO101" s="525">
        <f t="shared" si="171"/>
        <v>1.0204974084605436</v>
      </c>
      <c r="AP101" s="532"/>
      <c r="AQ101" s="532"/>
      <c r="AR101" s="532"/>
      <c r="AS101" s="533"/>
      <c r="AT101" s="533"/>
      <c r="AU101" s="533"/>
      <c r="AV101" s="534"/>
      <c r="AW101" s="534"/>
      <c r="AX101" s="534"/>
      <c r="AY101" s="534"/>
      <c r="AZ101" s="534"/>
      <c r="BA101" s="534"/>
      <c r="BB101" s="535"/>
      <c r="BC101" s="543"/>
      <c r="BD101" s="499"/>
      <c r="BE101" s="536"/>
      <c r="BF101" s="499"/>
      <c r="BG101" s="9">
        <f t="shared" si="172"/>
        <v>11868.384860396121</v>
      </c>
    </row>
    <row r="102" spans="1:59" customFormat="1" outlineLevel="1">
      <c r="A102" s="534"/>
      <c r="B102" s="499"/>
      <c r="C102" s="499"/>
      <c r="D102" s="524"/>
      <c r="E102" s="524"/>
      <c r="F102" s="499"/>
      <c r="G102" s="534"/>
      <c r="H102" s="494"/>
      <c r="I102" s="525"/>
      <c r="J102" s="854"/>
      <c r="K102" s="551" t="s">
        <v>295</v>
      </c>
      <c r="L102" s="547" t="s">
        <v>296</v>
      </c>
      <c r="M102" s="547"/>
      <c r="N102" s="525">
        <f>SUM('EU-27_Medium_2030'!AT$32+'EU-27_Medium_2030'!AU$32)/1000000</f>
        <v>11.766835672202422</v>
      </c>
      <c r="O102" s="525"/>
      <c r="P102" s="525"/>
      <c r="Q102" s="525">
        <f>SUM('EU-27_High_2030-2050'!AT$33+'EU-27_High_2030-2050'!AU$33)/1000000</f>
        <v>15.689114229603229</v>
      </c>
      <c r="R102" s="525"/>
      <c r="S102" s="525"/>
      <c r="T102" s="525"/>
      <c r="U102" s="525"/>
      <c r="V102" s="525"/>
      <c r="W102" s="525"/>
      <c r="X102" s="525">
        <f>SUM('EU-27_High_2030-2050'!CO$33+'EU-27_High_2030-2050'!CP$33)/1000000</f>
        <v>19.03051341926674</v>
      </c>
      <c r="Y102" s="525"/>
      <c r="Z102" s="525"/>
      <c r="AA102" s="527">
        <f>'Conversion factors selected IV '!L72</f>
        <v>0.17595017996013065</v>
      </c>
      <c r="AB102" s="619">
        <f t="shared" si="142"/>
        <v>1.1766835672202423</v>
      </c>
      <c r="AC102" s="619">
        <f t="shared" si="117"/>
        <v>1.5689114229603229</v>
      </c>
      <c r="AD102" s="619">
        <f t="shared" si="166"/>
        <v>1.9030513419266741</v>
      </c>
      <c r="AE102" s="977">
        <f>1/'IVCs relevant in 2030'!R20/2</f>
        <v>0.1</v>
      </c>
      <c r="AF102" s="963">
        <f>1/'IVCs relevant 2040-2050'!T$20/2</f>
        <v>0.1</v>
      </c>
      <c r="AG102" s="836">
        <f t="shared" si="167"/>
        <v>0.20703768540853013</v>
      </c>
      <c r="AH102" s="530">
        <f t="shared" si="173"/>
        <v>2407.8482813012051</v>
      </c>
      <c r="AI102" s="592">
        <f t="shared" si="174"/>
        <v>0.27605024721137345</v>
      </c>
      <c r="AJ102" s="531">
        <f t="shared" si="168"/>
        <v>3210.4643750682731</v>
      </c>
      <c r="AK102" s="531">
        <f t="shared" si="169"/>
        <v>0.23898882057773921</v>
      </c>
      <c r="AL102" s="1006">
        <f t="shared" si="175"/>
        <v>0.2907482419298717</v>
      </c>
      <c r="AM102" s="1007">
        <f t="shared" si="170"/>
        <v>0.27093995574694829</v>
      </c>
      <c r="AN102" s="1007">
        <f t="shared" si="119"/>
        <v>0.30544623664836995</v>
      </c>
      <c r="AO102" s="525">
        <f t="shared" si="171"/>
        <v>0.33484222608536646</v>
      </c>
      <c r="AP102" s="532"/>
      <c r="AQ102" s="532"/>
      <c r="AR102" s="532"/>
      <c r="AS102" s="533"/>
      <c r="AT102" s="533"/>
      <c r="AU102" s="533"/>
      <c r="AV102" s="534"/>
      <c r="AW102" s="534"/>
      <c r="AX102" s="534"/>
      <c r="AY102" s="534"/>
      <c r="AZ102" s="534"/>
      <c r="BA102" s="534"/>
      <c r="BB102" s="535"/>
      <c r="BC102" s="543"/>
      <c r="BD102" s="499"/>
      <c r="BE102" s="536"/>
      <c r="BF102" s="499"/>
      <c r="BG102" s="9">
        <f t="shared" si="172"/>
        <v>3894.2150893728117</v>
      </c>
    </row>
    <row r="103" spans="1:59" customFormat="1" outlineLevel="1">
      <c r="A103" s="534"/>
      <c r="B103" s="499"/>
      <c r="C103" s="499"/>
      <c r="D103" s="524"/>
      <c r="E103" s="524"/>
      <c r="F103" s="499"/>
      <c r="G103" s="534"/>
      <c r="H103" s="494"/>
      <c r="I103" s="525"/>
      <c r="J103" s="854"/>
      <c r="K103" s="924" t="s">
        <v>301</v>
      </c>
      <c r="L103" s="561"/>
      <c r="M103" s="561"/>
      <c r="N103" s="525">
        <f>$AG$119</f>
        <v>5.1880428594768198</v>
      </c>
      <c r="O103" s="525"/>
      <c r="P103" s="525"/>
      <c r="Q103" s="525">
        <f>$AI$119</f>
        <v>7.4086926412541239</v>
      </c>
      <c r="R103" s="525"/>
      <c r="S103" s="525"/>
      <c r="T103" s="525"/>
      <c r="U103" s="525"/>
      <c r="V103" s="525"/>
      <c r="W103" s="525"/>
      <c r="X103" s="525">
        <f>$AO$119</f>
        <v>8.9412320867547326</v>
      </c>
      <c r="Y103" s="494"/>
      <c r="Z103" s="494"/>
      <c r="AA103" s="957">
        <f>'Conversion factors selected IV '!L59</f>
        <v>0.32693267778692642</v>
      </c>
      <c r="AB103" s="619">
        <f t="shared" si="142"/>
        <v>0.64850535743460247</v>
      </c>
      <c r="AC103" s="619">
        <f t="shared" si="117"/>
        <v>0.92608658015676548</v>
      </c>
      <c r="AD103" s="619">
        <f t="shared" si="166"/>
        <v>2.2353080216886831</v>
      </c>
      <c r="AE103" s="970">
        <f>1/'IVCs relevant in 2030'!R22/2</f>
        <v>0.125</v>
      </c>
      <c r="AF103" s="963">
        <f>1/'IVCs relevant 2040-2050'!T7/2</f>
        <v>0.25</v>
      </c>
      <c r="AG103" s="836">
        <f t="shared" si="167"/>
        <v>0.21201759306526244</v>
      </c>
      <c r="AH103" s="530">
        <f t="shared" si="173"/>
        <v>2465.7646073490023</v>
      </c>
      <c r="AI103" s="592">
        <f t="shared" si="174"/>
        <v>0.30276796551318841</v>
      </c>
      <c r="AJ103" s="531">
        <f t="shared" si="168"/>
        <v>3521.1914389183812</v>
      </c>
      <c r="AK103" s="531">
        <f t="shared" si="169"/>
        <v>0.34171200410126634</v>
      </c>
      <c r="AL103" s="1006">
        <f t="shared" si="175"/>
        <v>0.40977478343721085</v>
      </c>
      <c r="AM103" s="1007">
        <f t="shared" si="170"/>
        <v>0.47140641513727033</v>
      </c>
      <c r="AN103" s="1007">
        <f t="shared" si="119"/>
        <v>0.5167816013612333</v>
      </c>
      <c r="AO103" s="525">
        <f t="shared" si="171"/>
        <v>0.73079523720927819</v>
      </c>
      <c r="AP103" s="532"/>
      <c r="AQ103" s="532"/>
      <c r="AR103" s="532"/>
      <c r="AS103" s="533"/>
      <c r="AT103" s="533"/>
      <c r="AU103" s="533"/>
      <c r="AV103" s="534"/>
      <c r="AW103" s="534"/>
      <c r="AX103" s="534"/>
      <c r="AY103" s="534"/>
      <c r="AZ103" s="534"/>
      <c r="BA103" s="534"/>
      <c r="BB103" s="535"/>
      <c r="BC103" s="543"/>
      <c r="BD103" s="499"/>
      <c r="BE103" s="536"/>
      <c r="BF103" s="499"/>
    </row>
    <row r="104" spans="1:59" s="601" customFormat="1">
      <c r="A104" s="563" t="s">
        <v>22</v>
      </c>
      <c r="B104" s="563" t="s">
        <v>23</v>
      </c>
      <c r="C104" s="563" t="s">
        <v>57</v>
      </c>
      <c r="D104" s="563" t="s">
        <v>220</v>
      </c>
      <c r="E104" s="563" t="s">
        <v>90</v>
      </c>
      <c r="F104" s="563" t="s">
        <v>641</v>
      </c>
      <c r="G104" s="598" t="s">
        <v>35</v>
      </c>
      <c r="H104" s="515">
        <v>1</v>
      </c>
      <c r="I104" s="593">
        <v>172.95924105520081</v>
      </c>
      <c r="J104" s="853" t="s">
        <v>1030</v>
      </c>
      <c r="K104" s="593" t="s">
        <v>950</v>
      </c>
      <c r="L104" s="593"/>
      <c r="M104" s="593"/>
      <c r="N104" s="593">
        <f>SUM(N105:N114)</f>
        <v>252.76748695189718</v>
      </c>
      <c r="O104" s="593">
        <v>477.66891467214953</v>
      </c>
      <c r="P104" s="593">
        <v>174.23597692179897</v>
      </c>
      <c r="Q104" s="593">
        <f>SUM(Q105:Q114)</f>
        <v>365.13131220918297</v>
      </c>
      <c r="R104" s="593"/>
      <c r="S104" s="593">
        <v>323.73594297882539</v>
      </c>
      <c r="T104" s="593">
        <v>529.84507951627268</v>
      </c>
      <c r="U104" s="593">
        <v>175.51271278839712</v>
      </c>
      <c r="V104" s="593">
        <v>335.00801534812865</v>
      </c>
      <c r="W104" s="593"/>
      <c r="X104" s="593">
        <f>SUM(X105:X114)</f>
        <v>443.1999555288649</v>
      </c>
      <c r="Y104" s="593">
        <f t="shared" ref="Y104:AD104" si="176">SUM(Y105:Y114)</f>
        <v>0</v>
      </c>
      <c r="Z104" s="593">
        <f t="shared" si="176"/>
        <v>0</v>
      </c>
      <c r="AA104" s="593"/>
      <c r="AB104" s="593">
        <f t="shared" si="176"/>
        <v>20.877790799808285</v>
      </c>
      <c r="AC104" s="593">
        <f t="shared" si="176"/>
        <v>29.472069492902442</v>
      </c>
      <c r="AD104" s="593">
        <f t="shared" si="176"/>
        <v>35.227045068940598</v>
      </c>
      <c r="AE104" s="594"/>
      <c r="AF104" s="594"/>
      <c r="AG104" s="594">
        <f>SUM(AG105:AG114)</f>
        <v>2.0345583351788266</v>
      </c>
      <c r="AH104" s="595">
        <f t="shared" ref="AH104:AN104" si="177">SUM(AH105:AH114)</f>
        <v>23661.913438129752</v>
      </c>
      <c r="AI104" s="595">
        <f>SUM(AI105:AI114)</f>
        <v>1.6258426707415721</v>
      </c>
      <c r="AJ104" s="595">
        <f t="shared" si="177"/>
        <v>18908.550260724482</v>
      </c>
      <c r="AK104" s="595">
        <f t="shared" si="177"/>
        <v>2.3770904164709452</v>
      </c>
      <c r="AL104" s="595">
        <f>SUM(AL105:AL114)</f>
        <v>2.0705536681430043</v>
      </c>
      <c r="AM104" s="595">
        <f t="shared" si="177"/>
        <v>2.7196224977630639</v>
      </c>
      <c r="AN104" s="595">
        <f t="shared" si="177"/>
        <v>2.5152646655444366</v>
      </c>
      <c r="AO104" s="593">
        <f>SUM(AO105:AO114)</f>
        <v>3.4046866603473007</v>
      </c>
      <c r="AP104" s="596">
        <v>22.442503287543463</v>
      </c>
      <c r="AQ104" s="596"/>
      <c r="AR104" s="596"/>
      <c r="AS104" s="597">
        <f>AG104/AP104</f>
        <v>9.065647932011632E-2</v>
      </c>
      <c r="AT104" s="597"/>
      <c r="AU104" s="597"/>
      <c r="AV104" s="598" t="s">
        <v>70</v>
      </c>
      <c r="AW104" s="598" t="s">
        <v>68</v>
      </c>
      <c r="AX104" s="598" t="s">
        <v>69</v>
      </c>
      <c r="AY104" s="598" t="s">
        <v>73</v>
      </c>
      <c r="AZ104" s="598" t="s">
        <v>73</v>
      </c>
      <c r="BA104" s="598" t="s">
        <v>73</v>
      </c>
      <c r="BB104" s="599">
        <v>0.88</v>
      </c>
      <c r="BC104" s="602" t="s">
        <v>61</v>
      </c>
      <c r="BD104" s="563">
        <v>8.1999999999999993</v>
      </c>
      <c r="BE104" s="600">
        <v>63.399999999999991</v>
      </c>
      <c r="BF104" s="563">
        <v>81.8</v>
      </c>
      <c r="BG104" s="593">
        <f>SUM(BG105:BG114)</f>
        <v>37499.448095300038</v>
      </c>
    </row>
    <row r="105" spans="1:59" customFormat="1" ht="29" outlineLevel="1">
      <c r="A105" s="534"/>
      <c r="B105" s="499"/>
      <c r="C105" s="499"/>
      <c r="D105" s="524"/>
      <c r="E105" s="935"/>
      <c r="F105" s="499"/>
      <c r="G105" s="534"/>
      <c r="H105" s="494"/>
      <c r="I105" s="525"/>
      <c r="J105" s="854"/>
      <c r="K105" s="551" t="s">
        <v>272</v>
      </c>
      <c r="L105" s="547" t="s">
        <v>273</v>
      </c>
      <c r="M105" s="547"/>
      <c r="N105" s="538">
        <f>SUM('EU-27_Medium_2030'!N$32+'EU-27_Medium_2030'!O$32+'EU-27_Medium_2030'!P$32)/1000000</f>
        <v>130.89263574041894</v>
      </c>
      <c r="O105" s="538"/>
      <c r="P105" s="538"/>
      <c r="Q105" s="538">
        <f>SUM('EU-27_High_2030-2050'!BI$33+'EU-27_High_2030-2050'!BJ$33+'EU-27_High_2030-2050'!BK$33)/1000000</f>
        <v>207.40944074964315</v>
      </c>
      <c r="R105" s="538"/>
      <c r="S105" s="538"/>
      <c r="T105" s="538"/>
      <c r="U105" s="538"/>
      <c r="V105" s="538"/>
      <c r="W105" s="538"/>
      <c r="X105" s="538">
        <f>SUM('EU-27_High_2030-2050'!BI$33+'EU-27_High_2030-2050'!BJ$33+'EU-27_High_2030-2050'!BK$33)/1000000</f>
        <v>207.40944074964315</v>
      </c>
      <c r="Y105" s="538"/>
      <c r="Z105" s="538"/>
      <c r="AA105" s="527">
        <f>'Conversion factors selected IV '!L$75</f>
        <v>9.2423830325648368E-2</v>
      </c>
      <c r="AB105" s="619">
        <f t="shared" si="142"/>
        <v>9.3494739814584946</v>
      </c>
      <c r="AC105" s="619">
        <f t="shared" si="117"/>
        <v>14.814960053545938</v>
      </c>
      <c r="AD105" s="619">
        <f t="shared" si="166"/>
        <v>14.814960053545938</v>
      </c>
      <c r="AE105" s="977">
        <f>1/'IVCs relevant in 2030'!R8/2</f>
        <v>7.1428571428571425E-2</v>
      </c>
      <c r="AF105" s="972">
        <f>1/'IVCs relevant 2040-2050'!T$8/2</f>
        <v>7.1428571428571425E-2</v>
      </c>
      <c r="AG105" s="630">
        <f t="shared" ref="AG105:AG114" si="178">N105*AA105*AE105</f>
        <v>0.86411419689638402</v>
      </c>
      <c r="AH105" s="530">
        <f>AG105*11630</f>
        <v>10049.648109904947</v>
      </c>
      <c r="AI105" s="592">
        <f>Q105*AA105*AE105*0.1</f>
        <v>0.13692553542701882</v>
      </c>
      <c r="AJ105" s="531">
        <f t="shared" ref="AJ105:AJ117" si="179">AI105*11630</f>
        <v>1592.4439770162289</v>
      </c>
      <c r="AK105" s="531">
        <f t="shared" ref="AK105:AK114" si="180">AG105+0.25*(AO105-AG105)</f>
        <v>0.99039948623983509</v>
      </c>
      <c r="AL105" s="1006">
        <f>AI105+0.25*(AO105-AI105)</f>
        <v>0.44500799013781112</v>
      </c>
      <c r="AM105" s="1007">
        <f t="shared" ref="AM105:AM114" si="181">AG105+0.5*(AO105-AG105)</f>
        <v>1.116684775583286</v>
      </c>
      <c r="AN105" s="1007">
        <f t="shared" si="119"/>
        <v>0.75309044484860344</v>
      </c>
      <c r="AO105" s="525">
        <f t="shared" ref="AO105:AO114" si="182">X105*AA105*AF105</f>
        <v>1.3692553542701882</v>
      </c>
      <c r="AP105" s="532"/>
      <c r="AQ105" s="532"/>
      <c r="AR105" s="532"/>
      <c r="AS105" s="533"/>
      <c r="AT105" s="533"/>
      <c r="AU105" s="533"/>
      <c r="AV105" s="534"/>
      <c r="AW105" s="534"/>
      <c r="AX105" s="534"/>
      <c r="AY105" s="534"/>
      <c r="AZ105" s="534"/>
      <c r="BA105" s="534"/>
      <c r="BB105" s="535"/>
      <c r="BC105" s="543"/>
      <c r="BD105" s="499"/>
      <c r="BE105" s="536"/>
      <c r="BF105" s="499"/>
      <c r="BG105" s="9">
        <f t="shared" ref="BG105:BG110" si="183">AO105*11630</f>
        <v>15924.439770162289</v>
      </c>
    </row>
    <row r="106" spans="1:59" customFormat="1" ht="29" outlineLevel="1">
      <c r="A106" s="534"/>
      <c r="B106" s="499"/>
      <c r="C106" s="499"/>
      <c r="D106" s="524"/>
      <c r="E106" s="524"/>
      <c r="F106" s="499"/>
      <c r="G106" s="534"/>
      <c r="H106" s="494"/>
      <c r="I106" s="525"/>
      <c r="J106" s="854"/>
      <c r="K106" s="551" t="s">
        <v>1065</v>
      </c>
      <c r="L106" s="547" t="s">
        <v>291</v>
      </c>
      <c r="M106" s="547"/>
      <c r="N106" s="525">
        <f>SUM('EU-27_Medium_2030'!Q$32+'EU-27_Medium_2030'!R$32)/1000000</f>
        <v>8.4952845259123446</v>
      </c>
      <c r="O106" s="525"/>
      <c r="P106" s="525"/>
      <c r="Q106" s="525">
        <f>SUM('EU-27_High_2030-2050'!Q$33+'EU-27_High_2030-2050'!R$33+'EU-27_High_2030-2050'!AE$33)/1000000</f>
        <v>12.257725308395727</v>
      </c>
      <c r="R106" s="525"/>
      <c r="S106" s="525"/>
      <c r="T106" s="525"/>
      <c r="U106" s="525"/>
      <c r="V106" s="525"/>
      <c r="W106" s="525"/>
      <c r="X106" s="525">
        <f>SUM('EU-27_High_2030-2050'!BL$33+'EU-27_High_2030-2050'!BM$33+'EU-27_High_2030-2050'!BZ$33)/1000000</f>
        <v>11.938639120933642</v>
      </c>
      <c r="Y106" s="525"/>
      <c r="Z106" s="525"/>
      <c r="AA106" s="527">
        <f>'Conversion factors selected IV '!L$76</f>
        <v>9.2423830325648368E-2</v>
      </c>
      <c r="AB106" s="619">
        <f t="shared" si="142"/>
        <v>0.70794037715936198</v>
      </c>
      <c r="AC106" s="619">
        <f t="shared" si="117"/>
        <v>1.0214771090329773</v>
      </c>
      <c r="AD106" s="619">
        <f t="shared" si="166"/>
        <v>0.99488659341113683</v>
      </c>
      <c r="AE106" s="977">
        <f>1/'IVCs relevant in 2030'!R9/2</f>
        <v>8.3333333333333329E-2</v>
      </c>
      <c r="AF106" s="977">
        <f>1/'IVCs relevant 2040-2050'!T$9/2</f>
        <v>8.3333333333333329E-2</v>
      </c>
      <c r="AG106" s="630">
        <f t="shared" si="178"/>
        <v>6.5430561299252385E-2</v>
      </c>
      <c r="AH106" s="530">
        <f t="shared" ref="AH106:AH114" si="184">AG106*11630</f>
        <v>760.95742791030523</v>
      </c>
      <c r="AI106" s="592">
        <f t="shared" ref="AI106:AI114" si="185">Q106*AA106*AE106</f>
        <v>9.4408827006797702E-2</v>
      </c>
      <c r="AJ106" s="531">
        <f t="shared" si="179"/>
        <v>1097.9746580890574</v>
      </c>
      <c r="AK106" s="531">
        <f t="shared" si="180"/>
        <v>7.20607284001126E-2</v>
      </c>
      <c r="AL106" s="1006">
        <f t="shared" si="175"/>
        <v>9.3794427680771578E-2</v>
      </c>
      <c r="AM106" s="1007">
        <f t="shared" si="181"/>
        <v>7.8690895500972802E-2</v>
      </c>
      <c r="AN106" s="1007">
        <f t="shared" si="119"/>
        <v>9.3180028354745453E-2</v>
      </c>
      <c r="AO106" s="525">
        <f t="shared" si="182"/>
        <v>9.1951229702693218E-2</v>
      </c>
      <c r="AP106" s="532"/>
      <c r="AQ106" s="532"/>
      <c r="AR106" s="532"/>
      <c r="AS106" s="533"/>
      <c r="AT106" s="533"/>
      <c r="AU106" s="533"/>
      <c r="AV106" s="534"/>
      <c r="AW106" s="534"/>
      <c r="AX106" s="534"/>
      <c r="AY106" s="534"/>
      <c r="AZ106" s="534"/>
      <c r="BA106" s="534"/>
      <c r="BB106" s="535"/>
      <c r="BC106" s="543"/>
      <c r="BD106" s="499"/>
      <c r="BE106" s="536"/>
      <c r="BF106" s="499"/>
      <c r="BG106" s="9">
        <f t="shared" si="183"/>
        <v>1069.392801442322</v>
      </c>
    </row>
    <row r="107" spans="1:59" customFormat="1" outlineLevel="1">
      <c r="A107" s="534"/>
      <c r="B107" s="499"/>
      <c r="C107" s="499"/>
      <c r="D107" s="524"/>
      <c r="E107" s="524"/>
      <c r="F107" s="499"/>
      <c r="G107" s="534"/>
      <c r="H107" s="494"/>
      <c r="I107" s="525"/>
      <c r="J107" s="854"/>
      <c r="K107" s="551" t="s">
        <v>285</v>
      </c>
      <c r="L107" s="555">
        <v>5108</v>
      </c>
      <c r="M107" s="555"/>
      <c r="N107" s="525">
        <f>'EU-27_Medium_2030'!AS$32/1000000</f>
        <v>8.8171616070517977</v>
      </c>
      <c r="O107" s="525"/>
      <c r="P107" s="525"/>
      <c r="Q107" s="525">
        <f>'EU-27_High_2030-2050'!AS$33/1000000</f>
        <v>9.854474737293188</v>
      </c>
      <c r="R107" s="525"/>
      <c r="S107" s="525"/>
      <c r="T107" s="525"/>
      <c r="U107" s="525"/>
      <c r="V107" s="525"/>
      <c r="W107" s="525"/>
      <c r="X107" s="525">
        <f>'EU-27_High_2030-2050'!CN$33/1000000</f>
        <v>9.1607302805822908</v>
      </c>
      <c r="Y107" s="525"/>
      <c r="Z107" s="525"/>
      <c r="AA107" s="527">
        <f>'Conversion factors selected IV '!L$77</f>
        <v>9.2423830325648368E-2</v>
      </c>
      <c r="AB107" s="619">
        <f t="shared" si="142"/>
        <v>1.1021452008814747</v>
      </c>
      <c r="AC107" s="619">
        <f t="shared" si="117"/>
        <v>1.2318093421616485</v>
      </c>
      <c r="AD107" s="619">
        <f t="shared" si="166"/>
        <v>1.1450912850727863</v>
      </c>
      <c r="AE107" s="977">
        <f>1/'IVCs relevant in 2030'!R18/2</f>
        <v>0.125</v>
      </c>
      <c r="AF107" s="963">
        <f>1/'IVCs relevant 2040-2050'!T$18/2</f>
        <v>0.125</v>
      </c>
      <c r="AG107" s="630">
        <f t="shared" si="178"/>
        <v>0.10186448104049706</v>
      </c>
      <c r="AH107" s="530">
        <f t="shared" si="184"/>
        <v>1184.6839145009808</v>
      </c>
      <c r="AI107" s="592">
        <f t="shared" si="185"/>
        <v>0.11384853763349674</v>
      </c>
      <c r="AJ107" s="531">
        <f t="shared" si="179"/>
        <v>1324.0584926775671</v>
      </c>
      <c r="AK107" s="531">
        <f t="shared" si="180"/>
        <v>0.10285679144010926</v>
      </c>
      <c r="AL107" s="1006">
        <f t="shared" si="175"/>
        <v>0.11184483388485902</v>
      </c>
      <c r="AM107" s="1007">
        <f t="shared" si="181"/>
        <v>0.10384910183972146</v>
      </c>
      <c r="AN107" s="1007">
        <f t="shared" si="119"/>
        <v>0.10984113013622129</v>
      </c>
      <c r="AO107" s="525">
        <f t="shared" si="182"/>
        <v>0.10583372263894585</v>
      </c>
      <c r="AP107" s="532"/>
      <c r="AQ107" s="532"/>
      <c r="AR107" s="532"/>
      <c r="AS107" s="533"/>
      <c r="AT107" s="533"/>
      <c r="AU107" s="533"/>
      <c r="AV107" s="534"/>
      <c r="AW107" s="534"/>
      <c r="AX107" s="534"/>
      <c r="AY107" s="534"/>
      <c r="AZ107" s="534"/>
      <c r="BA107" s="534"/>
      <c r="BB107" s="535"/>
      <c r="BC107" s="543"/>
      <c r="BD107" s="499"/>
      <c r="BE107" s="536"/>
      <c r="BF107" s="499"/>
      <c r="BG107" s="9">
        <f t="shared" si="183"/>
        <v>1230.8461942909403</v>
      </c>
    </row>
    <row r="108" spans="1:59" customFormat="1" outlineLevel="1">
      <c r="A108" s="534"/>
      <c r="B108" s="499"/>
      <c r="C108" s="499"/>
      <c r="D108" s="524"/>
      <c r="E108" s="524"/>
      <c r="F108" s="499"/>
      <c r="G108" s="534"/>
      <c r="H108" s="494"/>
      <c r="I108" s="525"/>
      <c r="J108" s="854"/>
      <c r="K108" s="551" t="s">
        <v>292</v>
      </c>
      <c r="L108" s="559">
        <v>4204</v>
      </c>
      <c r="M108" s="559"/>
      <c r="N108" s="525">
        <f>'EU-27_Medium_2030'!AD$32/1000000</f>
        <v>3.4535388863652337</v>
      </c>
      <c r="O108" s="525"/>
      <c r="P108" s="525"/>
      <c r="Q108" s="525">
        <f>'EU-27_High_2030-2050'!AD$33/1000000</f>
        <v>5.1803083295478496</v>
      </c>
      <c r="R108" s="525"/>
      <c r="S108" s="525"/>
      <c r="T108" s="525"/>
      <c r="U108" s="525"/>
      <c r="V108" s="525"/>
      <c r="W108" s="525"/>
      <c r="X108" s="525">
        <f>'EU-27_High_2030-2050'!BY$33/1000000</f>
        <v>4.4480556436504077</v>
      </c>
      <c r="Y108" s="525"/>
      <c r="Z108" s="525"/>
      <c r="AA108" s="527">
        <f>'Conversion factors selected IV '!L$78</f>
        <v>9.2423830325648368E-2</v>
      </c>
      <c r="AB108" s="619">
        <f t="shared" si="142"/>
        <v>0.34535388863652339</v>
      </c>
      <c r="AC108" s="619">
        <f t="shared" si="117"/>
        <v>0.51803083295478503</v>
      </c>
      <c r="AD108" s="619">
        <f t="shared" si="166"/>
        <v>0.44480556436504082</v>
      </c>
      <c r="AE108" s="977">
        <f>1/'IVCs relevant in 2030'!R13/2</f>
        <v>0.1</v>
      </c>
      <c r="AF108" s="963">
        <f>1/'IVCs relevant 2040-2050'!T$13/2</f>
        <v>0.1</v>
      </c>
      <c r="AG108" s="630">
        <f t="shared" si="178"/>
        <v>3.1918929205644896E-2</v>
      </c>
      <c r="AH108" s="530">
        <f t="shared" si="184"/>
        <v>371.21714666165013</v>
      </c>
      <c r="AI108" s="592">
        <f t="shared" si="185"/>
        <v>4.787839380846734E-2</v>
      </c>
      <c r="AJ108" s="531">
        <f t="shared" si="179"/>
        <v>556.82571999247511</v>
      </c>
      <c r="AK108" s="531">
        <f t="shared" si="180"/>
        <v>3.4216855406428368E-2</v>
      </c>
      <c r="AL108" s="1006">
        <f t="shared" si="175"/>
        <v>4.6186453858545203E-2</v>
      </c>
      <c r="AM108" s="1007">
        <f t="shared" si="181"/>
        <v>3.6514781607211846E-2</v>
      </c>
      <c r="AN108" s="1007">
        <f t="shared" si="119"/>
        <v>4.4494513908623065E-2</v>
      </c>
      <c r="AO108" s="525">
        <f t="shared" si="182"/>
        <v>4.111063400877879E-2</v>
      </c>
      <c r="AP108" s="532"/>
      <c r="AQ108" s="532"/>
      <c r="AR108" s="532"/>
      <c r="AS108" s="533"/>
      <c r="AT108" s="533"/>
      <c r="AU108" s="533"/>
      <c r="AV108" s="534"/>
      <c r="AW108" s="534"/>
      <c r="AX108" s="534"/>
      <c r="AY108" s="534"/>
      <c r="AZ108" s="534"/>
      <c r="BA108" s="534"/>
      <c r="BB108" s="535"/>
      <c r="BC108" s="543"/>
      <c r="BD108" s="499"/>
      <c r="BE108" s="536"/>
      <c r="BF108" s="499"/>
      <c r="BG108" s="9">
        <f t="shared" si="183"/>
        <v>478.11667352209736</v>
      </c>
    </row>
    <row r="109" spans="1:59" customFormat="1" ht="29" outlineLevel="1">
      <c r="A109" s="534"/>
      <c r="B109" s="499"/>
      <c r="C109" s="499"/>
      <c r="D109" s="524"/>
      <c r="E109" s="524"/>
      <c r="F109" s="499"/>
      <c r="G109" s="534"/>
      <c r="H109" s="494"/>
      <c r="I109" s="525"/>
      <c r="J109" s="854"/>
      <c r="K109" s="551" t="s">
        <v>274</v>
      </c>
      <c r="L109" s="547" t="s">
        <v>275</v>
      </c>
      <c r="M109" s="547"/>
      <c r="N109" s="525">
        <f>SUM('EU-27_Medium_2030'!E$32+'EU-27_Medium_2030'!G$32+'EU-27_Medium_2030'!H$32+'EU-27_Medium_2030'!J$32)/1000000</f>
        <v>5.1230865023155641</v>
      </c>
      <c r="O109" s="494"/>
      <c r="P109" s="494"/>
      <c r="Q109" s="525">
        <f>SUM('EU-27_High_2030-2050'!E$33+'EU-27_High_2030-2050'!G$33+'EU-27_High_2030-2050'!H$33+'EU-27_High_2030-2050'!J$33)/1000000</f>
        <v>8.738165736490755</v>
      </c>
      <c r="R109" s="494"/>
      <c r="S109" s="494"/>
      <c r="T109" s="494"/>
      <c r="U109" s="494"/>
      <c r="V109" s="494"/>
      <c r="W109" s="494"/>
      <c r="X109" s="525">
        <f>SUM('EU-27_High_2030-2050'!AZ$33+'EU-27_High_2030-2050'!BB$33+'EU-27_High_2030-2050'!BC$33+'EU-27_High_2030-2050'!BE$33)/1000000</f>
        <v>71.430408560585576</v>
      </c>
      <c r="Y109" s="525"/>
      <c r="Z109" s="525"/>
      <c r="AA109" s="527">
        <f>'Conversion factors selected IV '!L$79</f>
        <v>9.2423830325648368E-2</v>
      </c>
      <c r="AB109" s="619">
        <f t="shared" si="142"/>
        <v>0.36593475016539739</v>
      </c>
      <c r="AC109" s="619">
        <f t="shared" si="117"/>
        <v>0.62415469546362534</v>
      </c>
      <c r="AD109" s="619">
        <f t="shared" si="166"/>
        <v>5.1021720400418262</v>
      </c>
      <c r="AE109" s="977">
        <f>1/'IVCs relevant in 2030'!R2/2</f>
        <v>7.1428571428571425E-2</v>
      </c>
      <c r="AF109" s="972">
        <f>1/'IVCs relevant 2040-2050'!T$2/2</f>
        <v>7.1428571428571425E-2</v>
      </c>
      <c r="AG109" s="630">
        <f t="shared" si="178"/>
        <v>3.3821091259545216E-2</v>
      </c>
      <c r="AH109" s="530">
        <f t="shared" si="184"/>
        <v>393.33929134851087</v>
      </c>
      <c r="AI109" s="592">
        <f t="shared" si="185"/>
        <v>5.7686767670486833E-2</v>
      </c>
      <c r="AJ109" s="531">
        <f t="shared" si="179"/>
        <v>670.89710800776186</v>
      </c>
      <c r="AK109" s="531">
        <f t="shared" si="180"/>
        <v>0.14325638917493216</v>
      </c>
      <c r="AL109" s="1006">
        <f t="shared" si="175"/>
        <v>0.16115564648313838</v>
      </c>
      <c r="AM109" s="1007">
        <f t="shared" si="181"/>
        <v>0.25269168709031908</v>
      </c>
      <c r="AN109" s="1007">
        <f t="shared" si="119"/>
        <v>0.26462452529578995</v>
      </c>
      <c r="AO109" s="525">
        <f t="shared" si="182"/>
        <v>0.47156228292109298</v>
      </c>
      <c r="AP109" s="532"/>
      <c r="AQ109" s="532"/>
      <c r="AR109" s="532"/>
      <c r="AS109" s="533"/>
      <c r="AT109" s="533"/>
      <c r="AU109" s="533"/>
      <c r="AV109" s="534"/>
      <c r="AW109" s="534"/>
      <c r="AX109" s="534"/>
      <c r="AY109" s="534"/>
      <c r="AZ109" s="534"/>
      <c r="BA109" s="534"/>
      <c r="BB109" s="535"/>
      <c r="BC109" s="543"/>
      <c r="BD109" s="499"/>
      <c r="BE109" s="536"/>
      <c r="BF109" s="499"/>
      <c r="BG109" s="9">
        <f t="shared" si="183"/>
        <v>5484.2693503723112</v>
      </c>
    </row>
    <row r="110" spans="1:59" customFormat="1" outlineLevel="1">
      <c r="A110" s="534"/>
      <c r="B110" s="499"/>
      <c r="C110" s="499"/>
      <c r="D110" s="524"/>
      <c r="E110" s="524"/>
      <c r="F110" s="499"/>
      <c r="G110" s="534"/>
      <c r="H110" s="494"/>
      <c r="I110" s="525"/>
      <c r="J110" s="854"/>
      <c r="K110" s="551" t="s">
        <v>276</v>
      </c>
      <c r="L110" s="547" t="s">
        <v>277</v>
      </c>
      <c r="M110" s="547"/>
      <c r="N110" s="525">
        <f>SUM('EU-27_Medium_2030'!K$32+'EU-27_Medium_2030'!M$32)/1000000</f>
        <v>2.3323784509315457</v>
      </c>
      <c r="O110" s="525"/>
      <c r="P110" s="525"/>
      <c r="Q110" s="525">
        <f>SUM('EU-27_High_2030-2050'!K$33+'EU-27_High_2030-2050'!M$33)/1000000</f>
        <v>6.1393981815063317</v>
      </c>
      <c r="R110" s="525"/>
      <c r="S110" s="525"/>
      <c r="T110" s="525"/>
      <c r="U110" s="525"/>
      <c r="V110" s="525"/>
      <c r="W110" s="525"/>
      <c r="X110" s="525">
        <f>SUM('EU-27_High_2030-2050'!BF$33+'EU-27_High_2030-2050'!BH$33)/1000000</f>
        <v>14.099411675482649</v>
      </c>
      <c r="Y110" s="525"/>
      <c r="Z110" s="525"/>
      <c r="AA110" s="527">
        <f>'Conversion factors selected IV '!L$80</f>
        <v>9.2423830325648368E-2</v>
      </c>
      <c r="AB110" s="619">
        <f t="shared" si="142"/>
        <v>0.16659846078082469</v>
      </c>
      <c r="AC110" s="619">
        <f t="shared" si="117"/>
        <v>0.43852844153616655</v>
      </c>
      <c r="AD110" s="619">
        <f t="shared" si="166"/>
        <v>1.0071008339630463</v>
      </c>
      <c r="AE110" s="977">
        <f>1/'IVCs relevant in 2030'!R4/2</f>
        <v>7.1428571428571425E-2</v>
      </c>
      <c r="AF110" s="972">
        <f>1/'IVCs relevant 2040-2050'!T$4/2</f>
        <v>7.1428571428571425E-2</v>
      </c>
      <c r="AG110" s="630">
        <f t="shared" si="178"/>
        <v>1.5397667871721124E-2</v>
      </c>
      <c r="AH110" s="530">
        <f t="shared" si="184"/>
        <v>179.07487734811667</v>
      </c>
      <c r="AI110" s="592">
        <f t="shared" si="185"/>
        <v>4.0530478273509661E-2</v>
      </c>
      <c r="AJ110" s="531">
        <f t="shared" si="179"/>
        <v>471.36946232091736</v>
      </c>
      <c r="AK110" s="531">
        <f t="shared" si="180"/>
        <v>3.481828005354573E-2</v>
      </c>
      <c r="AL110" s="1006">
        <f t="shared" si="175"/>
        <v>5.3667887854887138E-2</v>
      </c>
      <c r="AM110" s="1007">
        <f t="shared" si="181"/>
        <v>5.4238892235370338E-2</v>
      </c>
      <c r="AN110" s="1007">
        <f t="shared" si="119"/>
        <v>6.6805297436264607E-2</v>
      </c>
      <c r="AO110" s="525">
        <f t="shared" si="182"/>
        <v>9.3080116599019561E-2</v>
      </c>
      <c r="AP110" s="532"/>
      <c r="AQ110" s="532"/>
      <c r="AR110" s="532"/>
      <c r="AS110" s="533"/>
      <c r="AT110" s="533"/>
      <c r="AU110" s="533"/>
      <c r="AV110" s="534"/>
      <c r="AW110" s="534"/>
      <c r="AX110" s="534"/>
      <c r="AY110" s="534"/>
      <c r="AZ110" s="534"/>
      <c r="BA110" s="534"/>
      <c r="BB110" s="535"/>
      <c r="BC110" s="543"/>
      <c r="BD110" s="499"/>
      <c r="BE110" s="536"/>
      <c r="BF110" s="499"/>
      <c r="BG110" s="9">
        <f t="shared" si="183"/>
        <v>1082.5217560465976</v>
      </c>
    </row>
    <row r="111" spans="1:59" customFormat="1" outlineLevel="1">
      <c r="A111" s="534"/>
      <c r="B111" s="499"/>
      <c r="C111" s="499"/>
      <c r="D111" s="524"/>
      <c r="E111" s="524"/>
      <c r="F111" s="499"/>
      <c r="G111" s="534"/>
      <c r="H111" s="494"/>
      <c r="I111" s="525"/>
      <c r="J111" s="854"/>
      <c r="K111" s="551" t="s">
        <v>293</v>
      </c>
      <c r="L111" s="547" t="s">
        <v>294</v>
      </c>
      <c r="M111" s="547"/>
      <c r="N111" s="525">
        <f>SUM('EU-27_Medium_2030'!C$32+'EU-27_Medium_2030'!D$32)/1000000</f>
        <v>37.416699428169103</v>
      </c>
      <c r="O111" s="525"/>
      <c r="P111" s="525"/>
      <c r="Q111" s="525">
        <f>SUM('EU-27_High_2030-2050'!C$33+'EU-27_High_2030-2050'!D$33)/1000000</f>
        <v>37.416699428169103</v>
      </c>
      <c r="R111" s="525"/>
      <c r="S111" s="525"/>
      <c r="T111" s="525"/>
      <c r="U111" s="525"/>
      <c r="V111" s="525"/>
      <c r="W111" s="525"/>
      <c r="X111" s="525">
        <f>SUM('EU-27_High_2030-2050'!AX$33+'EU-27_High_2030-2050'!AY$33)/1000000</f>
        <v>38.131780786359911</v>
      </c>
      <c r="Y111" s="525"/>
      <c r="Z111" s="525"/>
      <c r="AA111" s="527">
        <f>'Conversion factors selected IV '!L$81</f>
        <v>0.10209609163879761</v>
      </c>
      <c r="AB111" s="619">
        <f t="shared" si="142"/>
        <v>3.7416699428169107</v>
      </c>
      <c r="AC111" s="619">
        <f t="shared" si="117"/>
        <v>3.7416699428169107</v>
      </c>
      <c r="AD111" s="619">
        <f t="shared" si="166"/>
        <v>3.8131780786359912</v>
      </c>
      <c r="AE111" s="977">
        <f>1/'IVCs relevant in 2030'!R6/2</f>
        <v>0.1</v>
      </c>
      <c r="AF111" s="963">
        <f>1/'IVCs relevant 2040-2050'!T$6/2</f>
        <v>0.1</v>
      </c>
      <c r="AG111" s="630">
        <f t="shared" si="178"/>
        <v>0.38200987736396996</v>
      </c>
      <c r="AH111" s="530">
        <f t="shared" si="184"/>
        <v>4442.7748737429711</v>
      </c>
      <c r="AI111" s="592">
        <f t="shared" si="185"/>
        <v>0.38200987736396996</v>
      </c>
      <c r="AJ111" s="531">
        <f t="shared" si="179"/>
        <v>4442.7748737429711</v>
      </c>
      <c r="AK111" s="531">
        <f t="shared" si="180"/>
        <v>0.38383505266084605</v>
      </c>
      <c r="AL111" s="1006">
        <f t="shared" si="175"/>
        <v>0.38383505266084605</v>
      </c>
      <c r="AM111" s="1007">
        <f t="shared" si="181"/>
        <v>0.38566022795772215</v>
      </c>
      <c r="AN111" s="1007">
        <f t="shared" si="119"/>
        <v>0.38566022795772215</v>
      </c>
      <c r="AO111" s="525">
        <f t="shared" si="182"/>
        <v>0.38931057855147438</v>
      </c>
      <c r="AP111" s="532"/>
      <c r="AQ111" s="532"/>
      <c r="AR111" s="532"/>
      <c r="AS111" s="533"/>
      <c r="AT111" s="533"/>
      <c r="AU111" s="533"/>
      <c r="AV111" s="534"/>
      <c r="AW111" s="534"/>
      <c r="AX111" s="534"/>
      <c r="AY111" s="534"/>
      <c r="AZ111" s="534"/>
      <c r="BA111" s="534"/>
      <c r="BB111" s="535"/>
      <c r="BC111" s="543"/>
      <c r="BD111" s="499"/>
      <c r="BE111" s="536"/>
      <c r="BF111" s="499"/>
      <c r="BG111" s="9">
        <f t="shared" ref="BG111:BG113" si="186">AO111*11630</f>
        <v>4527.6820285536469</v>
      </c>
    </row>
    <row r="112" spans="1:59" customFormat="1" ht="17.5" customHeight="1" outlineLevel="1">
      <c r="A112" s="534"/>
      <c r="B112" s="499"/>
      <c r="C112" s="499"/>
      <c r="D112" s="524"/>
      <c r="E112" s="524"/>
      <c r="F112" s="499"/>
      <c r="G112" s="534"/>
      <c r="H112" s="494"/>
      <c r="I112" s="525"/>
      <c r="J112" s="854"/>
      <c r="K112" s="551" t="s">
        <v>270</v>
      </c>
      <c r="L112" s="547" t="s">
        <v>271</v>
      </c>
      <c r="M112" s="547"/>
      <c r="N112" s="525">
        <f>SUM('EU-27_Medium_2030'!U$32+'EU-27_Medium_2030'!V$32+'EU-27_Medium_2030'!W$32+'EU-27_Medium_2030'!X$32+'EU-27_Medium_2030'!Y$32+'EU-27_Medium_2030'!Z$32)/1000000</f>
        <v>39.28182327905342</v>
      </c>
      <c r="O112" s="525"/>
      <c r="P112" s="525"/>
      <c r="Q112" s="525">
        <f>SUM('EU-27_High_2030-2050'!U$33+'EU-27_High_2030-2050'!V$33+'EU-27_High_2030-2050'!W$33+'EU-27_High_2030-2050'!X$33+'EU-27_High_2030-2050'!Y$33+'EU-27_High_2030-2050'!Z$33)/1000000</f>
        <v>55.037292867279561</v>
      </c>
      <c r="R112" s="525"/>
      <c r="S112" s="525"/>
      <c r="T112" s="525"/>
      <c r="U112" s="525"/>
      <c r="V112" s="525"/>
      <c r="W112" s="525"/>
      <c r="X112" s="525">
        <f>SUM('EU-27_High_2030-2050'!BP$33+'EU-27_High_2030-2050'!BQ$33+'EU-27_High_2030-2050'!BR$33+'EU-27_High_2030-2050'!BS$33+'EU-27_High_2030-2050'!BT$33+'EU-27_High_2030-2050'!BU$33)/1000000</f>
        <v>58.609743205605817</v>
      </c>
      <c r="Y112" s="525"/>
      <c r="Z112" s="525"/>
      <c r="AA112" s="527">
        <f>'Conversion factors selected IV '!L$82</f>
        <v>0.10209609163879761</v>
      </c>
      <c r="AB112" s="619">
        <f t="shared" si="142"/>
        <v>3.2734852732544515</v>
      </c>
      <c r="AC112" s="619">
        <f t="shared" si="117"/>
        <v>4.5864410722732964</v>
      </c>
      <c r="AD112" s="619">
        <f t="shared" si="166"/>
        <v>4.8841452671338175</v>
      </c>
      <c r="AE112" s="977">
        <f>1/'IVCs relevant in 2030'!R16/2</f>
        <v>8.3333333333333329E-2</v>
      </c>
      <c r="AF112" s="972">
        <f>1/'IVCs relevant 2040-2050'!T$16/2</f>
        <v>8.3333333333333329E-2</v>
      </c>
      <c r="AG112" s="630">
        <f t="shared" si="178"/>
        <v>0.33421005243644092</v>
      </c>
      <c r="AH112" s="530">
        <f t="shared" si="184"/>
        <v>3886.8629098358078</v>
      </c>
      <c r="AI112" s="592">
        <f t="shared" si="185"/>
        <v>0.46825770801075972</v>
      </c>
      <c r="AJ112" s="531">
        <f t="shared" si="179"/>
        <v>5445.8371441651352</v>
      </c>
      <c r="AK112" s="531">
        <f t="shared" si="180"/>
        <v>0.37532057501995419</v>
      </c>
      <c r="AL112" s="1006">
        <f t="shared" si="175"/>
        <v>0.47585631670069328</v>
      </c>
      <c r="AM112" s="1007">
        <f t="shared" si="181"/>
        <v>0.41643109760346741</v>
      </c>
      <c r="AN112" s="1007">
        <f t="shared" si="119"/>
        <v>0.48345492539062684</v>
      </c>
      <c r="AO112" s="525">
        <f t="shared" si="182"/>
        <v>0.49865214277049397</v>
      </c>
      <c r="AP112" s="532"/>
      <c r="AQ112" s="532"/>
      <c r="AR112" s="532"/>
      <c r="AS112" s="533"/>
      <c r="AT112" s="533"/>
      <c r="AU112" s="533"/>
      <c r="AV112" s="534"/>
      <c r="AW112" s="534"/>
      <c r="AX112" s="534"/>
      <c r="AY112" s="534"/>
      <c r="AZ112" s="534"/>
      <c r="BA112" s="534"/>
      <c r="BB112" s="535"/>
      <c r="BC112" s="543"/>
      <c r="BD112" s="499"/>
      <c r="BE112" s="536"/>
      <c r="BF112" s="499"/>
      <c r="BG112" s="9">
        <f t="shared" si="186"/>
        <v>5799.3244204208449</v>
      </c>
    </row>
    <row r="113" spans="1:59" customFormat="1" ht="15.65" customHeight="1" outlineLevel="1">
      <c r="A113" s="534"/>
      <c r="B113" s="499"/>
      <c r="C113" s="499"/>
      <c r="D113" s="524"/>
      <c r="E113" s="524"/>
      <c r="F113" s="499"/>
      <c r="G113" s="534"/>
      <c r="H113" s="494"/>
      <c r="I113" s="525"/>
      <c r="J113" s="854"/>
      <c r="K113" s="551" t="s">
        <v>295</v>
      </c>
      <c r="L113" s="547" t="s">
        <v>296</v>
      </c>
      <c r="M113" s="547"/>
      <c r="N113" s="525">
        <f>SUM('EU-27_Medium_2030'!AT$32+'EU-27_Medium_2030'!AU$32)/1000000</f>
        <v>11.766835672202422</v>
      </c>
      <c r="O113" s="525"/>
      <c r="P113" s="525"/>
      <c r="Q113" s="525">
        <f>SUM('EU-27_High_2030-2050'!AT$33+'EU-27_High_2030-2050'!AU$33)/1000000</f>
        <v>15.689114229603229</v>
      </c>
      <c r="R113" s="525"/>
      <c r="S113" s="525"/>
      <c r="T113" s="525"/>
      <c r="U113" s="525"/>
      <c r="V113" s="525"/>
      <c r="W113" s="525"/>
      <c r="X113" s="525">
        <f>SUM('EU-27_High_2030-2050'!CO$33+'EU-27_High_2030-2050'!CP$33)/1000000</f>
        <v>19.03051341926674</v>
      </c>
      <c r="Y113" s="525"/>
      <c r="Z113" s="525"/>
      <c r="AA113" s="527">
        <f>'Conversion factors selected IV '!L$83</f>
        <v>8.5975656116882196E-2</v>
      </c>
      <c r="AB113" s="619">
        <f t="shared" si="142"/>
        <v>1.1766835672202423</v>
      </c>
      <c r="AC113" s="619">
        <f t="shared" si="117"/>
        <v>1.5689114229603229</v>
      </c>
      <c r="AD113" s="619">
        <f t="shared" si="166"/>
        <v>1.9030513419266741</v>
      </c>
      <c r="AE113" s="977">
        <f>1/'IVCs relevant in 2030'!R20/2</f>
        <v>0.1</v>
      </c>
      <c r="AF113" s="963">
        <f>1/'IVCs relevant 2040-2050'!T$20/2</f>
        <v>0.1</v>
      </c>
      <c r="AG113" s="630">
        <f t="shared" si="178"/>
        <v>0.1011661417337138</v>
      </c>
      <c r="AH113" s="530">
        <f t="shared" si="184"/>
        <v>1176.5622283630914</v>
      </c>
      <c r="AI113" s="592">
        <f t="shared" si="185"/>
        <v>0.13488818897828503</v>
      </c>
      <c r="AJ113" s="531">
        <f t="shared" si="179"/>
        <v>1568.7496378174549</v>
      </c>
      <c r="AK113" s="531">
        <f t="shared" si="180"/>
        <v>0.11677862823685008</v>
      </c>
      <c r="AL113" s="1006">
        <f t="shared" si="175"/>
        <v>0.1420701636702785</v>
      </c>
      <c r="AM113" s="1007">
        <f t="shared" si="181"/>
        <v>0.13239111473998635</v>
      </c>
      <c r="AN113" s="1007">
        <f t="shared" si="119"/>
        <v>0.14925213836227197</v>
      </c>
      <c r="AO113" s="525">
        <f t="shared" si="182"/>
        <v>0.16361608774625891</v>
      </c>
      <c r="AP113" s="532"/>
      <c r="AQ113" s="532"/>
      <c r="AR113" s="532"/>
      <c r="AS113" s="533"/>
      <c r="AT113" s="533"/>
      <c r="AU113" s="533"/>
      <c r="AV113" s="534"/>
      <c r="AW113" s="534"/>
      <c r="AX113" s="534"/>
      <c r="AY113" s="534"/>
      <c r="AZ113" s="534"/>
      <c r="BA113" s="534"/>
      <c r="BB113" s="535"/>
      <c r="BC113" s="543"/>
      <c r="BD113" s="499"/>
      <c r="BE113" s="536"/>
      <c r="BF113" s="499"/>
      <c r="BG113" s="9">
        <f t="shared" si="186"/>
        <v>1902.8551004889912</v>
      </c>
    </row>
    <row r="114" spans="1:59" customFormat="1" outlineLevel="1">
      <c r="A114" s="534"/>
      <c r="B114" s="499"/>
      <c r="C114" s="499"/>
      <c r="D114" s="524"/>
      <c r="E114" s="524"/>
      <c r="F114" s="499"/>
      <c r="G114" s="534"/>
      <c r="H114" s="494"/>
      <c r="I114" s="525"/>
      <c r="J114" s="854"/>
      <c r="K114" s="924" t="s">
        <v>301</v>
      </c>
      <c r="L114" s="561"/>
      <c r="M114" s="561"/>
      <c r="N114" s="525">
        <f>$AG$119</f>
        <v>5.1880428594768198</v>
      </c>
      <c r="O114" s="525"/>
      <c r="P114" s="525"/>
      <c r="Q114" s="525">
        <f>$AI$119</f>
        <v>7.4086926412541239</v>
      </c>
      <c r="R114" s="525"/>
      <c r="S114" s="525"/>
      <c r="T114" s="525"/>
      <c r="U114" s="525"/>
      <c r="V114" s="525"/>
      <c r="W114" s="525"/>
      <c r="X114" s="525">
        <f>$AO$119</f>
        <v>8.9412320867547326</v>
      </c>
      <c r="Y114" s="494"/>
      <c r="Z114" s="494"/>
      <c r="AA114" s="527">
        <f>'Conversion factors selected IV '!L$84</f>
        <v>0.16133303275325367</v>
      </c>
      <c r="AB114" s="619">
        <f>N114*AE114</f>
        <v>0.64850535743460247</v>
      </c>
      <c r="AC114" s="619">
        <f t="shared" si="117"/>
        <v>0.92608658015676548</v>
      </c>
      <c r="AD114" s="619">
        <f t="shared" si="166"/>
        <v>1.1176540108443416</v>
      </c>
      <c r="AE114" s="970">
        <f>1/'IVCs relevant in 2030'!R22/2</f>
        <v>0.125</v>
      </c>
      <c r="AF114" s="963">
        <f>1/'IVCs relevant 2040-2050'!T22/2</f>
        <v>0.125</v>
      </c>
      <c r="AG114" s="630">
        <f t="shared" si="178"/>
        <v>0.10462533607165719</v>
      </c>
      <c r="AH114" s="530">
        <f t="shared" si="184"/>
        <v>1216.7926585133732</v>
      </c>
      <c r="AI114" s="592">
        <f t="shared" si="185"/>
        <v>0.14940835656878013</v>
      </c>
      <c r="AJ114" s="531">
        <f t="shared" si="179"/>
        <v>1737.6191868949129</v>
      </c>
      <c r="AK114" s="531">
        <f t="shared" si="180"/>
        <v>0.12354762983833176</v>
      </c>
      <c r="AL114" s="1006">
        <f t="shared" si="175"/>
        <v>0.15713489521117396</v>
      </c>
      <c r="AM114" s="1007">
        <f t="shared" si="181"/>
        <v>0.14246992360500632</v>
      </c>
      <c r="AN114" s="1007">
        <f t="shared" si="119"/>
        <v>0.1648614338535678</v>
      </c>
      <c r="AO114" s="525">
        <f t="shared" si="182"/>
        <v>0.18031451113835548</v>
      </c>
      <c r="AP114" s="532"/>
      <c r="AQ114" s="532"/>
      <c r="AR114" s="532"/>
      <c r="AS114" s="533"/>
      <c r="AT114" s="533"/>
      <c r="AU114" s="533"/>
      <c r="AV114" s="534"/>
      <c r="AW114" s="534"/>
      <c r="AX114" s="534"/>
      <c r="AY114" s="534"/>
      <c r="AZ114" s="534"/>
      <c r="BA114" s="534"/>
      <c r="BB114" s="535"/>
      <c r="BC114" s="543"/>
      <c r="BD114" s="499"/>
      <c r="BE114" s="536"/>
      <c r="BF114" s="499"/>
    </row>
    <row r="115" spans="1:59" s="601" customFormat="1">
      <c r="A115" s="611">
        <v>12</v>
      </c>
      <c r="B115" s="611" t="s">
        <v>26</v>
      </c>
      <c r="C115" s="611"/>
      <c r="D115" s="611" t="s">
        <v>239</v>
      </c>
      <c r="E115" s="611" t="s">
        <v>60</v>
      </c>
      <c r="F115" s="611" t="s">
        <v>62</v>
      </c>
      <c r="G115" s="611"/>
      <c r="H115" s="611"/>
      <c r="I115" s="611"/>
      <c r="J115" s="611">
        <v>2030</v>
      </c>
      <c r="K115" s="951" t="s">
        <v>1339</v>
      </c>
      <c r="L115" s="593"/>
      <c r="M115" s="593"/>
      <c r="N115" s="951"/>
      <c r="O115" s="515"/>
      <c r="P115" s="515"/>
      <c r="Q115" s="515"/>
      <c r="R115" s="593">
        <f>SUM(N115+((T115-N115)/2))</f>
        <v>28.231249999999999</v>
      </c>
      <c r="S115" s="593"/>
      <c r="T115" s="593">
        <v>56.462499999999999</v>
      </c>
      <c r="U115" s="593"/>
      <c r="V115" s="593"/>
      <c r="W115" s="593">
        <f>SUM(T115+((X115-T115)/2))</f>
        <v>28.231249999999999</v>
      </c>
      <c r="X115" s="593"/>
      <c r="Y115" s="593"/>
      <c r="Z115" s="593"/>
      <c r="AB115" s="619">
        <f t="shared" si="142"/>
        <v>0</v>
      </c>
      <c r="AC115" s="619">
        <f t="shared" si="117"/>
        <v>0</v>
      </c>
      <c r="AD115" s="1009"/>
      <c r="AG115" s="835"/>
      <c r="AH115" s="595"/>
      <c r="AI115" s="595"/>
      <c r="AJ115" s="595"/>
      <c r="AK115" s="595">
        <f t="shared" ref="AK115:AL115" si="187">AK116</f>
        <v>0.1140714482713865</v>
      </c>
      <c r="AL115" s="595">
        <f t="shared" si="187"/>
        <v>0</v>
      </c>
      <c r="AM115" s="595">
        <f>AM116</f>
        <v>0.36502863446843681</v>
      </c>
      <c r="AN115" s="595">
        <f t="shared" ref="AN115" si="188">AN116</f>
        <v>0</v>
      </c>
      <c r="AO115" s="595">
        <f>X115*AA116*AE116</f>
        <v>0</v>
      </c>
      <c r="AP115" s="604"/>
      <c r="AQ115" s="596">
        <v>10.505916663433375</v>
      </c>
      <c r="AR115" s="596">
        <v>15.887545409592944</v>
      </c>
      <c r="AS115" s="597"/>
      <c r="AT115" s="597" t="e">
        <f>#REF!/AQ115</f>
        <v>#REF!</v>
      </c>
      <c r="AU115" s="597">
        <f>AO115/AR115</f>
        <v>0</v>
      </c>
      <c r="AV115" s="605" t="s">
        <v>70</v>
      </c>
      <c r="AW115" s="602" t="s">
        <v>70</v>
      </c>
      <c r="AX115" s="602" t="s">
        <v>70</v>
      </c>
      <c r="AY115" s="598"/>
      <c r="AZ115" s="598" t="s">
        <v>73</v>
      </c>
      <c r="BA115" s="598" t="s">
        <v>73</v>
      </c>
      <c r="BB115" s="515"/>
      <c r="BC115" s="598" t="s">
        <v>101</v>
      </c>
      <c r="BD115" s="563" t="s">
        <v>101</v>
      </c>
      <c r="BE115" s="563">
        <v>24.184000000000001</v>
      </c>
      <c r="BF115" s="563" t="s">
        <v>101</v>
      </c>
    </row>
    <row r="116" spans="1:59" customFormat="1">
      <c r="A116" s="494"/>
      <c r="B116" s="548" t="s">
        <v>1365</v>
      </c>
      <c r="C116" s="548"/>
      <c r="D116" s="549"/>
      <c r="E116" s="549"/>
      <c r="F116" s="548"/>
      <c r="G116" s="540"/>
      <c r="H116" s="540"/>
      <c r="I116" s="525"/>
      <c r="J116" s="854"/>
      <c r="K116" s="574" t="s">
        <v>302</v>
      </c>
      <c r="L116" s="525"/>
      <c r="M116" s="525"/>
      <c r="N116" s="954">
        <f>3.33333333333333*150000/1000000</f>
        <v>0.4999999999999995</v>
      </c>
      <c r="O116" s="540"/>
      <c r="P116" s="540"/>
      <c r="Q116" s="540"/>
      <c r="R116" s="540"/>
      <c r="S116" s="540"/>
      <c r="T116" s="540"/>
      <c r="U116" s="540"/>
      <c r="V116" s="540"/>
      <c r="W116" s="540"/>
      <c r="X116" s="540"/>
      <c r="Y116" s="525"/>
      <c r="Z116" s="525"/>
      <c r="AA116" s="683">
        <f>'Conversion factors selected IV '!L86</f>
        <v>0.30419052872369762</v>
      </c>
      <c r="AB116" s="619">
        <f t="shared" si="142"/>
        <v>0.4999999999999995</v>
      </c>
      <c r="AC116" s="619">
        <f t="shared" si="117"/>
        <v>0</v>
      </c>
      <c r="AD116" s="619"/>
      <c r="AE116" s="970">
        <f>1/'IVCs relevant in 2030'!R27</f>
        <v>1</v>
      </c>
      <c r="AF116" s="970">
        <f>1/'IVCs relevant 2040-2050'!T27</f>
        <v>1</v>
      </c>
      <c r="AG116" s="631">
        <f>N116*AA116*AE116</f>
        <v>0.15209526436184867</v>
      </c>
      <c r="AH116" s="530">
        <f>AG116*11630</f>
        <v>1768.8679245283001</v>
      </c>
      <c r="AI116" s="592">
        <f>Q116*AA116*AE116</f>
        <v>0</v>
      </c>
      <c r="AJ116" s="531">
        <f t="shared" si="179"/>
        <v>0</v>
      </c>
      <c r="AK116" s="531">
        <f>AG116+0.25*(AO116-AG116)</f>
        <v>0.1140714482713865</v>
      </c>
      <c r="AL116" s="1006">
        <f t="shared" si="175"/>
        <v>0</v>
      </c>
      <c r="AM116" s="1010">
        <f>3.33333333333333*360000/1000000*AA116*AE116</f>
        <v>0.36502863446843681</v>
      </c>
      <c r="AN116" s="1007">
        <f t="shared" si="119"/>
        <v>0</v>
      </c>
      <c r="AO116" s="525">
        <f>X116*AA116*AF116</f>
        <v>0</v>
      </c>
      <c r="AP116" s="525">
        <f>Y116*AE116*AG116</f>
        <v>0</v>
      </c>
      <c r="AQ116" s="525">
        <f>Z116*AF116*AH116</f>
        <v>0</v>
      </c>
      <c r="AR116" s="525">
        <f>AA116*AG116*AI116</f>
        <v>0</v>
      </c>
      <c r="AS116" s="525">
        <f>AE116*AH116*AJ116</f>
        <v>0</v>
      </c>
      <c r="AT116" s="525">
        <f>AF116*AI116*AK116</f>
        <v>0</v>
      </c>
      <c r="AU116" s="525">
        <f>AG116*AJ116*AL116</f>
        <v>0</v>
      </c>
      <c r="AV116" s="525">
        <f>AH116*AK116*AO116</f>
        <v>0</v>
      </c>
      <c r="AW116" s="525">
        <f>AI116*AL116*AP116</f>
        <v>0</v>
      </c>
      <c r="AX116" s="525">
        <f>AJ116*AO116*AQ116</f>
        <v>0</v>
      </c>
      <c r="AY116" s="525">
        <f>AK116*AP116*AR116</f>
        <v>0</v>
      </c>
      <c r="AZ116" s="525">
        <f>AL116*AQ116*AS116</f>
        <v>0</v>
      </c>
      <c r="BA116" s="525">
        <f t="shared" ref="BA116:BF116" si="189">AO116*AR116*AT116</f>
        <v>0</v>
      </c>
      <c r="BB116" s="525">
        <f t="shared" si="189"/>
        <v>0</v>
      </c>
      <c r="BC116" s="525">
        <f t="shared" si="189"/>
        <v>0</v>
      </c>
      <c r="BD116" s="525">
        <f t="shared" si="189"/>
        <v>0</v>
      </c>
      <c r="BE116" s="525">
        <f t="shared" si="189"/>
        <v>0</v>
      </c>
      <c r="BF116" s="525">
        <f t="shared" si="189"/>
        <v>0</v>
      </c>
    </row>
    <row r="117" spans="1:59" customFormat="1">
      <c r="A117" s="494"/>
      <c r="B117" s="548" t="s">
        <v>1366</v>
      </c>
      <c r="C117" s="548"/>
      <c r="D117" s="549"/>
      <c r="E117" s="549"/>
      <c r="F117" s="548"/>
      <c r="G117" s="540"/>
      <c r="H117" s="540"/>
      <c r="I117" s="525"/>
      <c r="J117" s="854"/>
      <c r="K117" s="574"/>
      <c r="L117" s="525"/>
      <c r="M117" s="525"/>
      <c r="N117" s="540"/>
      <c r="O117" s="540"/>
      <c r="P117" s="540"/>
      <c r="Q117" s="953">
        <f>3.33333333333333*2.346</f>
        <v>7.8199999999999923</v>
      </c>
      <c r="R117" s="540"/>
      <c r="S117" s="540"/>
      <c r="T117" s="540"/>
      <c r="U117" s="540"/>
      <c r="V117" s="540"/>
      <c r="W117" s="540"/>
      <c r="X117" s="540"/>
      <c r="Y117" s="525"/>
      <c r="Z117" s="525"/>
      <c r="AA117" s="683">
        <f>'Conversion factors selected IV '!$L$86</f>
        <v>0.30419052872369762</v>
      </c>
      <c r="AB117" s="619">
        <f t="shared" si="142"/>
        <v>0</v>
      </c>
      <c r="AC117" s="619">
        <f t="shared" si="117"/>
        <v>7.8199999999999923</v>
      </c>
      <c r="AD117" s="619"/>
      <c r="AE117" s="970">
        <f>1/'IVCs relevant in 2030'!$R$27</f>
        <v>1</v>
      </c>
      <c r="AF117" s="970">
        <f>1/'IVCs relevant 2040-2050'!T27</f>
        <v>1</v>
      </c>
      <c r="AG117" s="631">
        <f>N117*AA117*AE117</f>
        <v>0</v>
      </c>
      <c r="AH117" s="530"/>
      <c r="AI117" s="592">
        <f>Q117*AA117*AE117</f>
        <v>2.3787699346193132</v>
      </c>
      <c r="AJ117" s="531">
        <f t="shared" si="179"/>
        <v>27665.094339622614</v>
      </c>
      <c r="AK117" s="531">
        <f>AG117+0.25*(AO117-AG117)</f>
        <v>0</v>
      </c>
      <c r="AL117" s="1006">
        <f t="shared" si="175"/>
        <v>1.7840774509644848</v>
      </c>
      <c r="AM117" s="1007">
        <f>AG117+0.5*(AO117-AG117)</f>
        <v>0</v>
      </c>
      <c r="AN117" s="1007">
        <f t="shared" si="119"/>
        <v>1.1893849673096566</v>
      </c>
      <c r="AO117" s="530"/>
      <c r="AP117" s="542"/>
      <c r="AQ117" s="532"/>
      <c r="AR117" s="532"/>
      <c r="AS117" s="533"/>
      <c r="AT117" s="533"/>
      <c r="AU117" s="533"/>
      <c r="AV117" s="544"/>
      <c r="AW117" s="543"/>
      <c r="AX117" s="543"/>
      <c r="AY117" s="534"/>
      <c r="AZ117" s="534"/>
      <c r="BA117" s="534"/>
      <c r="BB117" s="494"/>
      <c r="BC117" s="534"/>
      <c r="BD117" s="499"/>
      <c r="BE117" s="499"/>
      <c r="BF117" s="499"/>
    </row>
    <row r="118" spans="1:59" customFormat="1">
      <c r="A118" s="494"/>
      <c r="B118" s="548" t="s">
        <v>1367</v>
      </c>
      <c r="C118" s="548"/>
      <c r="D118" s="549"/>
      <c r="E118" s="549"/>
      <c r="F118" s="548"/>
      <c r="G118" s="540"/>
      <c r="H118" s="540"/>
      <c r="I118" s="525"/>
      <c r="J118" s="854"/>
      <c r="K118" s="574"/>
      <c r="L118" s="525"/>
      <c r="M118" s="525"/>
      <c r="N118" s="540"/>
      <c r="O118" s="540"/>
      <c r="P118" s="540"/>
      <c r="Q118" s="540">
        <f>'[8]GAP analysis Sc. 3'!$K$37*3.33333333333333</f>
        <v>31.484744217258921</v>
      </c>
      <c r="R118" s="540"/>
      <c r="S118" s="540"/>
      <c r="T118" s="540"/>
      <c r="U118" s="540"/>
      <c r="V118" s="540"/>
      <c r="W118" s="540"/>
      <c r="X118" s="540"/>
      <c r="Y118" s="525"/>
      <c r="Z118" s="525"/>
      <c r="AA118" s="683">
        <f>'Conversion factors selected IV '!$L$86</f>
        <v>0.30419052872369762</v>
      </c>
      <c r="AB118" s="619">
        <f t="shared" si="142"/>
        <v>0</v>
      </c>
      <c r="AC118" s="619">
        <f t="shared" si="117"/>
        <v>31.484744217258921</v>
      </c>
      <c r="AD118" s="619"/>
      <c r="AE118" s="970">
        <f>1/'IVCs relevant in 2030'!$R$27</f>
        <v>1</v>
      </c>
      <c r="AF118" s="970"/>
      <c r="AG118" s="630"/>
      <c r="AH118" s="530"/>
      <c r="AI118" s="592">
        <f>Q118*AA118*AE118</f>
        <v>9.5773609901783718</v>
      </c>
      <c r="AJ118" s="531"/>
      <c r="AK118" s="531">
        <f>AG118+0.25*(AO118-AG118)</f>
        <v>0</v>
      </c>
      <c r="AL118" s="1006">
        <f>AI118+0.25*(AO118-AI118)</f>
        <v>7.1830207426337793</v>
      </c>
      <c r="AM118" s="1007">
        <f>AG118+0.5*(AO118-AG118)</f>
        <v>0</v>
      </c>
      <c r="AN118" s="1007">
        <f t="shared" si="119"/>
        <v>4.7886804950891859</v>
      </c>
      <c r="AO118" s="530"/>
      <c r="AP118" s="542"/>
      <c r="AQ118" s="532"/>
      <c r="AR118" s="532"/>
      <c r="AS118" s="533"/>
      <c r="AT118" s="533"/>
      <c r="AU118" s="533"/>
      <c r="AV118" s="544"/>
      <c r="AW118" s="543"/>
      <c r="AX118" s="543"/>
      <c r="AY118" s="534"/>
      <c r="AZ118" s="534"/>
      <c r="BA118" s="534"/>
      <c r="BB118" s="494"/>
      <c r="BC118" s="534"/>
      <c r="BD118" s="499"/>
      <c r="BE118" s="499"/>
      <c r="BF118" s="499"/>
    </row>
    <row r="119" spans="1:59" s="601" customFormat="1">
      <c r="A119" s="598" t="s">
        <v>27</v>
      </c>
      <c r="B119" s="563" t="s">
        <v>28</v>
      </c>
      <c r="C119" s="563" t="s">
        <v>99</v>
      </c>
      <c r="D119" s="563" t="s">
        <v>1034</v>
      </c>
      <c r="E119" s="563" t="s">
        <v>1331</v>
      </c>
      <c r="F119" s="563" t="s">
        <v>1330</v>
      </c>
      <c r="G119" s="598">
        <v>9</v>
      </c>
      <c r="H119" s="515">
        <v>3</v>
      </c>
      <c r="I119" s="593">
        <v>148.04932020766233</v>
      </c>
      <c r="J119" s="853">
        <v>2030</v>
      </c>
      <c r="K119" s="593" t="s">
        <v>950</v>
      </c>
      <c r="L119" s="593"/>
      <c r="M119" s="593"/>
      <c r="N119" s="593">
        <f>SUM(N120:N127)</f>
        <v>238.76228248536859</v>
      </c>
      <c r="O119" s="593">
        <v>418.53625200285438</v>
      </c>
      <c r="P119" s="593">
        <v>148.58920533459803</v>
      </c>
      <c r="Q119" s="593">
        <f>SUM(Q120:Q127)</f>
        <v>347.86814483063569</v>
      </c>
      <c r="R119" s="593">
        <f>SUM(N119+((T119-N119)/2))</f>
        <v>345.03609053437981</v>
      </c>
      <c r="S119" s="593">
        <v>280.3412167187841</v>
      </c>
      <c r="T119" s="593">
        <v>451.30989858339098</v>
      </c>
      <c r="U119" s="593">
        <v>149.12909046153371</v>
      </c>
      <c r="V119" s="593">
        <v>290.2398545864628</v>
      </c>
      <c r="W119" s="593">
        <f>SUM(T119+((X119-T119)/2))</f>
        <v>438.20394587245943</v>
      </c>
      <c r="X119" s="593">
        <f>SUM(X120:X127)</f>
        <v>425.09799316152788</v>
      </c>
      <c r="Y119" s="593">
        <f t="shared" ref="Y119:AD119" si="190">SUM(Y120:Y127)</f>
        <v>0</v>
      </c>
      <c r="Z119" s="593">
        <f t="shared" si="190"/>
        <v>0</v>
      </c>
      <c r="AA119" s="593"/>
      <c r="AB119" s="593">
        <f t="shared" si="190"/>
        <v>38.254280482984413</v>
      </c>
      <c r="AC119" s="593">
        <f t="shared" si="190"/>
        <v>54.628347141168042</v>
      </c>
      <c r="AD119" s="593">
        <f t="shared" si="190"/>
        <v>65.928599546046954</v>
      </c>
      <c r="AE119" s="594"/>
      <c r="AF119" s="594"/>
      <c r="AG119" s="594">
        <f>SUM(AG120:AG127)/2</f>
        <v>5.1880428594768198</v>
      </c>
      <c r="AH119" s="595">
        <f>SUM(AH120:AH127)/2</f>
        <v>60336.938455715419</v>
      </c>
      <c r="AI119" s="595">
        <f>SUM(AI120:AI127)/2</f>
        <v>7.4086926412541239</v>
      </c>
      <c r="AJ119" s="595">
        <f>SUM(AJ120:AJ127)/2</f>
        <v>86163.095417785458</v>
      </c>
      <c r="AK119" s="595">
        <f t="shared" ref="AK119:AL119" si="191">SUM(AK120:AK127)/2</f>
        <v>6.1263401662962984</v>
      </c>
      <c r="AL119" s="595">
        <f t="shared" si="191"/>
        <v>7.7918275026292765</v>
      </c>
      <c r="AM119" s="595">
        <f t="shared" ref="AM119" si="192">SUM(AM120:AM127)/2</f>
        <v>7.0646374731157771</v>
      </c>
      <c r="AN119" s="595">
        <f t="shared" ref="AN119" si="193">SUM(AN120:AN127)/2</f>
        <v>8.1749623640044291</v>
      </c>
      <c r="AO119" s="595">
        <f>SUM(AO120:AO127)/2</f>
        <v>8.9412320867547326</v>
      </c>
      <c r="AP119" s="595">
        <f t="shared" ref="AP119" si="194">SUM(AP120:AP127)/2</f>
        <v>0</v>
      </c>
      <c r="AQ119" s="595">
        <f t="shared" ref="AQ119" si="195">SUM(AQ120:AQ127)/2</f>
        <v>0</v>
      </c>
      <c r="AR119" s="595">
        <f t="shared" ref="AR119" si="196">SUM(AR120:AR127)/2</f>
        <v>0</v>
      </c>
      <c r="AS119" s="595">
        <f t="shared" ref="AS119" si="197">SUM(AS120:AS127)/2</f>
        <v>0</v>
      </c>
      <c r="AT119" s="595">
        <f t="shared" ref="AT119" si="198">SUM(AT120:AT127)/2</f>
        <v>0</v>
      </c>
      <c r="AU119" s="595">
        <f t="shared" ref="AU119" si="199">SUM(AU120:AU127)/2</f>
        <v>0</v>
      </c>
      <c r="AV119" s="595">
        <f t="shared" ref="AV119" si="200">SUM(AV120:AV127)/2</f>
        <v>0</v>
      </c>
      <c r="AW119" s="595">
        <f t="shared" ref="AW119" si="201">SUM(AW120:AW127)/2</f>
        <v>0</v>
      </c>
      <c r="AX119" s="595">
        <f t="shared" ref="AX119" si="202">SUM(AX120:AX127)/2</f>
        <v>0</v>
      </c>
      <c r="AY119" s="595">
        <f t="shared" ref="AY119" si="203">SUM(AY120:AY127)/2</f>
        <v>0</v>
      </c>
      <c r="AZ119" s="595">
        <f t="shared" ref="AZ119" si="204">SUM(AZ120:AZ127)/2</f>
        <v>0</v>
      </c>
      <c r="BA119" s="595">
        <f t="shared" ref="BA119" si="205">SUM(BA120:BA127)/2</f>
        <v>0</v>
      </c>
      <c r="BB119" s="595">
        <f t="shared" ref="BB119" si="206">SUM(BB120:BB127)/2</f>
        <v>0</v>
      </c>
      <c r="BC119" s="595">
        <f t="shared" ref="BC119" si="207">SUM(BC120:BC127)/2</f>
        <v>0</v>
      </c>
      <c r="BD119" s="595">
        <f t="shared" ref="BD119" si="208">SUM(BD120:BD127)/2</f>
        <v>0</v>
      </c>
      <c r="BE119" s="595">
        <f t="shared" ref="BE119" si="209">SUM(BE120:BE127)/2</f>
        <v>0</v>
      </c>
      <c r="BF119" s="595">
        <f t="shared" ref="BF119" si="210">SUM(BF120:BF127)/2</f>
        <v>0</v>
      </c>
      <c r="BG119" s="595">
        <f t="shared" ref="BG119" si="211">SUM(BG120:BG127)/2</f>
        <v>103986.52916895754</v>
      </c>
    </row>
    <row r="120" spans="1:59" customFormat="1" ht="17.149999999999999" customHeight="1" outlineLevel="1">
      <c r="A120" s="494"/>
      <c r="B120" s="494"/>
      <c r="C120" s="494"/>
      <c r="D120" s="496"/>
      <c r="E120" s="496"/>
      <c r="F120" s="494"/>
      <c r="G120" s="494"/>
      <c r="H120" s="494"/>
      <c r="I120" s="494"/>
      <c r="J120" s="503"/>
      <c r="K120" s="551" t="s">
        <v>272</v>
      </c>
      <c r="L120" s="547" t="s">
        <v>273</v>
      </c>
      <c r="M120" s="547"/>
      <c r="N120" s="538">
        <f>SUM('EU-27_Medium_2030'!N$32+'EU-27_Medium_2030'!O$32+'EU-27_Medium_2030'!P$32)/1000000</f>
        <v>130.89263574041894</v>
      </c>
      <c r="O120" s="538"/>
      <c r="P120" s="538"/>
      <c r="Q120" s="538">
        <f>SUM('EU-27_High_2030-2050'!BI$33+'EU-27_High_2030-2050'!BJ$33+'EU-27_High_2030-2050'!BK$33)/1000000</f>
        <v>207.40944074964315</v>
      </c>
      <c r="R120" s="538"/>
      <c r="S120" s="538"/>
      <c r="T120" s="538"/>
      <c r="U120" s="538"/>
      <c r="V120" s="538"/>
      <c r="W120" s="538"/>
      <c r="X120" s="538">
        <f>SUM('EU-27_High_2030-2050'!BI$33+'EU-27_High_2030-2050'!BJ$33+'EU-27_High_2030-2050'!BK$33)/1000000</f>
        <v>207.40944074964315</v>
      </c>
      <c r="Y120" s="538"/>
      <c r="Z120" s="538"/>
      <c r="AA120" s="538">
        <f>'Conversion factors selected IV '!L$89</f>
        <v>0.27123986095017383</v>
      </c>
      <c r="AB120" s="619">
        <f t="shared" si="142"/>
        <v>18.698947962916989</v>
      </c>
      <c r="AC120" s="619">
        <f t="shared" si="117"/>
        <v>29.629920107091877</v>
      </c>
      <c r="AD120" s="619">
        <f t="shared" ref="AD120:AD127" si="212">X120*AF120</f>
        <v>29.629920107091877</v>
      </c>
      <c r="AE120" s="977">
        <f>1/'IVCs relevant in 2030'!R$8</f>
        <v>0.14285714285714285</v>
      </c>
      <c r="AF120" s="972">
        <v>0.14285714285714285</v>
      </c>
      <c r="AG120" s="630">
        <f t="shared" ref="AG120:AG127" si="213">N120*AA120*AE120</f>
        <v>5.0719000453761405</v>
      </c>
      <c r="AH120" s="530">
        <f>AG120*11630</f>
        <v>58986.197527724515</v>
      </c>
      <c r="AI120" s="592">
        <f t="shared" ref="AI120:AI127" si="214">Q120*AA120*AE120</f>
        <v>8.0368154098123608</v>
      </c>
      <c r="AJ120" s="531">
        <f>AI120*11630</f>
        <v>93468.163216117755</v>
      </c>
      <c r="AK120" s="531">
        <f t="shared" ref="AK120:AK127" si="215">AG120+0.25*(AO120-AG120)</f>
        <v>5.8131288864851953</v>
      </c>
      <c r="AL120" s="1006">
        <f t="shared" si="175"/>
        <v>8.0368154098123608</v>
      </c>
      <c r="AM120" s="1007">
        <f t="shared" ref="AM120:AM127" si="216">AG120+0.5*(AO120-AG120)</f>
        <v>6.5543577275942511</v>
      </c>
      <c r="AN120" s="1007">
        <f t="shared" si="119"/>
        <v>8.0368154098123608</v>
      </c>
      <c r="AO120" s="525">
        <f t="shared" ref="AO120:AO127" si="217">X120*AA120*AF120</f>
        <v>8.0368154098123608</v>
      </c>
      <c r="AP120" s="494"/>
      <c r="AQ120" s="494"/>
      <c r="AR120" s="494"/>
      <c r="AS120" s="499"/>
      <c r="AT120" s="499"/>
      <c r="AU120" s="499"/>
      <c r="AV120" s="494"/>
      <c r="AW120" s="494"/>
      <c r="AX120" s="494"/>
      <c r="AY120" s="494"/>
      <c r="AZ120" s="494"/>
      <c r="BA120" s="494"/>
      <c r="BB120" s="494"/>
      <c r="BC120" s="494"/>
      <c r="BD120" s="499"/>
      <c r="BE120" s="499"/>
      <c r="BF120" s="499"/>
      <c r="BG120" s="9">
        <f t="shared" ref="BG120:BG127" si="218">AO120*11630</f>
        <v>93468.163216117755</v>
      </c>
    </row>
    <row r="121" spans="1:59" customFormat="1" ht="18" customHeight="1" outlineLevel="1">
      <c r="A121" s="534"/>
      <c r="B121" s="499"/>
      <c r="C121" s="499"/>
      <c r="D121" s="524"/>
      <c r="E121" s="524"/>
      <c r="F121" s="499"/>
      <c r="G121" s="534"/>
      <c r="H121" s="494"/>
      <c r="I121" s="525"/>
      <c r="J121" s="854"/>
      <c r="K121" s="551" t="s">
        <v>1065</v>
      </c>
      <c r="L121" s="547" t="s">
        <v>291</v>
      </c>
      <c r="M121" s="547"/>
      <c r="N121" s="525">
        <f>SUM('EU-27_Medium_2030'!Q$32+'EU-27_Medium_2030'!R$32)/1000000</f>
        <v>8.4952845259123446</v>
      </c>
      <c r="O121" s="525"/>
      <c r="P121" s="525"/>
      <c r="Q121" s="525">
        <f>SUM('EU-27_High_2030-2050'!Q$33+'EU-27_High_2030-2050'!R$33+'EU-27_High_2030-2050'!AE$33)/1000000</f>
        <v>12.257725308395727</v>
      </c>
      <c r="R121" s="525"/>
      <c r="S121" s="525"/>
      <c r="T121" s="525"/>
      <c r="U121" s="525"/>
      <c r="V121" s="525"/>
      <c r="W121" s="525"/>
      <c r="X121" s="525">
        <f>SUM('EU-27_High_2030-2050'!BL$33+'EU-27_High_2030-2050'!BM$33+'EU-27_High_2030-2050'!BZ$33)/1000000</f>
        <v>11.938639120933642</v>
      </c>
      <c r="Y121" s="525"/>
      <c r="Z121" s="525"/>
      <c r="AA121" s="538">
        <f>'Conversion factors selected IV '!L$89</f>
        <v>0.27123986095017383</v>
      </c>
      <c r="AB121" s="619">
        <f t="shared" si="142"/>
        <v>1.415880754318724</v>
      </c>
      <c r="AC121" s="619">
        <f t="shared" si="117"/>
        <v>2.0429542180659546</v>
      </c>
      <c r="AD121" s="619">
        <f t="shared" si="212"/>
        <v>1.9897731868222737</v>
      </c>
      <c r="AE121" s="989">
        <f>1/'IVCs relevant in 2030'!R$9</f>
        <v>0.16666666666666666</v>
      </c>
      <c r="AF121" s="977">
        <v>0.16666666666666666</v>
      </c>
      <c r="AG121" s="630">
        <f t="shared" si="213"/>
        <v>0.38404329892343797</v>
      </c>
      <c r="AH121" s="530">
        <f t="shared" ref="AH121:AH127" si="219">AG121*11630</f>
        <v>4466.4235664795833</v>
      </c>
      <c r="AI121" s="592">
        <f t="shared" si="214"/>
        <v>0.55413061803578056</v>
      </c>
      <c r="AJ121" s="531">
        <f t="shared" ref="AJ121:AJ127" si="220">AI121*11630</f>
        <v>6444.5390877561276</v>
      </c>
      <c r="AK121" s="531">
        <f t="shared" si="215"/>
        <v>0.42295892482159292</v>
      </c>
      <c r="AL121" s="1006">
        <f t="shared" si="175"/>
        <v>0.55052441415584985</v>
      </c>
      <c r="AM121" s="1007">
        <f t="shared" si="216"/>
        <v>0.46187455071974781</v>
      </c>
      <c r="AN121" s="1007">
        <f t="shared" si="119"/>
        <v>0.54691821027591914</v>
      </c>
      <c r="AO121" s="525">
        <f t="shared" si="217"/>
        <v>0.53970580251605771</v>
      </c>
      <c r="AP121" s="532"/>
      <c r="AQ121" s="542"/>
      <c r="AR121" s="542"/>
      <c r="AS121" s="533"/>
      <c r="AT121" s="533"/>
      <c r="AU121" s="533"/>
      <c r="AV121" s="534"/>
      <c r="AW121" s="544"/>
      <c r="AX121" s="544"/>
      <c r="AY121" s="534"/>
      <c r="AZ121" s="544"/>
      <c r="BA121" s="544"/>
      <c r="BB121" s="535"/>
      <c r="BC121" s="534"/>
      <c r="BD121" s="499"/>
      <c r="BE121" s="536"/>
      <c r="BF121" s="499"/>
      <c r="BG121" s="9">
        <f t="shared" si="218"/>
        <v>6276.7784832617508</v>
      </c>
    </row>
    <row r="122" spans="1:59" customFormat="1" outlineLevel="1">
      <c r="A122" s="534"/>
      <c r="B122" s="499"/>
      <c r="C122" s="499"/>
      <c r="D122" s="524"/>
      <c r="E122" s="524"/>
      <c r="F122" s="499"/>
      <c r="G122" s="534"/>
      <c r="H122" s="494"/>
      <c r="I122" s="525"/>
      <c r="J122" s="854"/>
      <c r="K122" s="551" t="s">
        <v>292</v>
      </c>
      <c r="L122" s="559">
        <v>4204</v>
      </c>
      <c r="M122" s="559"/>
      <c r="N122" s="525">
        <f>'EU-27_Medium_2030'!AD$32/1000000</f>
        <v>3.4535388863652337</v>
      </c>
      <c r="O122" s="525"/>
      <c r="P122" s="525"/>
      <c r="Q122" s="525">
        <f>'EU-27_High_2030-2050'!AD$33/1000000</f>
        <v>5.1803083295478496</v>
      </c>
      <c r="R122" s="525"/>
      <c r="S122" s="525"/>
      <c r="T122" s="525"/>
      <c r="U122" s="525"/>
      <c r="V122" s="525"/>
      <c r="W122" s="525"/>
      <c r="X122" s="525">
        <f>'EU-27_High_2030-2050'!BY$33/1000000</f>
        <v>4.4480556436504077</v>
      </c>
      <c r="Y122" s="525"/>
      <c r="Z122" s="525"/>
      <c r="AA122" s="538">
        <f>'Conversion factors selected IV '!L$89</f>
        <v>0.27123986095017383</v>
      </c>
      <c r="AB122" s="619">
        <f t="shared" si="142"/>
        <v>0.69070777727304677</v>
      </c>
      <c r="AC122" s="619">
        <f t="shared" si="117"/>
        <v>1.0360616659095701</v>
      </c>
      <c r="AD122" s="619">
        <f t="shared" si="212"/>
        <v>0.88961112873008164</v>
      </c>
      <c r="AE122" s="977">
        <f>1/'IVCs relevant in 2030'!R$13</f>
        <v>0.2</v>
      </c>
      <c r="AF122" s="963">
        <v>0.2</v>
      </c>
      <c r="AG122" s="630">
        <f t="shared" si="213"/>
        <v>0.18734748146474484</v>
      </c>
      <c r="AH122" s="530">
        <f t="shared" si="219"/>
        <v>2178.8512094349826</v>
      </c>
      <c r="AI122" s="592">
        <f t="shared" si="214"/>
        <v>0.28102122219711723</v>
      </c>
      <c r="AJ122" s="531">
        <f t="shared" si="220"/>
        <v>3268.2768141524734</v>
      </c>
      <c r="AK122" s="531">
        <f t="shared" si="215"/>
        <v>0.20083511081267724</v>
      </c>
      <c r="AL122" s="1006">
        <f t="shared" si="175"/>
        <v>0.27109041636195652</v>
      </c>
      <c r="AM122" s="1007">
        <f t="shared" si="216"/>
        <v>0.21432274016060968</v>
      </c>
      <c r="AN122" s="1007">
        <f t="shared" si="119"/>
        <v>0.26115961052679587</v>
      </c>
      <c r="AO122" s="525">
        <f t="shared" si="217"/>
        <v>0.24129799885647452</v>
      </c>
      <c r="AP122" s="532"/>
      <c r="AQ122" s="542"/>
      <c r="AR122" s="542"/>
      <c r="AS122" s="533"/>
      <c r="AT122" s="533"/>
      <c r="AU122" s="533"/>
      <c r="AV122" s="534"/>
      <c r="AW122" s="544"/>
      <c r="AX122" s="544"/>
      <c r="AY122" s="534"/>
      <c r="AZ122" s="544"/>
      <c r="BA122" s="544"/>
      <c r="BB122" s="535"/>
      <c r="BC122" s="534"/>
      <c r="BD122" s="499"/>
      <c r="BE122" s="536"/>
      <c r="BF122" s="499"/>
      <c r="BG122" s="9">
        <f t="shared" si="218"/>
        <v>2806.2957267007987</v>
      </c>
    </row>
    <row r="123" spans="1:59" customFormat="1" ht="16.5" customHeight="1" outlineLevel="1">
      <c r="A123" s="534"/>
      <c r="B123" s="499"/>
      <c r="C123" s="499"/>
      <c r="D123" s="524"/>
      <c r="E123" s="524"/>
      <c r="F123" s="499"/>
      <c r="G123" s="534"/>
      <c r="H123" s="494"/>
      <c r="I123" s="525"/>
      <c r="J123" s="854"/>
      <c r="K123" s="551" t="s">
        <v>274</v>
      </c>
      <c r="L123" s="547" t="s">
        <v>275</v>
      </c>
      <c r="M123" s="547"/>
      <c r="N123" s="525">
        <f>SUM('EU-27_Medium_2030'!E$32+'EU-27_Medium_2030'!G$32+'EU-27_Medium_2030'!H$32+'EU-27_Medium_2030'!J$32)/1000000</f>
        <v>5.1230865023155641</v>
      </c>
      <c r="O123" s="494"/>
      <c r="P123" s="494"/>
      <c r="Q123" s="525">
        <f>SUM('EU-27_High_2030-2050'!E$33+'EU-27_High_2030-2050'!G$33+'EU-27_High_2030-2050'!H$33+'EU-27_High_2030-2050'!J$33)/1000000</f>
        <v>8.738165736490755</v>
      </c>
      <c r="R123" s="494"/>
      <c r="S123" s="494"/>
      <c r="T123" s="494"/>
      <c r="U123" s="494"/>
      <c r="V123" s="494"/>
      <c r="W123" s="494"/>
      <c r="X123" s="525">
        <f>SUM('EU-27_High_2030-2050'!AZ$33+'EU-27_High_2030-2050'!BB$33+'EU-27_High_2030-2050'!BC$33+'EU-27_High_2030-2050'!BE$33)/1000000</f>
        <v>71.430408560585576</v>
      </c>
      <c r="Y123" s="525"/>
      <c r="Z123" s="525"/>
      <c r="AA123" s="538">
        <f>'Conversion factors selected IV '!L$89</f>
        <v>0.27123986095017383</v>
      </c>
      <c r="AB123" s="619">
        <f t="shared" si="142"/>
        <v>0.73186950033079479</v>
      </c>
      <c r="AC123" s="619">
        <f t="shared" si="117"/>
        <v>1.2483093909272507</v>
      </c>
      <c r="AD123" s="619">
        <f t="shared" si="212"/>
        <v>10.204344080083652</v>
      </c>
      <c r="AE123" s="977">
        <f>1/'IVCs relevant in 2030'!R$2</f>
        <v>0.14285714285714285</v>
      </c>
      <c r="AF123" s="972">
        <v>0.14285714285714285</v>
      </c>
      <c r="AG123" s="630">
        <f t="shared" si="213"/>
        <v>0.19851218150339797</v>
      </c>
      <c r="AH123" s="530">
        <f t="shared" si="219"/>
        <v>2308.6966708845184</v>
      </c>
      <c r="AI123" s="592">
        <f t="shared" si="214"/>
        <v>0.3385912656179037</v>
      </c>
      <c r="AJ123" s="531">
        <f t="shared" si="220"/>
        <v>3937.8164191362202</v>
      </c>
      <c r="AK123" s="531">
        <f t="shared" si="215"/>
        <v>0.84084035346995334</v>
      </c>
      <c r="AL123" s="1006">
        <f t="shared" si="175"/>
        <v>0.94589966655583257</v>
      </c>
      <c r="AM123" s="1007">
        <f t="shared" si="216"/>
        <v>1.4831685254365086</v>
      </c>
      <c r="AN123" s="1007">
        <f t="shared" si="119"/>
        <v>1.5532080674937616</v>
      </c>
      <c r="AO123" s="525">
        <f t="shared" si="217"/>
        <v>2.7678248693696195</v>
      </c>
      <c r="AP123" s="532"/>
      <c r="AQ123" s="542"/>
      <c r="AR123" s="542"/>
      <c r="AS123" s="533"/>
      <c r="AT123" s="533"/>
      <c r="AU123" s="533"/>
      <c r="AV123" s="534"/>
      <c r="AW123" s="544"/>
      <c r="AX123" s="544"/>
      <c r="AY123" s="534"/>
      <c r="AZ123" s="544"/>
      <c r="BA123" s="544"/>
      <c r="BB123" s="535"/>
      <c r="BC123" s="534"/>
      <c r="BD123" s="499"/>
      <c r="BE123" s="536"/>
      <c r="BF123" s="499"/>
      <c r="BG123" s="9">
        <f t="shared" si="218"/>
        <v>32189.803230768674</v>
      </c>
    </row>
    <row r="124" spans="1:59" customFormat="1" outlineLevel="1">
      <c r="A124" s="534"/>
      <c r="B124" s="499"/>
      <c r="C124" s="499"/>
      <c r="D124" s="524"/>
      <c r="E124" s="524"/>
      <c r="F124" s="499"/>
      <c r="G124" s="534"/>
      <c r="H124" s="494"/>
      <c r="I124" s="525"/>
      <c r="J124" s="854"/>
      <c r="K124" s="551" t="s">
        <v>276</v>
      </c>
      <c r="L124" s="547" t="s">
        <v>277</v>
      </c>
      <c r="M124" s="547"/>
      <c r="N124" s="525">
        <f>SUM('EU-27_Medium_2030'!K$32+'EU-27_Medium_2030'!M$32)/1000000</f>
        <v>2.3323784509315457</v>
      </c>
      <c r="O124" s="525"/>
      <c r="P124" s="525"/>
      <c r="Q124" s="525">
        <f>SUM('EU-27_High_2030-2050'!K$33+'EU-27_High_2030-2050'!M$33)/1000000</f>
        <v>6.1393981815063317</v>
      </c>
      <c r="R124" s="525"/>
      <c r="S124" s="525"/>
      <c r="T124" s="525"/>
      <c r="U124" s="525"/>
      <c r="V124" s="525"/>
      <c r="W124" s="525"/>
      <c r="X124" s="525">
        <f>SUM('EU-27_High_2030-2050'!BF$33+'EU-27_High_2030-2050'!BH$33)/1000000</f>
        <v>14.099411675482649</v>
      </c>
      <c r="Y124" s="525"/>
      <c r="Z124" s="525"/>
      <c r="AA124" s="538">
        <f>'Conversion factors selected IV '!L$89</f>
        <v>0.27123986095017383</v>
      </c>
      <c r="AB124" s="619">
        <f t="shared" si="142"/>
        <v>0.33319692156164937</v>
      </c>
      <c r="AC124" s="619">
        <f t="shared" si="117"/>
        <v>0.87705688307233309</v>
      </c>
      <c r="AD124" s="619">
        <f t="shared" si="212"/>
        <v>2.0142016679260926</v>
      </c>
      <c r="AE124" s="977">
        <f>1/'IVCs relevant in 2030'!R$4</f>
        <v>0.14285714285714285</v>
      </c>
      <c r="AF124" s="972">
        <v>0.14285714285714285</v>
      </c>
      <c r="AG124" s="630">
        <f t="shared" si="213"/>
        <v>9.0376286673407746E-2</v>
      </c>
      <c r="AH124" s="530">
        <f t="shared" si="219"/>
        <v>1051.0762140117322</v>
      </c>
      <c r="AI124" s="592">
        <f t="shared" si="214"/>
        <v>0.23789278700993247</v>
      </c>
      <c r="AJ124" s="531">
        <f t="shared" si="220"/>
        <v>2766.6931129255145</v>
      </c>
      <c r="AK124" s="531">
        <f t="shared" si="215"/>
        <v>0.20436516008852618</v>
      </c>
      <c r="AL124" s="1006">
        <f t="shared" si="175"/>
        <v>0.31500253534091971</v>
      </c>
      <c r="AM124" s="1007">
        <f t="shared" si="216"/>
        <v>0.31835403350364466</v>
      </c>
      <c r="AN124" s="1007">
        <f t="shared" si="119"/>
        <v>0.39211228367190698</v>
      </c>
      <c r="AO124" s="525">
        <f t="shared" si="217"/>
        <v>0.54633178033388152</v>
      </c>
      <c r="AP124" s="532"/>
      <c r="AQ124" s="542"/>
      <c r="AR124" s="542"/>
      <c r="AS124" s="533"/>
      <c r="AT124" s="533"/>
      <c r="AU124" s="533"/>
      <c r="AV124" s="534"/>
      <c r="AW124" s="544"/>
      <c r="AX124" s="544"/>
      <c r="AY124" s="534"/>
      <c r="AZ124" s="544"/>
      <c r="BA124" s="544"/>
      <c r="BB124" s="535"/>
      <c r="BC124" s="534"/>
      <c r="BD124" s="499"/>
      <c r="BE124" s="536"/>
      <c r="BF124" s="499"/>
      <c r="BG124" s="9">
        <f t="shared" si="218"/>
        <v>6353.8386052830419</v>
      </c>
    </row>
    <row r="125" spans="1:59" customFormat="1" outlineLevel="1">
      <c r="A125" s="534"/>
      <c r="B125" s="499"/>
      <c r="C125" s="499"/>
      <c r="D125" s="524"/>
      <c r="E125" s="524"/>
      <c r="F125" s="499"/>
      <c r="G125" s="534"/>
      <c r="H125" s="494"/>
      <c r="I125" s="525"/>
      <c r="J125" s="854"/>
      <c r="K125" s="551" t="s">
        <v>293</v>
      </c>
      <c r="L125" s="547" t="s">
        <v>294</v>
      </c>
      <c r="M125" s="547"/>
      <c r="N125" s="525">
        <f>SUM('EU-27_Medium_2030'!C$32+'EU-27_Medium_2030'!D$32)/1000000</f>
        <v>37.416699428169103</v>
      </c>
      <c r="O125" s="525"/>
      <c r="P125" s="525"/>
      <c r="Q125" s="525">
        <f>SUM('EU-27_High_2030-2050'!C$33+'EU-27_High_2030-2050'!D$33)/1000000</f>
        <v>37.416699428169103</v>
      </c>
      <c r="R125" s="525"/>
      <c r="S125" s="525"/>
      <c r="T125" s="525"/>
      <c r="U125" s="525"/>
      <c r="V125" s="525"/>
      <c r="W125" s="525"/>
      <c r="X125" s="525">
        <f>SUM('EU-27_High_2030-2050'!AX$33+'EU-27_High_2030-2050'!AY$33)/1000000</f>
        <v>38.131780786359911</v>
      </c>
      <c r="Y125" s="525"/>
      <c r="Z125" s="525"/>
      <c r="AA125" s="538">
        <f>'Conversion factors selected IV '!L$89</f>
        <v>0.27123986095017383</v>
      </c>
      <c r="AB125" s="619">
        <f t="shared" si="142"/>
        <v>7.4833398856338214</v>
      </c>
      <c r="AC125" s="619">
        <f t="shared" si="117"/>
        <v>7.4833398856338214</v>
      </c>
      <c r="AD125" s="619">
        <f t="shared" si="212"/>
        <v>7.6263561572719825</v>
      </c>
      <c r="AE125" s="977">
        <f>1/'IVCs relevant in 2030'!R$6</f>
        <v>0.2</v>
      </c>
      <c r="AF125" s="963">
        <v>0.2</v>
      </c>
      <c r="AG125" s="630">
        <f t="shared" si="213"/>
        <v>2.0297800700222073</v>
      </c>
      <c r="AH125" s="530">
        <f t="shared" si="219"/>
        <v>23606.342214358272</v>
      </c>
      <c r="AI125" s="592">
        <f t="shared" si="214"/>
        <v>2.0297800700222073</v>
      </c>
      <c r="AJ125" s="531">
        <f t="shared" si="220"/>
        <v>23606.342214358272</v>
      </c>
      <c r="AK125" s="531">
        <f t="shared" si="215"/>
        <v>2.0394779984303941</v>
      </c>
      <c r="AL125" s="1006">
        <f t="shared" si="175"/>
        <v>2.0394779984303941</v>
      </c>
      <c r="AM125" s="1007">
        <f t="shared" si="216"/>
        <v>2.049175926838581</v>
      </c>
      <c r="AN125" s="1007">
        <f t="shared" si="119"/>
        <v>2.049175926838581</v>
      </c>
      <c r="AO125" s="525">
        <f t="shared" si="217"/>
        <v>2.0685717836549546</v>
      </c>
      <c r="AP125" s="532"/>
      <c r="AQ125" s="542"/>
      <c r="AR125" s="542"/>
      <c r="AS125" s="533"/>
      <c r="AT125" s="533"/>
      <c r="AU125" s="533"/>
      <c r="AV125" s="534"/>
      <c r="AW125" s="544"/>
      <c r="AX125" s="544"/>
      <c r="AY125" s="534"/>
      <c r="AZ125" s="544"/>
      <c r="BA125" s="544"/>
      <c r="BB125" s="535"/>
      <c r="BC125" s="534"/>
      <c r="BD125" s="499"/>
      <c r="BE125" s="536"/>
      <c r="BF125" s="499"/>
      <c r="BG125" s="9">
        <f t="shared" si="218"/>
        <v>24057.489843907122</v>
      </c>
    </row>
    <row r="126" spans="1:59" customFormat="1" ht="14.5" customHeight="1" outlineLevel="1">
      <c r="A126" s="534"/>
      <c r="B126" s="499"/>
      <c r="C126" s="499"/>
      <c r="D126" s="524"/>
      <c r="E126" s="524"/>
      <c r="F126" s="499"/>
      <c r="G126" s="534"/>
      <c r="H126" s="494"/>
      <c r="I126" s="525"/>
      <c r="J126" s="854"/>
      <c r="K126" s="551" t="s">
        <v>270</v>
      </c>
      <c r="L126" s="547" t="s">
        <v>271</v>
      </c>
      <c r="M126" s="547"/>
      <c r="N126" s="525">
        <f>SUM('EU-27_Medium_2030'!U$32+'EU-27_Medium_2030'!V$32+'EU-27_Medium_2030'!W$32+'EU-27_Medium_2030'!X$32+'EU-27_Medium_2030'!Y$32+'EU-27_Medium_2030'!Z$32)/1000000</f>
        <v>39.28182327905342</v>
      </c>
      <c r="O126" s="525"/>
      <c r="P126" s="525"/>
      <c r="Q126" s="525">
        <f>SUM('EU-27_High_2030-2050'!U$33+'EU-27_High_2030-2050'!V$33+'EU-27_High_2030-2050'!W$33+'EU-27_High_2030-2050'!X$33+'EU-27_High_2030-2050'!Y$33+'EU-27_High_2030-2050'!Z$33)/1000000</f>
        <v>55.037292867279561</v>
      </c>
      <c r="R126" s="525"/>
      <c r="S126" s="525"/>
      <c r="T126" s="525"/>
      <c r="U126" s="525"/>
      <c r="V126" s="525"/>
      <c r="W126" s="525"/>
      <c r="X126" s="525">
        <f>SUM('EU-27_High_2030-2050'!BP$33+'EU-27_High_2030-2050'!BQ$33+'EU-27_High_2030-2050'!BR$33+'EU-27_High_2030-2050'!BS$33+'EU-27_High_2030-2050'!BT$33+'EU-27_High_2030-2050'!BU$33)/1000000</f>
        <v>58.609743205605817</v>
      </c>
      <c r="Y126" s="525"/>
      <c r="Z126" s="525"/>
      <c r="AA126" s="538">
        <f>'Conversion factors selected IV '!L$89</f>
        <v>0.27123986095017383</v>
      </c>
      <c r="AB126" s="619">
        <f t="shared" si="142"/>
        <v>6.546970546508903</v>
      </c>
      <c r="AC126" s="619">
        <f t="shared" si="117"/>
        <v>9.1728821445465929</v>
      </c>
      <c r="AD126" s="619">
        <f t="shared" si="212"/>
        <v>9.7682905342676349</v>
      </c>
      <c r="AE126" s="977">
        <f>1/'IVCs relevant in 2030'!R$16</f>
        <v>0.16666666666666666</v>
      </c>
      <c r="AF126" s="972">
        <v>0.16666666666666666</v>
      </c>
      <c r="AG126" s="630">
        <f t="shared" si="213"/>
        <v>1.7757993806799584</v>
      </c>
      <c r="AH126" s="530">
        <f t="shared" si="219"/>
        <v>20652.546797307914</v>
      </c>
      <c r="AI126" s="592">
        <f t="shared" si="214"/>
        <v>2.4880512773991503</v>
      </c>
      <c r="AJ126" s="531">
        <f t="shared" si="220"/>
        <v>28936.036356152119</v>
      </c>
      <c r="AK126" s="531">
        <f t="shared" si="215"/>
        <v>1.9942369770688819</v>
      </c>
      <c r="AL126" s="1006">
        <f t="shared" si="175"/>
        <v>2.5284258996082758</v>
      </c>
      <c r="AM126" s="1007">
        <f t="shared" si="216"/>
        <v>2.2126745734578055</v>
      </c>
      <c r="AN126" s="1007">
        <f t="shared" si="119"/>
        <v>2.5688005218174013</v>
      </c>
      <c r="AO126" s="525">
        <f t="shared" si="217"/>
        <v>2.6495497662356526</v>
      </c>
      <c r="AP126" s="532"/>
      <c r="AQ126" s="542"/>
      <c r="AR126" s="542"/>
      <c r="AS126" s="533"/>
      <c r="AT126" s="533"/>
      <c r="AU126" s="533"/>
      <c r="AV126" s="534"/>
      <c r="AW126" s="544"/>
      <c r="AX126" s="544"/>
      <c r="AY126" s="534"/>
      <c r="AZ126" s="544"/>
      <c r="BA126" s="544"/>
      <c r="BB126" s="535"/>
      <c r="BC126" s="534"/>
      <c r="BD126" s="499"/>
      <c r="BE126" s="536"/>
      <c r="BF126" s="499"/>
      <c r="BG126" s="9">
        <f t="shared" si="218"/>
        <v>30814.263781320638</v>
      </c>
    </row>
    <row r="127" spans="1:59" customFormat="1" outlineLevel="1">
      <c r="A127" s="534"/>
      <c r="B127" s="499"/>
      <c r="C127" s="499"/>
      <c r="D127" s="524"/>
      <c r="E127" s="524"/>
      <c r="F127" s="499"/>
      <c r="G127" s="534"/>
      <c r="H127" s="494"/>
      <c r="I127" s="525"/>
      <c r="J127" s="854"/>
      <c r="K127" s="551" t="s">
        <v>295</v>
      </c>
      <c r="L127" s="547" t="s">
        <v>296</v>
      </c>
      <c r="M127" s="547"/>
      <c r="N127" s="525">
        <f>SUM('EU-27_Medium_2030'!AT$32+'EU-27_Medium_2030'!AU$32)/1000000</f>
        <v>11.766835672202422</v>
      </c>
      <c r="O127" s="525"/>
      <c r="P127" s="525"/>
      <c r="Q127" s="525">
        <f>SUM('EU-27_High_2030-2050'!AT$33+'EU-27_High_2030-2050'!AU$33)/1000000</f>
        <v>15.689114229603229</v>
      </c>
      <c r="R127" s="525"/>
      <c r="S127" s="525"/>
      <c r="T127" s="525"/>
      <c r="U127" s="525"/>
      <c r="V127" s="525"/>
      <c r="W127" s="525"/>
      <c r="X127" s="525">
        <f>SUM('EU-27_High_2030-2050'!CO$33+'EU-27_High_2030-2050'!CP$33)/1000000</f>
        <v>19.03051341926674</v>
      </c>
      <c r="Y127" s="525"/>
      <c r="Z127" s="525"/>
      <c r="AA127" s="538">
        <f>'Conversion factors selected IV '!L$89</f>
        <v>0.27123986095017383</v>
      </c>
      <c r="AB127" s="619">
        <f t="shared" si="142"/>
        <v>2.3533671344404845</v>
      </c>
      <c r="AC127" s="619">
        <f t="shared" si="117"/>
        <v>3.1378228459206459</v>
      </c>
      <c r="AD127" s="619">
        <f t="shared" si="212"/>
        <v>3.8061026838533483</v>
      </c>
      <c r="AE127" s="977">
        <f>1/'IVCs relevant in 2030'!R$20</f>
        <v>0.2</v>
      </c>
      <c r="AF127" s="963">
        <v>0.2</v>
      </c>
      <c r="AG127" s="630">
        <f t="shared" si="213"/>
        <v>0.63832697431034602</v>
      </c>
      <c r="AH127" s="530">
        <f t="shared" si="219"/>
        <v>7423.7427112293244</v>
      </c>
      <c r="AI127" s="592">
        <f t="shared" si="214"/>
        <v>0.85110263241379469</v>
      </c>
      <c r="AJ127" s="531">
        <f t="shared" si="220"/>
        <v>9898.3236149724326</v>
      </c>
      <c r="AK127" s="531">
        <f t="shared" si="215"/>
        <v>0.73683692141537593</v>
      </c>
      <c r="AL127" s="1006">
        <f t="shared" si="175"/>
        <v>0.89641866499296241</v>
      </c>
      <c r="AM127" s="1007">
        <f t="shared" si="216"/>
        <v>0.83534686852040574</v>
      </c>
      <c r="AN127" s="1007">
        <f t="shared" si="119"/>
        <v>0.94173469757213013</v>
      </c>
      <c r="AO127" s="525">
        <f t="shared" si="217"/>
        <v>1.0323667627304656</v>
      </c>
      <c r="AP127" s="532"/>
      <c r="AQ127" s="542"/>
      <c r="AR127" s="542"/>
      <c r="AS127" s="533"/>
      <c r="AT127" s="533"/>
      <c r="AU127" s="533"/>
      <c r="AV127" s="534"/>
      <c r="AW127" s="544"/>
      <c r="AX127" s="544"/>
      <c r="AY127" s="534"/>
      <c r="AZ127" s="544"/>
      <c r="BA127" s="544"/>
      <c r="BB127" s="535"/>
      <c r="BC127" s="534"/>
      <c r="BD127" s="499"/>
      <c r="BE127" s="536"/>
      <c r="BF127" s="499"/>
      <c r="BG127" s="9">
        <f t="shared" si="218"/>
        <v>12006.425450555314</v>
      </c>
    </row>
    <row r="128" spans="1:59" s="515" customFormat="1" outlineLevel="1">
      <c r="A128" s="515" t="s">
        <v>29</v>
      </c>
      <c r="B128" s="515" t="s">
        <v>1359</v>
      </c>
      <c r="C128" s="515" t="s">
        <v>239</v>
      </c>
      <c r="D128" s="515" t="s">
        <v>1353</v>
      </c>
      <c r="E128" s="515" t="s">
        <v>60</v>
      </c>
      <c r="F128" s="515" t="s">
        <v>640</v>
      </c>
      <c r="G128" s="515" t="s">
        <v>35</v>
      </c>
      <c r="H128" s="515">
        <v>1</v>
      </c>
      <c r="I128" s="515">
        <v>148.04932020766233</v>
      </c>
      <c r="J128" s="515">
        <v>2030</v>
      </c>
      <c r="K128" s="515" t="s">
        <v>950</v>
      </c>
      <c r="N128" s="515">
        <f>SUM(N129:N136)</f>
        <v>238.76228248536859</v>
      </c>
      <c r="O128" s="515">
        <v>418.53625200285438</v>
      </c>
      <c r="P128" s="515">
        <v>148.58920533459803</v>
      </c>
      <c r="Q128" s="515">
        <f>SUM(Q129:Q136)</f>
        <v>347.86814483063569</v>
      </c>
      <c r="R128" s="515">
        <f>SUM(N128+((T128-N128)/2))</f>
        <v>345.03609053437981</v>
      </c>
      <c r="S128" s="515">
        <v>280.3412167187841</v>
      </c>
      <c r="T128" s="515">
        <v>451.30989858339098</v>
      </c>
      <c r="U128" s="515">
        <v>149.12909046153371</v>
      </c>
      <c r="V128" s="515">
        <v>290.2398545864628</v>
      </c>
      <c r="W128" s="515">
        <f>SUM(T128+((X128-T128)/2))</f>
        <v>438.20394587245943</v>
      </c>
      <c r="X128" s="515">
        <f>SUM(X129:X136)</f>
        <v>425.09799316152788</v>
      </c>
      <c r="Y128" s="515">
        <f t="shared" ref="Y128:AD128" si="221">SUM(Y129:Y136)</f>
        <v>0</v>
      </c>
      <c r="Z128" s="515">
        <f t="shared" si="221"/>
        <v>0</v>
      </c>
      <c r="AB128" s="593">
        <f t="shared" si="221"/>
        <v>19.493074991657604</v>
      </c>
      <c r="AC128" s="593">
        <f t="shared" si="221"/>
        <v>27.938328266047645</v>
      </c>
      <c r="AD128" s="593">
        <f t="shared" si="221"/>
        <v>65.928599546046954</v>
      </c>
      <c r="AE128" s="834" t="s">
        <v>1354</v>
      </c>
      <c r="AG128" s="608">
        <f>SUM(AG129:AG136)</f>
        <v>5.2756000430705221</v>
      </c>
      <c r="AH128" s="608">
        <f>SUM(AH129:AH136)</f>
        <v>61355.228500910154</v>
      </c>
      <c r="AI128" s="608">
        <f t="shared" ref="AI128:AL128" si="222">SUM(AI129:AI136)</f>
        <v>7.562983611860628</v>
      </c>
      <c r="AJ128" s="608">
        <f t="shared" si="222"/>
        <v>87957.499405939103</v>
      </c>
      <c r="AK128" s="608">
        <f t="shared" si="222"/>
        <v>8.4166815074039611</v>
      </c>
      <c r="AL128" s="600">
        <f t="shared" si="222"/>
        <v>10.13221918399654</v>
      </c>
      <c r="AM128" s="600">
        <f t="shared" ref="AM128" si="223">SUM(AM129:AM136)</f>
        <v>11.557762971737398</v>
      </c>
      <c r="AN128" s="600">
        <f t="shared" ref="AN128" si="224">SUM(AN129:AN136)</f>
        <v>12.701454756132451</v>
      </c>
    </row>
    <row r="129" spans="1:59" s="30" customFormat="1" ht="20" customHeight="1" outlineLevel="1">
      <c r="A129" s="494"/>
      <c r="B129" s="575"/>
      <c r="C129" s="575"/>
      <c r="D129" s="576"/>
      <c r="E129" s="576"/>
      <c r="F129" s="499"/>
      <c r="G129" s="534"/>
      <c r="H129" s="494"/>
      <c r="I129" s="525"/>
      <c r="J129" s="854"/>
      <c r="K129" s="551" t="s">
        <v>272</v>
      </c>
      <c r="L129" s="547" t="s">
        <v>273</v>
      </c>
      <c r="M129" s="547"/>
      <c r="N129" s="538">
        <f>SUM('EU-27_Medium_2030'!N$32+'EU-27_Medium_2030'!O$32+'EU-27_Medium_2030'!P$32)/1000000</f>
        <v>130.89263574041894</v>
      </c>
      <c r="O129" s="538"/>
      <c r="P129" s="538"/>
      <c r="Q129" s="538">
        <f>SUM('EU-27_High_2030-2050'!BI$33+'EU-27_High_2030-2050'!BJ$33+'EU-27_High_2030-2050'!BK$33)/1000000</f>
        <v>207.40944074964315</v>
      </c>
      <c r="R129" s="538"/>
      <c r="S129" s="538"/>
      <c r="T129" s="538"/>
      <c r="U129" s="538"/>
      <c r="V129" s="538"/>
      <c r="W129" s="538"/>
      <c r="X129" s="538">
        <f>SUM('EU-27_High_2030-2050'!BI$33+'EU-27_High_2030-2050'!BJ$33+'EU-27_High_2030-2050'!BK$33)/1000000</f>
        <v>207.40944074964315</v>
      </c>
      <c r="Y129" s="538"/>
      <c r="Z129" s="538"/>
      <c r="AA129" s="527">
        <f>'Conversion factors selected IV '!L116</f>
        <v>0.27123986095017383</v>
      </c>
      <c r="AB129" s="619">
        <f t="shared" ref="AB129:AB148" si="225">N129*AE129</f>
        <v>9.3494739814584946</v>
      </c>
      <c r="AC129" s="619">
        <f t="shared" ref="AC129:AC148" si="226">Q129*AE129</f>
        <v>14.814960053545938</v>
      </c>
      <c r="AD129" s="619">
        <f t="shared" ref="AD129:AD136" si="227">X129*AF129</f>
        <v>29.629920107091877</v>
      </c>
      <c r="AE129" s="997">
        <v>7.1428571428571425E-2</v>
      </c>
      <c r="AF129" s="997">
        <v>0.14285714285714285</v>
      </c>
      <c r="AG129" s="630">
        <f t="shared" ref="AG129:AG136" si="228">N129*AA129*AE129</f>
        <v>2.5359500226880702</v>
      </c>
      <c r="AH129" s="530">
        <f>AG129*11630</f>
        <v>29493.098763862257</v>
      </c>
      <c r="AI129" s="592">
        <f t="shared" ref="AI129:AI136" si="229">Q129*AA129*AE129</f>
        <v>4.0184077049061804</v>
      </c>
      <c r="AJ129" s="531">
        <f>AI129*11630</f>
        <v>46734.081608058877</v>
      </c>
      <c r="AK129" s="531">
        <f t="shared" ref="AK129:AK136" si="230">AG129+0.25*(AO129-AG129)</f>
        <v>3.911166369469143</v>
      </c>
      <c r="AL129" s="1006">
        <f t="shared" ref="AL129:AL136" si="231">AI129+0.25*(AO129-AI129)</f>
        <v>5.0230096311327257</v>
      </c>
      <c r="AM129" s="1007">
        <f t="shared" ref="AM129:AM136" si="232">AG129+0.5*(AO129-AG129)</f>
        <v>5.2863827162502162</v>
      </c>
      <c r="AN129" s="1007">
        <f>AI129+0.5*(AO129-AI129)</f>
        <v>6.0276115573592701</v>
      </c>
      <c r="AO129" s="907">
        <f t="shared" ref="AO129:AO136" si="233">X129*AA129*AF129</f>
        <v>8.0368154098123608</v>
      </c>
      <c r="AP129" s="992"/>
      <c r="AQ129" s="992"/>
      <c r="AR129" s="992"/>
      <c r="AS129" s="993"/>
      <c r="AT129" s="993"/>
      <c r="AU129" s="993"/>
      <c r="AV129" s="990"/>
      <c r="AW129" s="990"/>
      <c r="AX129" s="990"/>
      <c r="AY129" s="990"/>
      <c r="AZ129" s="990"/>
      <c r="BA129" s="990"/>
      <c r="BB129" s="994"/>
      <c r="BC129" s="990"/>
      <c r="BD129" s="991"/>
      <c r="BE129" s="995"/>
      <c r="BF129" s="991"/>
      <c r="BG129" s="51">
        <f t="shared" ref="BG129:BG136" si="234">AO129*11630</f>
        <v>93468.163216117755</v>
      </c>
    </row>
    <row r="130" spans="1:59" s="30" customFormat="1" ht="17.5" customHeight="1" outlineLevel="1">
      <c r="A130" s="494"/>
      <c r="B130" s="575"/>
      <c r="C130" s="575"/>
      <c r="D130" s="576"/>
      <c r="E130" s="576"/>
      <c r="F130" s="499"/>
      <c r="G130" s="534"/>
      <c r="H130" s="494"/>
      <c r="I130" s="525"/>
      <c r="J130" s="854"/>
      <c r="K130" s="551" t="s">
        <v>1065</v>
      </c>
      <c r="L130" s="547" t="s">
        <v>291</v>
      </c>
      <c r="M130" s="547"/>
      <c r="N130" s="525">
        <f>SUM('EU-27_Medium_2030'!Q$32+'EU-27_Medium_2030'!R$32)/1000000</f>
        <v>8.4952845259123446</v>
      </c>
      <c r="O130" s="525"/>
      <c r="P130" s="525"/>
      <c r="Q130" s="525">
        <f>SUM('EU-27_High_2030-2050'!Q$33+'EU-27_High_2030-2050'!R$33+'EU-27_High_2030-2050'!AE$33)/1000000</f>
        <v>12.257725308395727</v>
      </c>
      <c r="R130" s="525"/>
      <c r="S130" s="525"/>
      <c r="T130" s="525"/>
      <c r="U130" s="525"/>
      <c r="V130" s="525"/>
      <c r="W130" s="525"/>
      <c r="X130" s="525">
        <f>SUM('EU-27_High_2030-2050'!BL$33+'EU-27_High_2030-2050'!BM$33+'EU-27_High_2030-2050'!BZ$33)/1000000</f>
        <v>11.938639120933642</v>
      </c>
      <c r="Y130" s="525"/>
      <c r="Z130" s="525"/>
      <c r="AA130" s="527">
        <v>0.27123986095017383</v>
      </c>
      <c r="AB130" s="619">
        <f t="shared" si="225"/>
        <v>0.70794037715936198</v>
      </c>
      <c r="AC130" s="619">
        <f t="shared" si="226"/>
        <v>1.0214771090329773</v>
      </c>
      <c r="AD130" s="619">
        <f t="shared" si="227"/>
        <v>1.9897731868222737</v>
      </c>
      <c r="AE130" s="997">
        <v>8.3333333333333329E-2</v>
      </c>
      <c r="AF130" s="997">
        <v>0.16666666666666666</v>
      </c>
      <c r="AG130" s="630">
        <f t="shared" si="228"/>
        <v>0.19202164946171899</v>
      </c>
      <c r="AH130" s="530">
        <f t="shared" ref="AH130:AH136" si="235">AG130*11630</f>
        <v>2233.2117832397917</v>
      </c>
      <c r="AI130" s="592">
        <f t="shared" si="229"/>
        <v>0.27706530901789028</v>
      </c>
      <c r="AJ130" s="531">
        <f t="shared" ref="AJ130:AJ136" si="236">AI130*11630</f>
        <v>3222.2695438780638</v>
      </c>
      <c r="AK130" s="531">
        <f t="shared" si="230"/>
        <v>0.27894268772530367</v>
      </c>
      <c r="AL130" s="1006">
        <f t="shared" si="231"/>
        <v>0.34272543239243214</v>
      </c>
      <c r="AM130" s="1007">
        <f t="shared" si="232"/>
        <v>0.36586372598888839</v>
      </c>
      <c r="AN130" s="1007">
        <f t="shared" ref="AN130:AN148" si="237">AI130+0.5*(AO130-AI130)</f>
        <v>0.408385555766974</v>
      </c>
      <c r="AO130" s="907">
        <f t="shared" si="233"/>
        <v>0.53970580251605771</v>
      </c>
      <c r="AP130" s="992"/>
      <c r="AQ130" s="992"/>
      <c r="AR130" s="992"/>
      <c r="AS130" s="993"/>
      <c r="AT130" s="993"/>
      <c r="AU130" s="993"/>
      <c r="AV130" s="990"/>
      <c r="AW130" s="990"/>
      <c r="AX130" s="990"/>
      <c r="AY130" s="990"/>
      <c r="AZ130" s="990"/>
      <c r="BA130" s="990"/>
      <c r="BB130" s="994"/>
      <c r="BC130" s="990"/>
      <c r="BD130" s="991"/>
      <c r="BE130" s="995"/>
      <c r="BF130" s="991"/>
      <c r="BG130" s="51">
        <f t="shared" si="234"/>
        <v>6276.7784832617508</v>
      </c>
    </row>
    <row r="131" spans="1:59" s="30" customFormat="1" outlineLevel="1">
      <c r="A131" s="494"/>
      <c r="B131" s="575"/>
      <c r="C131" s="575"/>
      <c r="D131" s="576"/>
      <c r="E131" s="576"/>
      <c r="F131" s="499"/>
      <c r="G131" s="534"/>
      <c r="H131" s="494"/>
      <c r="I131" s="525"/>
      <c r="J131" s="854"/>
      <c r="K131" s="551" t="s">
        <v>292</v>
      </c>
      <c r="L131" s="559">
        <v>4204</v>
      </c>
      <c r="M131" s="559"/>
      <c r="N131" s="525">
        <f>'EU-27_Medium_2030'!AD$32/1000000</f>
        <v>3.4535388863652337</v>
      </c>
      <c r="O131" s="525"/>
      <c r="P131" s="525"/>
      <c r="Q131" s="525">
        <f>'EU-27_High_2030-2050'!AD$33/1000000</f>
        <v>5.1803083295478496</v>
      </c>
      <c r="R131" s="525"/>
      <c r="S131" s="525"/>
      <c r="T131" s="525"/>
      <c r="U131" s="525"/>
      <c r="V131" s="525"/>
      <c r="W131" s="525"/>
      <c r="X131" s="525">
        <f>'EU-27_High_2030-2050'!BY$33/1000000</f>
        <v>4.4480556436504077</v>
      </c>
      <c r="Y131" s="525"/>
      <c r="Z131" s="525"/>
      <c r="AA131" s="527">
        <v>0.27</v>
      </c>
      <c r="AB131" s="619">
        <f t="shared" si="225"/>
        <v>0.34535388863652339</v>
      </c>
      <c r="AC131" s="619">
        <f t="shared" si="226"/>
        <v>0.51803083295478503</v>
      </c>
      <c r="AD131" s="619">
        <f t="shared" si="227"/>
        <v>0.88961112873008164</v>
      </c>
      <c r="AE131" s="997">
        <v>0.1</v>
      </c>
      <c r="AF131" s="997">
        <v>0.2</v>
      </c>
      <c r="AG131" s="630">
        <f t="shared" si="228"/>
        <v>9.3245549931861321E-2</v>
      </c>
      <c r="AH131" s="530">
        <f t="shared" si="235"/>
        <v>1084.4457457075471</v>
      </c>
      <c r="AI131" s="592">
        <f t="shared" si="229"/>
        <v>0.13986832489779197</v>
      </c>
      <c r="AJ131" s="531">
        <f t="shared" si="236"/>
        <v>1626.6686185613205</v>
      </c>
      <c r="AK131" s="531">
        <f t="shared" si="230"/>
        <v>0.12998291363817652</v>
      </c>
      <c r="AL131" s="1006">
        <f t="shared" si="231"/>
        <v>0.16494999486262449</v>
      </c>
      <c r="AM131" s="1007">
        <f t="shared" si="232"/>
        <v>0.16672027734449169</v>
      </c>
      <c r="AN131" s="1007">
        <f t="shared" si="237"/>
        <v>0.19003166482745704</v>
      </c>
      <c r="AO131" s="907">
        <f t="shared" si="233"/>
        <v>0.24019500475712208</v>
      </c>
      <c r="AP131" s="992"/>
      <c r="AQ131" s="992"/>
      <c r="AR131" s="992"/>
      <c r="AS131" s="993"/>
      <c r="AT131" s="993"/>
      <c r="AU131" s="993"/>
      <c r="AV131" s="990"/>
      <c r="AW131" s="990"/>
      <c r="AX131" s="990"/>
      <c r="AY131" s="990"/>
      <c r="AZ131" s="990"/>
      <c r="BA131" s="990"/>
      <c r="BB131" s="994"/>
      <c r="BC131" s="990"/>
      <c r="BD131" s="991"/>
      <c r="BE131" s="995"/>
      <c r="BF131" s="991"/>
      <c r="BG131" s="51">
        <f t="shared" si="234"/>
        <v>2793.4679053253299</v>
      </c>
    </row>
    <row r="132" spans="1:59" s="30" customFormat="1" ht="15.5" customHeight="1" outlineLevel="1">
      <c r="A132" s="494"/>
      <c r="B132" s="575"/>
      <c r="C132" s="575"/>
      <c r="D132" s="576"/>
      <c r="E132" s="576"/>
      <c r="F132" s="499"/>
      <c r="G132" s="534"/>
      <c r="H132" s="494"/>
      <c r="I132" s="525"/>
      <c r="J132" s="854"/>
      <c r="K132" s="551" t="s">
        <v>274</v>
      </c>
      <c r="L132" s="547" t="s">
        <v>275</v>
      </c>
      <c r="M132" s="547"/>
      <c r="N132" s="525">
        <f>SUM('EU-27_Medium_2030'!E$32+'EU-27_Medium_2030'!G$32+'EU-27_Medium_2030'!H$32+'EU-27_Medium_2030'!J$32)/1000000</f>
        <v>5.1230865023155641</v>
      </c>
      <c r="O132" s="494"/>
      <c r="P132" s="494"/>
      <c r="Q132" s="525">
        <f>SUM('EU-27_High_2030-2050'!E$33+'EU-27_High_2030-2050'!G$33+'EU-27_High_2030-2050'!H$33+'EU-27_High_2030-2050'!J$33)/1000000</f>
        <v>8.738165736490755</v>
      </c>
      <c r="R132" s="494"/>
      <c r="S132" s="494"/>
      <c r="T132" s="494"/>
      <c r="U132" s="494"/>
      <c r="V132" s="494"/>
      <c r="W132" s="494"/>
      <c r="X132" s="525">
        <f>SUM('EU-27_High_2030-2050'!AZ$33+'EU-27_High_2030-2050'!BB$33+'EU-27_High_2030-2050'!BC$33+'EU-27_High_2030-2050'!BE$33)/1000000</f>
        <v>71.430408560585576</v>
      </c>
      <c r="Y132" s="525"/>
      <c r="Z132" s="525"/>
      <c r="AA132" s="527">
        <v>0.27</v>
      </c>
      <c r="AB132" s="619">
        <f t="shared" si="225"/>
        <v>0.73186950033079479</v>
      </c>
      <c r="AC132" s="619">
        <f t="shared" si="226"/>
        <v>1.2483093909272507</v>
      </c>
      <c r="AD132" s="619">
        <f t="shared" si="227"/>
        <v>10.204344080083652</v>
      </c>
      <c r="AE132" s="997">
        <v>0.14285714285714285</v>
      </c>
      <c r="AF132" s="997">
        <v>0.14285714285714285</v>
      </c>
      <c r="AG132" s="630">
        <f t="shared" si="228"/>
        <v>0.1976047650893146</v>
      </c>
      <c r="AH132" s="530">
        <f t="shared" si="235"/>
        <v>2298.1434179887287</v>
      </c>
      <c r="AI132" s="592">
        <f t="shared" si="229"/>
        <v>0.33704353555035765</v>
      </c>
      <c r="AJ132" s="531">
        <f t="shared" si="236"/>
        <v>3919.8163184506593</v>
      </c>
      <c r="AK132" s="531">
        <f t="shared" si="230"/>
        <v>0.83699679922263259</v>
      </c>
      <c r="AL132" s="1006">
        <f t="shared" si="231"/>
        <v>0.94157587706841483</v>
      </c>
      <c r="AM132" s="1007">
        <f t="shared" si="232"/>
        <v>1.4763888333559507</v>
      </c>
      <c r="AN132" s="1007">
        <f t="shared" si="237"/>
        <v>1.5461082185864721</v>
      </c>
      <c r="AO132" s="907">
        <f t="shared" si="233"/>
        <v>2.7551729016225868</v>
      </c>
      <c r="AP132" s="992"/>
      <c r="AQ132" s="992"/>
      <c r="AR132" s="992"/>
      <c r="AS132" s="993"/>
      <c r="AT132" s="993"/>
      <c r="AU132" s="993"/>
      <c r="AV132" s="990"/>
      <c r="AW132" s="990"/>
      <c r="AX132" s="990"/>
      <c r="AY132" s="990"/>
      <c r="AZ132" s="990"/>
      <c r="BA132" s="990"/>
      <c r="BB132" s="994"/>
      <c r="BC132" s="990"/>
      <c r="BD132" s="991"/>
      <c r="BE132" s="995"/>
      <c r="BF132" s="991"/>
      <c r="BG132" s="51">
        <f t="shared" si="234"/>
        <v>32042.660845870683</v>
      </c>
    </row>
    <row r="133" spans="1:59" s="30" customFormat="1" outlineLevel="1">
      <c r="A133" s="494"/>
      <c r="B133" s="575"/>
      <c r="C133" s="575"/>
      <c r="D133" s="576"/>
      <c r="E133" s="576"/>
      <c r="F133" s="499"/>
      <c r="G133" s="534"/>
      <c r="H133" s="494"/>
      <c r="I133" s="525"/>
      <c r="J133" s="854"/>
      <c r="K133" s="551" t="s">
        <v>276</v>
      </c>
      <c r="L133" s="547" t="s">
        <v>277</v>
      </c>
      <c r="M133" s="547"/>
      <c r="N133" s="525">
        <f>SUM('EU-27_Medium_2030'!K$32+'EU-27_Medium_2030'!M$32)/1000000</f>
        <v>2.3323784509315457</v>
      </c>
      <c r="O133" s="525"/>
      <c r="P133" s="525"/>
      <c r="Q133" s="525">
        <f>SUM('EU-27_High_2030-2050'!K$33+'EU-27_High_2030-2050'!M$33)/1000000</f>
        <v>6.1393981815063317</v>
      </c>
      <c r="R133" s="525"/>
      <c r="S133" s="525"/>
      <c r="T133" s="525"/>
      <c r="U133" s="525"/>
      <c r="V133" s="525"/>
      <c r="W133" s="525"/>
      <c r="X133" s="525">
        <f>SUM('EU-27_High_2030-2050'!BF$33+'EU-27_High_2030-2050'!BH$33)/1000000</f>
        <v>14.099411675482649</v>
      </c>
      <c r="Y133" s="525"/>
      <c r="Z133" s="525"/>
      <c r="AA133" s="527">
        <v>0.27</v>
      </c>
      <c r="AB133" s="619">
        <f t="shared" si="225"/>
        <v>0.16659846078082469</v>
      </c>
      <c r="AC133" s="619">
        <f t="shared" si="226"/>
        <v>0.43852844153616655</v>
      </c>
      <c r="AD133" s="619">
        <f t="shared" si="227"/>
        <v>2.0142016679260926</v>
      </c>
      <c r="AE133" s="997">
        <v>7.1428571428571425E-2</v>
      </c>
      <c r="AF133" s="997">
        <v>0.14285714285714285</v>
      </c>
      <c r="AG133" s="630">
        <f t="shared" si="228"/>
        <v>4.4981584410822673E-2</v>
      </c>
      <c r="AH133" s="530">
        <f t="shared" si="235"/>
        <v>523.13582669786763</v>
      </c>
      <c r="AI133" s="592">
        <f t="shared" si="229"/>
        <v>0.11840267921476497</v>
      </c>
      <c r="AJ133" s="531">
        <f t="shared" si="236"/>
        <v>1377.0231592677167</v>
      </c>
      <c r="AK133" s="531">
        <f t="shared" si="230"/>
        <v>0.16969480089312827</v>
      </c>
      <c r="AL133" s="1006">
        <f t="shared" si="231"/>
        <v>0.22476062199608499</v>
      </c>
      <c r="AM133" s="1007">
        <f t="shared" si="232"/>
        <v>0.29440801737543387</v>
      </c>
      <c r="AN133" s="1007">
        <f t="shared" si="237"/>
        <v>0.33111856477740498</v>
      </c>
      <c r="AO133" s="907">
        <f t="shared" si="233"/>
        <v>0.54383445034004507</v>
      </c>
      <c r="AP133" s="992"/>
      <c r="AQ133" s="992"/>
      <c r="AR133" s="992"/>
      <c r="AS133" s="993"/>
      <c r="AT133" s="993"/>
      <c r="AU133" s="993"/>
      <c r="AV133" s="990"/>
      <c r="AW133" s="990"/>
      <c r="AX133" s="990"/>
      <c r="AY133" s="990"/>
      <c r="AZ133" s="990"/>
      <c r="BA133" s="990"/>
      <c r="BB133" s="994"/>
      <c r="BC133" s="990"/>
      <c r="BD133" s="991"/>
      <c r="BE133" s="995"/>
      <c r="BF133" s="991"/>
      <c r="BG133" s="51">
        <f t="shared" si="234"/>
        <v>6324.7946574547241</v>
      </c>
    </row>
    <row r="134" spans="1:59" s="30" customFormat="1" outlineLevel="1">
      <c r="A134" s="494"/>
      <c r="B134" s="575"/>
      <c r="C134" s="575"/>
      <c r="D134" s="576"/>
      <c r="E134" s="576"/>
      <c r="F134" s="499"/>
      <c r="G134" s="534"/>
      <c r="H134" s="494"/>
      <c r="I134" s="525"/>
      <c r="J134" s="854"/>
      <c r="K134" s="551" t="s">
        <v>293</v>
      </c>
      <c r="L134" s="547" t="s">
        <v>294</v>
      </c>
      <c r="M134" s="547"/>
      <c r="N134" s="525">
        <f>SUM('EU-27_Medium_2030'!C$32+'EU-27_Medium_2030'!D$32)/1000000</f>
        <v>37.416699428169103</v>
      </c>
      <c r="O134" s="525"/>
      <c r="P134" s="525"/>
      <c r="Q134" s="525">
        <f>SUM('EU-27_High_2030-2050'!C$33+'EU-27_High_2030-2050'!D$33)/1000000</f>
        <v>37.416699428169103</v>
      </c>
      <c r="R134" s="525"/>
      <c r="S134" s="525"/>
      <c r="T134" s="525"/>
      <c r="U134" s="525"/>
      <c r="V134" s="525"/>
      <c r="W134" s="525"/>
      <c r="X134" s="525">
        <f>SUM('EU-27_High_2030-2050'!AX$33+'EU-27_High_2030-2050'!AY$33)/1000000</f>
        <v>38.131780786359911</v>
      </c>
      <c r="Y134" s="525"/>
      <c r="Z134" s="525"/>
      <c r="AA134" s="527">
        <v>0.27</v>
      </c>
      <c r="AB134" s="619">
        <f t="shared" si="225"/>
        <v>3.7416699428169107</v>
      </c>
      <c r="AC134" s="619">
        <f t="shared" si="226"/>
        <v>3.7416699428169107</v>
      </c>
      <c r="AD134" s="619">
        <f t="shared" si="227"/>
        <v>7.6263561572719825</v>
      </c>
      <c r="AE134" s="997">
        <v>0.1</v>
      </c>
      <c r="AF134" s="997">
        <v>0.2</v>
      </c>
      <c r="AG134" s="630">
        <f t="shared" si="228"/>
        <v>1.010250884560566</v>
      </c>
      <c r="AH134" s="530">
        <f t="shared" si="235"/>
        <v>11749.217787439382</v>
      </c>
      <c r="AI134" s="592">
        <f t="shared" si="229"/>
        <v>1.010250884560566</v>
      </c>
      <c r="AJ134" s="531">
        <f t="shared" si="236"/>
        <v>11749.217787439382</v>
      </c>
      <c r="AK134" s="531">
        <f t="shared" si="230"/>
        <v>1.2724672040362834</v>
      </c>
      <c r="AL134" s="1006">
        <f t="shared" si="231"/>
        <v>1.2724672040362834</v>
      </c>
      <c r="AM134" s="1007">
        <f t="shared" si="232"/>
        <v>1.5346835235120007</v>
      </c>
      <c r="AN134" s="1007">
        <f t="shared" si="237"/>
        <v>1.5346835235120007</v>
      </c>
      <c r="AO134" s="907">
        <f t="shared" si="233"/>
        <v>2.0591161624634355</v>
      </c>
      <c r="AP134" s="992"/>
      <c r="AQ134" s="992"/>
      <c r="AR134" s="992"/>
      <c r="AS134" s="993"/>
      <c r="AT134" s="993"/>
      <c r="AU134" s="993"/>
      <c r="AV134" s="990"/>
      <c r="AW134" s="990"/>
      <c r="AX134" s="990"/>
      <c r="AY134" s="990"/>
      <c r="AZ134" s="990"/>
      <c r="BA134" s="990"/>
      <c r="BB134" s="994"/>
      <c r="BC134" s="990"/>
      <c r="BD134" s="991"/>
      <c r="BE134" s="995"/>
      <c r="BF134" s="991"/>
      <c r="BG134" s="51">
        <f t="shared" si="234"/>
        <v>23947.520969449757</v>
      </c>
    </row>
    <row r="135" spans="1:59" s="30" customFormat="1" ht="23" customHeight="1" outlineLevel="1">
      <c r="A135" s="494"/>
      <c r="B135" s="575"/>
      <c r="C135" s="575"/>
      <c r="D135" s="576"/>
      <c r="E135" s="576"/>
      <c r="F135" s="499"/>
      <c r="G135" s="534"/>
      <c r="H135" s="494"/>
      <c r="I135" s="525"/>
      <c r="J135" s="854"/>
      <c r="K135" s="551" t="s">
        <v>270</v>
      </c>
      <c r="L135" s="547" t="s">
        <v>271</v>
      </c>
      <c r="M135" s="547"/>
      <c r="N135" s="525">
        <f>SUM('EU-27_Medium_2030'!U$32+'EU-27_Medium_2030'!V$32+'EU-27_Medium_2030'!W$32+'EU-27_Medium_2030'!X$32+'EU-27_Medium_2030'!Y$32+'EU-27_Medium_2030'!Z$32)/1000000</f>
        <v>39.28182327905342</v>
      </c>
      <c r="O135" s="525"/>
      <c r="P135" s="525"/>
      <c r="Q135" s="525">
        <f>SUM('EU-27_High_2030-2050'!U$33+'EU-27_High_2030-2050'!V$33+'EU-27_High_2030-2050'!W$33+'EU-27_High_2030-2050'!X$33+'EU-27_High_2030-2050'!Y$33+'EU-27_High_2030-2050'!Z$33)/1000000</f>
        <v>55.037292867279561</v>
      </c>
      <c r="R135" s="525"/>
      <c r="S135" s="525"/>
      <c r="T135" s="525"/>
      <c r="U135" s="525"/>
      <c r="V135" s="525"/>
      <c r="W135" s="525"/>
      <c r="X135" s="525">
        <f>SUM('EU-27_High_2030-2050'!BP$33+'EU-27_High_2030-2050'!BQ$33+'EU-27_High_2030-2050'!BR$33+'EU-27_High_2030-2050'!BS$33+'EU-27_High_2030-2050'!BT$33+'EU-27_High_2030-2050'!BU$33)/1000000</f>
        <v>58.609743205605817</v>
      </c>
      <c r="Y135" s="525"/>
      <c r="Z135" s="525"/>
      <c r="AA135" s="527">
        <v>0.27</v>
      </c>
      <c r="AB135" s="619">
        <f t="shared" si="225"/>
        <v>3.2734852732544515</v>
      </c>
      <c r="AC135" s="619">
        <f t="shared" si="226"/>
        <v>4.5864410722732964</v>
      </c>
      <c r="AD135" s="619">
        <f t="shared" si="227"/>
        <v>9.7682905342676349</v>
      </c>
      <c r="AE135" s="997">
        <v>8.3333333333333329E-2</v>
      </c>
      <c r="AF135" s="997">
        <v>0.16666666666666666</v>
      </c>
      <c r="AG135" s="630">
        <f t="shared" si="228"/>
        <v>0.883841023778702</v>
      </c>
      <c r="AH135" s="530">
        <f t="shared" si="235"/>
        <v>10279.071106546304</v>
      </c>
      <c r="AI135" s="592">
        <f t="shared" si="229"/>
        <v>1.23833908951379</v>
      </c>
      <c r="AJ135" s="531">
        <f t="shared" si="236"/>
        <v>14401.883611045378</v>
      </c>
      <c r="AK135" s="531">
        <f t="shared" si="230"/>
        <v>1.322240378897092</v>
      </c>
      <c r="AL135" s="1006">
        <f t="shared" si="231"/>
        <v>1.588113928198408</v>
      </c>
      <c r="AM135" s="1007">
        <f t="shared" si="232"/>
        <v>1.760639734015482</v>
      </c>
      <c r="AN135" s="1007">
        <f t="shared" si="237"/>
        <v>1.937888766883026</v>
      </c>
      <c r="AO135" s="907">
        <f t="shared" si="233"/>
        <v>2.637438444252262</v>
      </c>
      <c r="AP135" s="992"/>
      <c r="AQ135" s="992"/>
      <c r="AR135" s="992"/>
      <c r="AS135" s="993"/>
      <c r="AT135" s="993"/>
      <c r="AU135" s="993"/>
      <c r="AV135" s="990"/>
      <c r="AW135" s="990"/>
      <c r="AX135" s="990"/>
      <c r="AY135" s="990"/>
      <c r="AZ135" s="990"/>
      <c r="BA135" s="990"/>
      <c r="BB135" s="994"/>
      <c r="BC135" s="990"/>
      <c r="BD135" s="991"/>
      <c r="BE135" s="995"/>
      <c r="BF135" s="991"/>
      <c r="BG135" s="51">
        <f t="shared" si="234"/>
        <v>30673.409106653806</v>
      </c>
    </row>
    <row r="136" spans="1:59" s="30" customFormat="1" outlineLevel="1">
      <c r="A136" s="494"/>
      <c r="B136" s="575"/>
      <c r="C136" s="575"/>
      <c r="D136" s="576"/>
      <c r="E136" s="576"/>
      <c r="F136" s="499"/>
      <c r="G136" s="534"/>
      <c r="H136" s="494"/>
      <c r="I136" s="525"/>
      <c r="J136" s="854"/>
      <c r="K136" s="551" t="s">
        <v>295</v>
      </c>
      <c r="L136" s="547" t="s">
        <v>296</v>
      </c>
      <c r="M136" s="547"/>
      <c r="N136" s="525">
        <f>SUM('EU-27_Medium_2030'!AT$32+'EU-27_Medium_2030'!AU$32)/1000000</f>
        <v>11.766835672202422</v>
      </c>
      <c r="O136" s="525"/>
      <c r="P136" s="525"/>
      <c r="Q136" s="525">
        <f>SUM('EU-27_High_2030-2050'!AT$33+'EU-27_High_2030-2050'!AU$33)/1000000</f>
        <v>15.689114229603229</v>
      </c>
      <c r="R136" s="525"/>
      <c r="S136" s="525"/>
      <c r="T136" s="525"/>
      <c r="U136" s="525"/>
      <c r="V136" s="525"/>
      <c r="W136" s="525"/>
      <c r="X136" s="525">
        <f>SUM('EU-27_High_2030-2050'!CO$33+'EU-27_High_2030-2050'!CP$33)/1000000</f>
        <v>19.03051341926674</v>
      </c>
      <c r="Y136" s="525"/>
      <c r="Z136" s="525"/>
      <c r="AA136" s="527">
        <v>0.27</v>
      </c>
      <c r="AB136" s="619">
        <f t="shared" si="225"/>
        <v>1.1766835672202423</v>
      </c>
      <c r="AC136" s="619">
        <f t="shared" si="226"/>
        <v>1.5689114229603229</v>
      </c>
      <c r="AD136" s="619">
        <f t="shared" si="227"/>
        <v>3.8061026838533483</v>
      </c>
      <c r="AE136" s="997">
        <v>0.1</v>
      </c>
      <c r="AF136" s="997">
        <v>0.2</v>
      </c>
      <c r="AG136" s="630">
        <f t="shared" si="228"/>
        <v>0.31770456314946544</v>
      </c>
      <c r="AH136" s="530">
        <f t="shared" si="235"/>
        <v>3694.904069428283</v>
      </c>
      <c r="AI136" s="592">
        <f t="shared" si="229"/>
        <v>0.42360608419928725</v>
      </c>
      <c r="AJ136" s="531">
        <f t="shared" si="236"/>
        <v>4926.538759237711</v>
      </c>
      <c r="AK136" s="531">
        <f t="shared" si="230"/>
        <v>0.49519035352220009</v>
      </c>
      <c r="AL136" s="1006">
        <f t="shared" si="231"/>
        <v>0.57461649430956641</v>
      </c>
      <c r="AM136" s="1007">
        <f t="shared" si="232"/>
        <v>0.67267614389493469</v>
      </c>
      <c r="AN136" s="1007">
        <f t="shared" si="237"/>
        <v>0.72562690441984568</v>
      </c>
      <c r="AO136" s="907">
        <f t="shared" si="233"/>
        <v>1.0276477246404041</v>
      </c>
      <c r="AP136" s="992"/>
      <c r="AQ136" s="992"/>
      <c r="AR136" s="992"/>
      <c r="AS136" s="993"/>
      <c r="AT136" s="993"/>
      <c r="AU136" s="993"/>
      <c r="AV136" s="990"/>
      <c r="AW136" s="990"/>
      <c r="AX136" s="990"/>
      <c r="AY136" s="990"/>
      <c r="AZ136" s="990"/>
      <c r="BA136" s="990"/>
      <c r="BB136" s="994"/>
      <c r="BC136" s="990"/>
      <c r="BD136" s="991"/>
      <c r="BE136" s="995"/>
      <c r="BF136" s="991"/>
      <c r="BG136" s="51">
        <f t="shared" si="234"/>
        <v>11951.543037567899</v>
      </c>
    </row>
    <row r="137" spans="1:59" s="515" customFormat="1">
      <c r="A137" s="598" t="s">
        <v>29</v>
      </c>
      <c r="B137" s="563" t="s">
        <v>1360</v>
      </c>
      <c r="C137" s="577" t="s">
        <v>230</v>
      </c>
      <c r="D137" s="515" t="s">
        <v>1184</v>
      </c>
      <c r="E137" s="577" t="s">
        <v>1178</v>
      </c>
      <c r="F137" s="563" t="s">
        <v>644</v>
      </c>
      <c r="G137" s="598" t="s">
        <v>35</v>
      </c>
      <c r="H137" s="515">
        <v>1</v>
      </c>
      <c r="I137" s="593">
        <v>148.04932020766233</v>
      </c>
      <c r="J137" s="858" t="s">
        <v>1025</v>
      </c>
      <c r="K137" s="593" t="s">
        <v>950</v>
      </c>
      <c r="L137" s="593"/>
      <c r="M137" s="593"/>
      <c r="N137" s="593">
        <f>SUM(N141:N148)</f>
        <v>238.76228248536859</v>
      </c>
      <c r="O137" s="593">
        <v>418.53625200285438</v>
      </c>
      <c r="P137" s="593">
        <v>148.58920533459803</v>
      </c>
      <c r="Q137" s="593">
        <f>SUM(Q141:Q148)</f>
        <v>347.86814483063569</v>
      </c>
      <c r="R137" s="593">
        <f>SUM(N137+((T137-N137)/2))</f>
        <v>345.03609053437981</v>
      </c>
      <c r="S137" s="593">
        <v>280.3412167187841</v>
      </c>
      <c r="T137" s="593">
        <v>451.30989858339098</v>
      </c>
      <c r="U137" s="593">
        <v>149.12909046153371</v>
      </c>
      <c r="V137" s="593">
        <v>290.2398545864628</v>
      </c>
      <c r="W137" s="593">
        <f>SUM(T137+((X137-T137)/2))</f>
        <v>438.20394587245943</v>
      </c>
      <c r="X137" s="593">
        <f>SUM(X141:X148)</f>
        <v>425.09799316152788</v>
      </c>
      <c r="Y137" s="593">
        <f t="shared" ref="Y137:AD137" si="238">SUM(Y141:Y148)</f>
        <v>0</v>
      </c>
      <c r="Z137" s="593">
        <f t="shared" si="238"/>
        <v>0</v>
      </c>
      <c r="AA137" s="593"/>
      <c r="AB137" s="593">
        <f t="shared" si="238"/>
        <v>19.493074991657604</v>
      </c>
      <c r="AC137" s="593">
        <f t="shared" si="238"/>
        <v>27.938328266047645</v>
      </c>
      <c r="AD137" s="593">
        <f t="shared" si="238"/>
        <v>65.928599546046954</v>
      </c>
      <c r="AE137" s="998"/>
      <c r="AF137" s="998"/>
      <c r="AG137" s="595">
        <f>SUM(AG141:AG148)</f>
        <v>1.7773648140310407</v>
      </c>
      <c r="AH137" s="595">
        <f>SUM(AH141:AH148)</f>
        <v>20670.752787181005</v>
      </c>
      <c r="AI137" s="595">
        <f t="shared" ref="AI137:AN137" si="239">SUM(AI141:AI148)</f>
        <v>2.5305438957411668</v>
      </c>
      <c r="AJ137" s="595">
        <f t="shared" si="239"/>
        <v>29430.225507469768</v>
      </c>
      <c r="AK137" s="595">
        <f t="shared" si="239"/>
        <v>2.8209896667517467</v>
      </c>
      <c r="AL137" s="595">
        <f t="shared" si="239"/>
        <v>3.3858739780343416</v>
      </c>
      <c r="AM137" s="595">
        <f t="shared" si="239"/>
        <v>3.8646145194724535</v>
      </c>
      <c r="AN137" s="595">
        <f t="shared" si="239"/>
        <v>4.2412040603275161</v>
      </c>
      <c r="AO137" s="595">
        <f t="shared" ref="AO137:BG137" si="240">SUM(AO141:AO149)</f>
        <v>5.9518642249138658</v>
      </c>
      <c r="AP137" s="595">
        <f t="shared" si="240"/>
        <v>0</v>
      </c>
      <c r="AQ137" s="595">
        <f t="shared" si="240"/>
        <v>0</v>
      </c>
      <c r="AR137" s="595">
        <f t="shared" si="240"/>
        <v>0</v>
      </c>
      <c r="AS137" s="595">
        <f t="shared" si="240"/>
        <v>0</v>
      </c>
      <c r="AT137" s="595">
        <f t="shared" si="240"/>
        <v>0</v>
      </c>
      <c r="AU137" s="595">
        <f t="shared" si="240"/>
        <v>0</v>
      </c>
      <c r="AV137" s="595">
        <f t="shared" si="240"/>
        <v>0</v>
      </c>
      <c r="AW137" s="595">
        <f t="shared" si="240"/>
        <v>0</v>
      </c>
      <c r="AX137" s="595">
        <f t="shared" si="240"/>
        <v>0</v>
      </c>
      <c r="AY137" s="595">
        <f t="shared" si="240"/>
        <v>0</v>
      </c>
      <c r="AZ137" s="595">
        <f t="shared" si="240"/>
        <v>0</v>
      </c>
      <c r="BA137" s="595">
        <f t="shared" si="240"/>
        <v>0</v>
      </c>
      <c r="BB137" s="595">
        <f t="shared" si="240"/>
        <v>0</v>
      </c>
      <c r="BC137" s="595">
        <f t="shared" si="240"/>
        <v>0</v>
      </c>
      <c r="BD137" s="595">
        <f t="shared" si="240"/>
        <v>0</v>
      </c>
      <c r="BE137" s="595">
        <f t="shared" si="240"/>
        <v>0</v>
      </c>
      <c r="BF137" s="595">
        <f t="shared" si="240"/>
        <v>0</v>
      </c>
      <c r="BG137" s="595">
        <f t="shared" si="240"/>
        <v>69220.180935748256</v>
      </c>
    </row>
    <row r="138" spans="1:59" hidden="1">
      <c r="A138" s="494">
        <v>14</v>
      </c>
      <c r="B138" s="575" t="s">
        <v>31</v>
      </c>
      <c r="C138" s="575" t="s">
        <v>61</v>
      </c>
      <c r="D138" s="576"/>
      <c r="E138" s="576"/>
      <c r="F138" s="499" t="s">
        <v>642</v>
      </c>
      <c r="G138" s="534">
        <v>6</v>
      </c>
      <c r="H138" s="494">
        <v>1</v>
      </c>
      <c r="I138" s="525">
        <v>88.226114090114478</v>
      </c>
      <c r="J138" s="854"/>
      <c r="K138" s="525"/>
      <c r="L138" s="525"/>
      <c r="M138" s="525"/>
      <c r="N138" s="525">
        <v>129.10404670004917</v>
      </c>
      <c r="O138" s="525">
        <v>165.88744577778397</v>
      </c>
      <c r="P138" s="525">
        <v>95.79917660737803</v>
      </c>
      <c r="Q138" s="525"/>
      <c r="R138" s="525"/>
      <c r="S138" s="525">
        <v>148.66934715725631</v>
      </c>
      <c r="T138" s="525">
        <v>207.28460545216572</v>
      </c>
      <c r="U138" s="525">
        <v>103.3722391246416</v>
      </c>
      <c r="V138" s="525">
        <v>168.23464761446348</v>
      </c>
      <c r="W138" s="525"/>
      <c r="X138" s="525">
        <v>248.68176512654742</v>
      </c>
      <c r="Y138" s="525"/>
      <c r="Z138" s="525"/>
      <c r="AA138" s="527">
        <v>0.36986078886310902</v>
      </c>
      <c r="AB138" s="619">
        <f t="shared" si="225"/>
        <v>64.552023350024584</v>
      </c>
      <c r="AC138" s="619">
        <f t="shared" si="226"/>
        <v>0</v>
      </c>
      <c r="AD138" s="619"/>
      <c r="AE138" s="974">
        <f>1/2</f>
        <v>0.5</v>
      </c>
      <c r="AF138" s="974"/>
      <c r="AG138" s="530">
        <f>N138*AA138*AE138</f>
        <v>23.875262278949926</v>
      </c>
      <c r="AH138" s="530"/>
      <c r="AI138" s="531"/>
      <c r="AJ138" s="531"/>
      <c r="AK138" s="531">
        <f t="shared" ref="AK138:AK148" si="241">AG138+0.25*(AO138-AG138)</f>
        <v>17.906446709212446</v>
      </c>
      <c r="AL138" s="1006">
        <f>AI138+0.24*(AO138-AI138)</f>
        <v>0</v>
      </c>
      <c r="AM138" s="1007">
        <f t="shared" ref="AM138:AM148" si="242">AG138+0.5*(AO138-AG138)</f>
        <v>11.937631139474963</v>
      </c>
      <c r="AN138" s="1007">
        <f t="shared" si="237"/>
        <v>0</v>
      </c>
      <c r="AO138" s="530"/>
      <c r="AP138" s="532">
        <v>22.442503287543463</v>
      </c>
      <c r="AQ138" s="542"/>
      <c r="AR138" s="542"/>
      <c r="AS138" s="533">
        <f>AG138/AP138</f>
        <v>1.0638413181029456</v>
      </c>
      <c r="AT138" s="533"/>
      <c r="AU138" s="533"/>
      <c r="AV138" s="534" t="s">
        <v>70</v>
      </c>
      <c r="AW138" s="544" t="s">
        <v>68</v>
      </c>
      <c r="AX138" s="544" t="s">
        <v>69</v>
      </c>
      <c r="AY138" s="534" t="s">
        <v>73</v>
      </c>
      <c r="AZ138" s="544" t="s">
        <v>73</v>
      </c>
      <c r="BA138" s="544" t="s">
        <v>73</v>
      </c>
      <c r="BB138" s="535">
        <v>0.66</v>
      </c>
      <c r="BC138" s="543" t="s">
        <v>61</v>
      </c>
      <c r="BD138" s="499">
        <v>0.8</v>
      </c>
      <c r="BE138" s="536">
        <v>5.8999999999999995</v>
      </c>
      <c r="BF138" s="499">
        <v>7.6</v>
      </c>
    </row>
    <row r="139" spans="1:59" hidden="1">
      <c r="A139" s="494">
        <v>14</v>
      </c>
      <c r="B139" s="575" t="s">
        <v>31</v>
      </c>
      <c r="C139" s="575" t="s">
        <v>100</v>
      </c>
      <c r="D139" s="576"/>
      <c r="E139" s="576"/>
      <c r="F139" s="499" t="s">
        <v>643</v>
      </c>
      <c r="G139" s="534">
        <v>6</v>
      </c>
      <c r="H139" s="494">
        <v>1</v>
      </c>
      <c r="I139" s="525">
        <v>88.226114090114478</v>
      </c>
      <c r="J139" s="854"/>
      <c r="K139" s="525"/>
      <c r="L139" s="525"/>
      <c r="M139" s="525"/>
      <c r="N139" s="525">
        <v>129.10404670004917</v>
      </c>
      <c r="O139" s="525">
        <v>165.88744577778397</v>
      </c>
      <c r="P139" s="525">
        <v>95.79917660737803</v>
      </c>
      <c r="Q139" s="525"/>
      <c r="R139" s="525"/>
      <c r="S139" s="525">
        <v>148.66934715725631</v>
      </c>
      <c r="T139" s="525">
        <v>207.28460545216572</v>
      </c>
      <c r="U139" s="525">
        <v>103.3722391246416</v>
      </c>
      <c r="V139" s="525">
        <v>168.23464761446348</v>
      </c>
      <c r="W139" s="525"/>
      <c r="X139" s="525">
        <v>248.68176512654742</v>
      </c>
      <c r="Y139" s="525"/>
      <c r="Z139" s="525"/>
      <c r="AA139" s="527">
        <v>0.12662028216548585</v>
      </c>
      <c r="AB139" s="619">
        <f t="shared" si="225"/>
        <v>64.552023350024584</v>
      </c>
      <c r="AC139" s="619">
        <f t="shared" si="226"/>
        <v>0</v>
      </c>
      <c r="AD139" s="619"/>
      <c r="AE139" s="974">
        <f t="shared" ref="AE139:AE140" si="243">1/2</f>
        <v>0.5</v>
      </c>
      <c r="AF139" s="974"/>
      <c r="AG139" s="530"/>
      <c r="AH139" s="530"/>
      <c r="AI139" s="531"/>
      <c r="AJ139" s="531"/>
      <c r="AK139" s="531">
        <f t="shared" si="241"/>
        <v>3.9360194087168141</v>
      </c>
      <c r="AL139" s="1006">
        <f>AI139+0.24*(AO139-AI139)</f>
        <v>3.7785786323681414</v>
      </c>
      <c r="AM139" s="1007">
        <f t="shared" si="242"/>
        <v>7.8720388174336282</v>
      </c>
      <c r="AN139" s="1007">
        <f t="shared" si="237"/>
        <v>7.8720388174336282</v>
      </c>
      <c r="AO139" s="530">
        <f>X139*AA139*AE139</f>
        <v>15.744077634867256</v>
      </c>
      <c r="AP139" s="542"/>
      <c r="AQ139" s="532">
        <v>10.505916663433375</v>
      </c>
      <c r="AR139" s="532">
        <v>15.887545409592944</v>
      </c>
      <c r="AS139" s="533"/>
      <c r="AT139" s="533" t="e">
        <f>#REF!/AQ139</f>
        <v>#REF!</v>
      </c>
      <c r="AU139" s="533">
        <f>AO139/AR139</f>
        <v>0.99096979608699898</v>
      </c>
      <c r="AV139" s="544" t="s">
        <v>70</v>
      </c>
      <c r="AW139" s="534" t="s">
        <v>70</v>
      </c>
      <c r="AX139" s="534" t="s">
        <v>70</v>
      </c>
      <c r="AY139" s="544" t="s">
        <v>40</v>
      </c>
      <c r="AZ139" s="534" t="s">
        <v>73</v>
      </c>
      <c r="BA139" s="534" t="s">
        <v>73</v>
      </c>
      <c r="BB139" s="535">
        <v>0.65</v>
      </c>
      <c r="BC139" s="543" t="s">
        <v>90</v>
      </c>
      <c r="BD139" s="499">
        <v>0.8</v>
      </c>
      <c r="BE139" s="536">
        <v>5.8999999999999995</v>
      </c>
      <c r="BF139" s="499">
        <v>7.6</v>
      </c>
    </row>
    <row r="140" spans="1:59" hidden="1">
      <c r="A140" s="494">
        <v>14</v>
      </c>
      <c r="B140" s="575" t="s">
        <v>31</v>
      </c>
      <c r="C140" s="575" t="s">
        <v>230</v>
      </c>
      <c r="D140" s="576"/>
      <c r="E140" s="576"/>
      <c r="F140" s="499" t="s">
        <v>644</v>
      </c>
      <c r="G140" s="534">
        <v>6</v>
      </c>
      <c r="H140" s="494">
        <v>1</v>
      </c>
      <c r="I140" s="525">
        <v>88.226114090114478</v>
      </c>
      <c r="J140" s="854"/>
      <c r="K140" s="525"/>
      <c r="L140" s="525"/>
      <c r="M140" s="525"/>
      <c r="N140" s="525">
        <v>129.10404670004917</v>
      </c>
      <c r="O140" s="525">
        <v>165.88744577778397</v>
      </c>
      <c r="P140" s="525">
        <v>95.79917660737803</v>
      </c>
      <c r="Q140" s="525"/>
      <c r="R140" s="525"/>
      <c r="S140" s="525">
        <v>148.66934715725631</v>
      </c>
      <c r="T140" s="525">
        <v>207.28460545216572</v>
      </c>
      <c r="U140" s="525">
        <v>103.3722391246416</v>
      </c>
      <c r="V140" s="525">
        <v>168.23464761446348</v>
      </c>
      <c r="W140" s="525"/>
      <c r="X140" s="525">
        <v>248.68176512654742</v>
      </c>
      <c r="Y140" s="525"/>
      <c r="Z140" s="525"/>
      <c r="AA140" s="527">
        <v>0.24657385924207267</v>
      </c>
      <c r="AB140" s="619">
        <f t="shared" si="225"/>
        <v>64.552023350024584</v>
      </c>
      <c r="AC140" s="619">
        <f t="shared" si="226"/>
        <v>0</v>
      </c>
      <c r="AD140" s="619"/>
      <c r="AE140" s="974">
        <f t="shared" si="243"/>
        <v>0.5</v>
      </c>
      <c r="AF140" s="974"/>
      <c r="AG140" s="530"/>
      <c r="AH140" s="530"/>
      <c r="AI140" s="531"/>
      <c r="AJ140" s="531"/>
      <c r="AK140" s="531">
        <f t="shared" si="241"/>
        <v>7.6648028187979351</v>
      </c>
      <c r="AL140" s="1006">
        <f>AI140+0.24*(AO140-AI140)</f>
        <v>7.3582107060460178</v>
      </c>
      <c r="AM140" s="1007">
        <f t="shared" si="242"/>
        <v>15.32960563759587</v>
      </c>
      <c r="AN140" s="1007">
        <f t="shared" si="237"/>
        <v>15.32960563759587</v>
      </c>
      <c r="AO140" s="530">
        <f>X140*AA140*AE140</f>
        <v>30.65921127519174</v>
      </c>
      <c r="AP140" s="542"/>
      <c r="AQ140" s="532">
        <v>7.4642767788468181</v>
      </c>
      <c r="AR140" s="532">
        <v>22.266274022745353</v>
      </c>
      <c r="AS140" s="533"/>
      <c r="AT140" s="533" t="e">
        <f>#REF!/AQ140</f>
        <v>#REF!</v>
      </c>
      <c r="AU140" s="533">
        <f>AO140/AR140</f>
        <v>1.3769349664821724</v>
      </c>
      <c r="AV140" s="544" t="s">
        <v>70</v>
      </c>
      <c r="AW140" s="534" t="s">
        <v>70</v>
      </c>
      <c r="AX140" s="534" t="s">
        <v>70</v>
      </c>
      <c r="AY140" s="544" t="s">
        <v>74</v>
      </c>
      <c r="AZ140" s="534" t="s">
        <v>40</v>
      </c>
      <c r="BA140" s="534" t="s">
        <v>73</v>
      </c>
      <c r="BB140" s="535">
        <v>0.66</v>
      </c>
      <c r="BC140" s="534" t="s">
        <v>61</v>
      </c>
      <c r="BD140" s="499">
        <v>0.8</v>
      </c>
      <c r="BE140" s="536">
        <v>5.8999999999999995</v>
      </c>
      <c r="BF140" s="499">
        <v>7.6</v>
      </c>
    </row>
    <row r="141" spans="1:59" ht="17.149999999999999" customHeight="1" outlineLevel="1">
      <c r="B141" s="575"/>
      <c r="C141" s="575"/>
      <c r="D141" s="576"/>
      <c r="E141" s="576"/>
      <c r="F141" s="499"/>
      <c r="G141" s="534"/>
      <c r="I141" s="525"/>
      <c r="J141" s="854"/>
      <c r="K141" s="551" t="s">
        <v>272</v>
      </c>
      <c r="L141" s="547" t="s">
        <v>273</v>
      </c>
      <c r="M141" s="547"/>
      <c r="N141" s="538">
        <f>SUM('EU-27_Medium_2030'!N$32+'EU-27_Medium_2030'!O$32+'EU-27_Medium_2030'!P$32)/1000000</f>
        <v>130.89263574041894</v>
      </c>
      <c r="O141" s="538"/>
      <c r="P141" s="538"/>
      <c r="Q141" s="538">
        <f>SUM('EU-27_High_2030-2050'!BI$33+'EU-27_High_2030-2050'!BJ$33+'EU-27_High_2030-2050'!BK$33)/1000000</f>
        <v>207.40944074964315</v>
      </c>
      <c r="R141" s="538"/>
      <c r="S141" s="538"/>
      <c r="T141" s="538"/>
      <c r="U141" s="538"/>
      <c r="V141" s="538"/>
      <c r="W141" s="538"/>
      <c r="X141" s="538">
        <f>SUM('EU-27_High_2030-2050'!BI$33+'EU-27_High_2030-2050'!BJ$33+'EU-27_High_2030-2050'!BK$33)/1000000</f>
        <v>207.40944074964315</v>
      </c>
      <c r="Y141" s="538"/>
      <c r="Z141" s="538"/>
      <c r="AA141" s="527">
        <f>'Conversion factors selected IV '!L$125</f>
        <v>8.7338247338247313E-2</v>
      </c>
      <c r="AB141" s="619">
        <f t="shared" si="225"/>
        <v>9.3494739814584946</v>
      </c>
      <c r="AC141" s="619">
        <f t="shared" si="226"/>
        <v>14.814960053545938</v>
      </c>
      <c r="AD141" s="619">
        <f t="shared" ref="AD141:AD148" si="244">X141*AF141</f>
        <v>29.629920107091877</v>
      </c>
      <c r="AE141" s="976">
        <f>1/'IVCs relevant in 2030'!R$8/2</f>
        <v>7.1428571428571425E-2</v>
      </c>
      <c r="AF141" s="974">
        <f>1/'IVCs relevant 2040-2050'!T$8</f>
        <v>0.14285714285714285</v>
      </c>
      <c r="AG141" s="630">
        <f t="shared" ref="AG141:AG148" si="245">N141*AA141*AE141</f>
        <v>0.81656667107512992</v>
      </c>
      <c r="AH141" s="530">
        <f>AG141*11630</f>
        <v>9496.6703846037617</v>
      </c>
      <c r="AI141" s="592">
        <f t="shared" ref="AI141:AI148" si="246">Q141*AA141*AE141</f>
        <v>1.2939126454628489</v>
      </c>
      <c r="AJ141" s="531">
        <f>AI141*11630</f>
        <v>15048.204066732933</v>
      </c>
      <c r="AK141" s="531">
        <f t="shared" si="241"/>
        <v>1.2593813260377718</v>
      </c>
      <c r="AL141" s="1006">
        <f t="shared" ref="AL141:AL148" si="247">AI141+0.25*(AO141-AI141)</f>
        <v>1.6173908068285612</v>
      </c>
      <c r="AM141" s="1007">
        <f t="shared" si="242"/>
        <v>1.7021959810004139</v>
      </c>
      <c r="AN141" s="1007">
        <f t="shared" si="237"/>
        <v>1.9408689681942732</v>
      </c>
      <c r="AO141" s="525">
        <f t="shared" ref="AO141:AO148" si="248">X141*AA141*AF141</f>
        <v>2.5878252909256978</v>
      </c>
      <c r="AP141" s="542"/>
      <c r="AQ141" s="532"/>
      <c r="AR141" s="532"/>
      <c r="AS141" s="533"/>
      <c r="AT141" s="533"/>
      <c r="AU141" s="533"/>
      <c r="AV141" s="544"/>
      <c r="AW141" s="534"/>
      <c r="AX141" s="534"/>
      <c r="AY141" s="544"/>
      <c r="AZ141" s="534"/>
      <c r="BA141" s="534"/>
      <c r="BB141" s="535"/>
      <c r="BC141" s="534"/>
      <c r="BE141" s="536"/>
      <c r="BG141" s="525">
        <f t="shared" ref="BG141:BG149" si="249">AO141*11630</f>
        <v>30096.408133465866</v>
      </c>
    </row>
    <row r="142" spans="1:59" ht="17.149999999999999" customHeight="1" outlineLevel="1">
      <c r="B142" s="575"/>
      <c r="C142" s="575"/>
      <c r="D142" s="576"/>
      <c r="E142" s="576"/>
      <c r="F142" s="499"/>
      <c r="G142" s="534"/>
      <c r="I142" s="525"/>
      <c r="J142" s="854"/>
      <c r="K142" s="551" t="s">
        <v>1065</v>
      </c>
      <c r="L142" s="547" t="s">
        <v>291</v>
      </c>
      <c r="M142" s="547"/>
      <c r="N142" s="525">
        <f>SUM('EU-27_Medium_2030'!Q$32+'EU-27_Medium_2030'!R$32)/1000000</f>
        <v>8.4952845259123446</v>
      </c>
      <c r="O142" s="525"/>
      <c r="P142" s="525"/>
      <c r="Q142" s="525">
        <f>SUM('EU-27_High_2030-2050'!Q$33+'EU-27_High_2030-2050'!R$33+'EU-27_High_2030-2050'!AE$33)/1000000</f>
        <v>12.257725308395727</v>
      </c>
      <c r="R142" s="525"/>
      <c r="S142" s="525"/>
      <c r="T142" s="525"/>
      <c r="U142" s="525"/>
      <c r="V142" s="525"/>
      <c r="W142" s="525"/>
      <c r="X142" s="525">
        <f>SUM('EU-27_High_2030-2050'!BL$33+'EU-27_High_2030-2050'!BM$33+'EU-27_High_2030-2050'!BZ$33)/1000000</f>
        <v>11.938639120933642</v>
      </c>
      <c r="Y142" s="525"/>
      <c r="Z142" s="525"/>
      <c r="AA142" s="527">
        <f>'Conversion factors selected IV '!L$126</f>
        <v>8.7338247338247313E-2</v>
      </c>
      <c r="AB142" s="619">
        <f t="shared" si="225"/>
        <v>0.70794037715936198</v>
      </c>
      <c r="AC142" s="619">
        <f t="shared" si="226"/>
        <v>1.0214771090329773</v>
      </c>
      <c r="AD142" s="619">
        <f t="shared" si="244"/>
        <v>1.9897731868222737</v>
      </c>
      <c r="AE142" s="999">
        <f>1/'IVCs relevant in 2030'!R$9/2</f>
        <v>8.3333333333333329E-2</v>
      </c>
      <c r="AF142" s="976">
        <f>1/'IVCs relevant 2040-2050'!T$9</f>
        <v>0.16666666666666666</v>
      </c>
      <c r="AG142" s="630">
        <f t="shared" si="245"/>
        <v>6.1830271761076451E-2</v>
      </c>
      <c r="AH142" s="530">
        <f>AG142*11630</f>
        <v>719.08606058131909</v>
      </c>
      <c r="AI142" s="592">
        <f t="shared" si="246"/>
        <v>8.9214020399079996E-2</v>
      </c>
      <c r="AJ142" s="531">
        <f t="shared" ref="AJ142:AJ148" si="250">AI142*11630</f>
        <v>1037.5590572413003</v>
      </c>
      <c r="AK142" s="531">
        <f t="shared" si="241"/>
        <v>8.981852950523142E-2</v>
      </c>
      <c r="AL142" s="1006">
        <f t="shared" si="247"/>
        <v>0.11035634098373406</v>
      </c>
      <c r="AM142" s="1007">
        <f t="shared" si="242"/>
        <v>0.11780678724938637</v>
      </c>
      <c r="AN142" s="1007">
        <f t="shared" si="237"/>
        <v>0.13149866156838813</v>
      </c>
      <c r="AO142" s="525">
        <f t="shared" si="248"/>
        <v>0.17378330273769629</v>
      </c>
      <c r="AP142" s="542"/>
      <c r="AQ142" s="532"/>
      <c r="AR142" s="532"/>
      <c r="AS142" s="533"/>
      <c r="AT142" s="533"/>
      <c r="AU142" s="533"/>
      <c r="AV142" s="544"/>
      <c r="AW142" s="534"/>
      <c r="AX142" s="534"/>
      <c r="AY142" s="544"/>
      <c r="AZ142" s="534"/>
      <c r="BA142" s="534"/>
      <c r="BB142" s="535"/>
      <c r="BC142" s="534"/>
      <c r="BE142" s="536"/>
      <c r="BG142" s="525">
        <f t="shared" si="249"/>
        <v>2021.0998108394078</v>
      </c>
    </row>
    <row r="143" spans="1:59" outlineLevel="1">
      <c r="B143" s="575"/>
      <c r="C143" s="575"/>
      <c r="D143" s="576"/>
      <c r="E143" s="576"/>
      <c r="F143" s="499"/>
      <c r="G143" s="534"/>
      <c r="I143" s="525"/>
      <c r="J143" s="854"/>
      <c r="K143" s="551" t="s">
        <v>292</v>
      </c>
      <c r="L143" s="559">
        <v>4204</v>
      </c>
      <c r="M143" s="559"/>
      <c r="N143" s="525">
        <f>'EU-27_Medium_2030'!AD$32/1000000</f>
        <v>3.4535388863652337</v>
      </c>
      <c r="O143" s="525"/>
      <c r="P143" s="525"/>
      <c r="Q143" s="525">
        <f>'EU-27_High_2030-2050'!AD$33/1000000</f>
        <v>5.1803083295478496</v>
      </c>
      <c r="R143" s="525"/>
      <c r="S143" s="525"/>
      <c r="T143" s="525"/>
      <c r="U143" s="525"/>
      <c r="V143" s="525"/>
      <c r="W143" s="525"/>
      <c r="X143" s="525">
        <f>'EU-27_High_2030-2050'!BY$33/1000000</f>
        <v>4.4480556436504077</v>
      </c>
      <c r="Y143" s="525"/>
      <c r="Z143" s="525"/>
      <c r="AA143" s="527">
        <f>'Conversion factors selected IV '!L$127</f>
        <v>8.7338247338247313E-2</v>
      </c>
      <c r="AB143" s="619">
        <f t="shared" si="225"/>
        <v>0.34535388863652339</v>
      </c>
      <c r="AC143" s="619">
        <f t="shared" si="226"/>
        <v>0.51803083295478503</v>
      </c>
      <c r="AD143" s="619">
        <f t="shared" si="244"/>
        <v>0.88961112873008164</v>
      </c>
      <c r="AE143" s="976">
        <f>1/'IVCs relevant in 2030'!R$13/2</f>
        <v>0.1</v>
      </c>
      <c r="AF143" s="978">
        <f>1/'IVCs relevant 2040-2050'!T$13</f>
        <v>0.2</v>
      </c>
      <c r="AG143" s="630">
        <f>N143*AA143*AE143</f>
        <v>3.0162603344962197E-2</v>
      </c>
      <c r="AH143" s="530">
        <f t="shared" ref="AH143:AH148" si="251">AG143*11630</f>
        <v>350.79107690191034</v>
      </c>
      <c r="AI143" s="592">
        <f t="shared" si="246"/>
        <v>4.5243905017443291E-2</v>
      </c>
      <c r="AJ143" s="531">
        <f t="shared" si="250"/>
        <v>526.18661535286549</v>
      </c>
      <c r="AK143" s="531">
        <f t="shared" si="241"/>
        <v>4.2046221707692955E-2</v>
      </c>
      <c r="AL143" s="1006">
        <f t="shared" si="247"/>
        <v>5.3357197962053779E-2</v>
      </c>
      <c r="AM143" s="1007">
        <f t="shared" si="242"/>
        <v>5.3929840070423715E-2</v>
      </c>
      <c r="AN143" s="1007">
        <f t="shared" si="237"/>
        <v>6.147049090666426E-2</v>
      </c>
      <c r="AO143" s="525">
        <f t="shared" si="248"/>
        <v>7.7697076795885237E-2</v>
      </c>
      <c r="AP143" s="542"/>
      <c r="AQ143" s="532"/>
      <c r="AR143" s="532"/>
      <c r="AS143" s="533"/>
      <c r="AT143" s="533"/>
      <c r="AU143" s="533"/>
      <c r="AV143" s="544"/>
      <c r="AW143" s="534"/>
      <c r="AX143" s="534"/>
      <c r="AY143" s="544"/>
      <c r="AZ143" s="534"/>
      <c r="BA143" s="534"/>
      <c r="BB143" s="535"/>
      <c r="BC143" s="534"/>
      <c r="BE143" s="536"/>
      <c r="BG143" s="525">
        <f t="shared" si="249"/>
        <v>903.61700313614529</v>
      </c>
    </row>
    <row r="144" spans="1:59" ht="15" customHeight="1" outlineLevel="1">
      <c r="B144" s="575"/>
      <c r="C144" s="575"/>
      <c r="D144" s="576"/>
      <c r="E144" s="576"/>
      <c r="F144" s="499"/>
      <c r="G144" s="534"/>
      <c r="I144" s="525"/>
      <c r="J144" s="854"/>
      <c r="K144" s="551" t="s">
        <v>274</v>
      </c>
      <c r="L144" s="547" t="s">
        <v>275</v>
      </c>
      <c r="M144" s="547"/>
      <c r="N144" s="525">
        <f>SUM('EU-27_Medium_2030'!E$32+'EU-27_Medium_2030'!G$32+'EU-27_Medium_2030'!H$32+'EU-27_Medium_2030'!J$32)/1000000</f>
        <v>5.1230865023155641</v>
      </c>
      <c r="Q144" s="525">
        <f>SUM('EU-27_High_2030-2050'!E$33+'EU-27_High_2030-2050'!G$33+'EU-27_High_2030-2050'!H$33+'EU-27_High_2030-2050'!J$33)/1000000</f>
        <v>8.738165736490755</v>
      </c>
      <c r="X144" s="525">
        <f>SUM('EU-27_High_2030-2050'!AZ$33+'EU-27_High_2030-2050'!BB$33+'EU-27_High_2030-2050'!BC$33+'EU-27_High_2030-2050'!BE$33)/1000000</f>
        <v>71.430408560585576</v>
      </c>
      <c r="Y144" s="525"/>
      <c r="Z144" s="525"/>
      <c r="AA144" s="527">
        <f>'Conversion factors selected IV '!L$128</f>
        <v>8.7338247338247313E-2</v>
      </c>
      <c r="AB144" s="619">
        <f t="shared" si="225"/>
        <v>0.73186950033079479</v>
      </c>
      <c r="AC144" s="619">
        <f t="shared" si="226"/>
        <v>1.2483093909272507</v>
      </c>
      <c r="AD144" s="619">
        <f t="shared" si="244"/>
        <v>10.204344080083652</v>
      </c>
      <c r="AE144" s="976">
        <f>1/'IVCs relevant in 2030'!R$2</f>
        <v>0.14285714285714285</v>
      </c>
      <c r="AF144" s="974">
        <f>1/'IVCs relevant 2040-2050'!T$2</f>
        <v>0.14285714285714285</v>
      </c>
      <c r="AG144" s="630">
        <f t="shared" si="245"/>
        <v>6.3920199439210429E-2</v>
      </c>
      <c r="AH144" s="530">
        <f t="shared" si="251"/>
        <v>743.39191947801726</v>
      </c>
      <c r="AI144" s="592">
        <f t="shared" si="246"/>
        <v>0.10902515433946107</v>
      </c>
      <c r="AJ144" s="531">
        <f t="shared" si="250"/>
        <v>1267.9625449679322</v>
      </c>
      <c r="AK144" s="531">
        <f t="shared" si="241"/>
        <v>0.27074753137713925</v>
      </c>
      <c r="AL144" s="1006">
        <f t="shared" si="247"/>
        <v>0.30457624755232726</v>
      </c>
      <c r="AM144" s="1007">
        <f t="shared" si="242"/>
        <v>0.47757486331506815</v>
      </c>
      <c r="AN144" s="1007">
        <f t="shared" si="237"/>
        <v>0.5001273407651935</v>
      </c>
      <c r="AO144" s="525">
        <f t="shared" si="248"/>
        <v>0.89122952719092585</v>
      </c>
      <c r="AP144" s="542"/>
      <c r="AQ144" s="532"/>
      <c r="AR144" s="532"/>
      <c r="AS144" s="533"/>
      <c r="AT144" s="533"/>
      <c r="AU144" s="533"/>
      <c r="AV144" s="544"/>
      <c r="AW144" s="534"/>
      <c r="AX144" s="534"/>
      <c r="AY144" s="544"/>
      <c r="AZ144" s="534"/>
      <c r="BA144" s="534"/>
      <c r="BB144" s="535"/>
      <c r="BC144" s="534"/>
      <c r="BE144" s="536"/>
      <c r="BG144" s="525">
        <f t="shared" si="249"/>
        <v>10364.999401230467</v>
      </c>
    </row>
    <row r="145" spans="2:59" outlineLevel="1">
      <c r="B145" s="575"/>
      <c r="C145" s="575"/>
      <c r="D145" s="576"/>
      <c r="E145" s="576"/>
      <c r="F145" s="499"/>
      <c r="G145" s="534"/>
      <c r="I145" s="525"/>
      <c r="J145" s="854"/>
      <c r="K145" s="551" t="s">
        <v>276</v>
      </c>
      <c r="L145" s="547" t="s">
        <v>277</v>
      </c>
      <c r="M145" s="547"/>
      <c r="N145" s="525">
        <f>SUM('EU-27_Medium_2030'!K$32+'EU-27_Medium_2030'!M$32)/1000000</f>
        <v>2.3323784509315457</v>
      </c>
      <c r="O145" s="525"/>
      <c r="P145" s="525"/>
      <c r="Q145" s="525">
        <f>SUM('EU-27_High_2030-2050'!K$33+'EU-27_High_2030-2050'!M$33)/1000000</f>
        <v>6.1393981815063317</v>
      </c>
      <c r="R145" s="525"/>
      <c r="S145" s="525"/>
      <c r="T145" s="525"/>
      <c r="U145" s="525"/>
      <c r="V145" s="525"/>
      <c r="W145" s="525"/>
      <c r="X145" s="525">
        <f>SUM('EU-27_High_2030-2050'!BF$33+'EU-27_High_2030-2050'!BH$33)/1000000</f>
        <v>14.099411675482649</v>
      </c>
      <c r="Y145" s="525"/>
      <c r="Z145" s="525"/>
      <c r="AA145" s="527">
        <f>'Conversion factors selected IV '!L$129</f>
        <v>8.7338247338247313E-2</v>
      </c>
      <c r="AB145" s="619">
        <f t="shared" si="225"/>
        <v>0.16659846078082469</v>
      </c>
      <c r="AC145" s="619">
        <f t="shared" si="226"/>
        <v>0.43852844153616655</v>
      </c>
      <c r="AD145" s="619">
        <f t="shared" si="244"/>
        <v>2.0142016679260926</v>
      </c>
      <c r="AE145" s="976">
        <f>1/'IVCs relevant in 2030'!R$4/2</f>
        <v>7.1428571428571425E-2</v>
      </c>
      <c r="AF145" s="974">
        <f>1/'IVCs relevant 2040-2050'!T$4</f>
        <v>0.14285714285714285</v>
      </c>
      <c r="AG145" s="630">
        <f t="shared" si="245"/>
        <v>1.4550417573846961E-2</v>
      </c>
      <c r="AH145" s="530">
        <f t="shared" si="251"/>
        <v>169.22135638384015</v>
      </c>
      <c r="AI145" s="592">
        <f t="shared" si="246"/>
        <v>3.8300305491741841E-2</v>
      </c>
      <c r="AJ145" s="531">
        <f t="shared" si="250"/>
        <v>445.4325528689576</v>
      </c>
      <c r="AK145" s="531">
        <f t="shared" si="241"/>
        <v>5.4892024045995066E-2</v>
      </c>
      <c r="AL145" s="1006">
        <f t="shared" si="247"/>
        <v>7.2704439984416225E-2</v>
      </c>
      <c r="AM145" s="1007">
        <f t="shared" si="242"/>
        <v>9.5233630518143181E-2</v>
      </c>
      <c r="AN145" s="1007">
        <f t="shared" si="237"/>
        <v>0.1071085744770906</v>
      </c>
      <c r="AO145" s="525">
        <f t="shared" si="248"/>
        <v>0.17591684346243938</v>
      </c>
      <c r="AP145" s="542"/>
      <c r="AQ145" s="532"/>
      <c r="AR145" s="532"/>
      <c r="AS145" s="533"/>
      <c r="AT145" s="533"/>
      <c r="AU145" s="533"/>
      <c r="AV145" s="544"/>
      <c r="AW145" s="534"/>
      <c r="AX145" s="534"/>
      <c r="AY145" s="544"/>
      <c r="AZ145" s="534"/>
      <c r="BA145" s="534"/>
      <c r="BB145" s="535"/>
      <c r="BC145" s="534"/>
      <c r="BE145" s="536"/>
      <c r="BG145" s="525">
        <f t="shared" si="249"/>
        <v>2045.9128894681701</v>
      </c>
    </row>
    <row r="146" spans="2:59" outlineLevel="1">
      <c r="B146" s="575"/>
      <c r="C146" s="575"/>
      <c r="D146" s="576"/>
      <c r="E146" s="576"/>
      <c r="F146" s="499"/>
      <c r="G146" s="534"/>
      <c r="I146" s="525"/>
      <c r="J146" s="854"/>
      <c r="K146" s="551" t="s">
        <v>293</v>
      </c>
      <c r="L146" s="547" t="s">
        <v>294</v>
      </c>
      <c r="M146" s="547"/>
      <c r="N146" s="525">
        <f>SUM('EU-27_Medium_2030'!C$32+'EU-27_Medium_2030'!D$32)/1000000</f>
        <v>37.416699428169103</v>
      </c>
      <c r="O146" s="525"/>
      <c r="P146" s="525"/>
      <c r="Q146" s="525">
        <f>SUM('EU-27_High_2030-2050'!C$33+'EU-27_High_2030-2050'!D$33)/1000000</f>
        <v>37.416699428169103</v>
      </c>
      <c r="R146" s="525"/>
      <c r="S146" s="525"/>
      <c r="T146" s="525"/>
      <c r="U146" s="525"/>
      <c r="V146" s="525"/>
      <c r="W146" s="525"/>
      <c r="X146" s="525">
        <f>SUM('EU-27_High_2030-2050'!AX$33+'EU-27_High_2030-2050'!AY$33)/1000000</f>
        <v>38.131780786359911</v>
      </c>
      <c r="Y146" s="525"/>
      <c r="Z146" s="525"/>
      <c r="AA146" s="527">
        <f>'Conversion factors selected IV '!L$130</f>
        <v>9.6478296478296463E-2</v>
      </c>
      <c r="AB146" s="619">
        <f t="shared" si="225"/>
        <v>3.7416699428169107</v>
      </c>
      <c r="AC146" s="619">
        <f t="shared" si="226"/>
        <v>3.7416699428169107</v>
      </c>
      <c r="AD146" s="619">
        <f t="shared" si="244"/>
        <v>7.6263561572719825</v>
      </c>
      <c r="AE146" s="976">
        <f>1/'IVCs relevant in 2030'!R$6/2</f>
        <v>0.1</v>
      </c>
      <c r="AF146" s="978">
        <f>1/'IVCs relevant 2040-2050'!T$6</f>
        <v>0.2</v>
      </c>
      <c r="AG146" s="630">
        <f t="shared" si="245"/>
        <v>0.36098994206702045</v>
      </c>
      <c r="AH146" s="530">
        <f t="shared" si="251"/>
        <v>4198.3130262394479</v>
      </c>
      <c r="AI146" s="592">
        <f t="shared" si="246"/>
        <v>0.36098994206702045</v>
      </c>
      <c r="AJ146" s="531">
        <f t="shared" si="250"/>
        <v>4198.3130262394479</v>
      </c>
      <c r="AK146" s="531">
        <f t="shared" si="241"/>
        <v>0.45468691914785736</v>
      </c>
      <c r="AL146" s="1006">
        <f t="shared" si="247"/>
        <v>0.45468691914785736</v>
      </c>
      <c r="AM146" s="1007">
        <f t="shared" si="242"/>
        <v>0.54838389622869421</v>
      </c>
      <c r="AN146" s="1007">
        <f t="shared" si="237"/>
        <v>0.54838389622869421</v>
      </c>
      <c r="AO146" s="525">
        <f t="shared" si="248"/>
        <v>0.73577785039036803</v>
      </c>
      <c r="AP146" s="542"/>
      <c r="AQ146" s="532"/>
      <c r="AR146" s="532"/>
      <c r="AS146" s="533"/>
      <c r="AT146" s="533"/>
      <c r="AU146" s="533"/>
      <c r="AV146" s="544"/>
      <c r="AW146" s="534"/>
      <c r="AX146" s="534"/>
      <c r="AY146" s="544"/>
      <c r="AZ146" s="534"/>
      <c r="BA146" s="534"/>
      <c r="BB146" s="535"/>
      <c r="BC146" s="534"/>
      <c r="BE146" s="536"/>
      <c r="BG146" s="525">
        <f t="shared" si="249"/>
        <v>8557.0964000399799</v>
      </c>
    </row>
    <row r="147" spans="2:59" ht="15.65" customHeight="1" outlineLevel="1">
      <c r="B147" s="575"/>
      <c r="C147" s="575"/>
      <c r="D147" s="576"/>
      <c r="E147" s="576"/>
      <c r="F147" s="499"/>
      <c r="G147" s="534"/>
      <c r="I147" s="525"/>
      <c r="J147" s="854"/>
      <c r="K147" s="551" t="s">
        <v>270</v>
      </c>
      <c r="L147" s="547" t="s">
        <v>271</v>
      </c>
      <c r="M147" s="547"/>
      <c r="N147" s="525">
        <f>SUM('EU-27_Medium_2030'!U$32+'EU-27_Medium_2030'!V$32+'EU-27_Medium_2030'!W$32+'EU-27_Medium_2030'!X$32+'EU-27_Medium_2030'!Y$32+'EU-27_Medium_2030'!Z$32)/1000000</f>
        <v>39.28182327905342</v>
      </c>
      <c r="O147" s="525"/>
      <c r="P147" s="525"/>
      <c r="Q147" s="525">
        <f>SUM('EU-27_High_2030-2050'!U$33+'EU-27_High_2030-2050'!V$33+'EU-27_High_2030-2050'!W$33+'EU-27_High_2030-2050'!X$33+'EU-27_High_2030-2050'!Y$33+'EU-27_High_2030-2050'!Z$33)/1000000</f>
        <v>55.037292867279561</v>
      </c>
      <c r="R147" s="525"/>
      <c r="S147" s="525"/>
      <c r="T147" s="525"/>
      <c r="U147" s="525"/>
      <c r="V147" s="525"/>
      <c r="W147" s="525"/>
      <c r="X147" s="525">
        <f>SUM('EU-27_High_2030-2050'!BP$33+'EU-27_High_2030-2050'!BQ$33+'EU-27_High_2030-2050'!BR$33+'EU-27_High_2030-2050'!BS$33+'EU-27_High_2030-2050'!BT$33+'EU-27_High_2030-2050'!BU$33)/1000000</f>
        <v>58.609743205605817</v>
      </c>
      <c r="Y147" s="525"/>
      <c r="Z147" s="525"/>
      <c r="AA147" s="527">
        <f>'Conversion factors selected IV '!L$131</f>
        <v>9.6478296478296463E-2</v>
      </c>
      <c r="AB147" s="619">
        <f t="shared" si="225"/>
        <v>3.2734852732544515</v>
      </c>
      <c r="AC147" s="619">
        <f t="shared" si="226"/>
        <v>4.5864410722732964</v>
      </c>
      <c r="AD147" s="619">
        <f t="shared" si="244"/>
        <v>9.7682905342676349</v>
      </c>
      <c r="AE147" s="976">
        <f>1/'IVCs relevant in 2030'!R$16/2</f>
        <v>8.3333333333333329E-2</v>
      </c>
      <c r="AF147" s="974">
        <f>1/'IVCs relevant 2040-2050'!T$16</f>
        <v>0.16666666666666666</v>
      </c>
      <c r="AG147" s="630">
        <f t="shared" si="245"/>
        <v>0.31582028271038026</v>
      </c>
      <c r="AH147" s="530">
        <f t="shared" si="251"/>
        <v>3672.9898879217226</v>
      </c>
      <c r="AI147" s="592">
        <f t="shared" si="246"/>
        <v>0.44249202155101908</v>
      </c>
      <c r="AJ147" s="531">
        <f t="shared" si="250"/>
        <v>5146.1822106383515</v>
      </c>
      <c r="AK147" s="531">
        <f t="shared" si="241"/>
        <v>0.47247221959558772</v>
      </c>
      <c r="AL147" s="1006">
        <f t="shared" si="247"/>
        <v>0.56747602372606676</v>
      </c>
      <c r="AM147" s="1007">
        <f t="shared" si="242"/>
        <v>0.62912415648079523</v>
      </c>
      <c r="AN147" s="1007">
        <f t="shared" si="237"/>
        <v>0.69246002590111455</v>
      </c>
      <c r="AO147" s="525">
        <f t="shared" si="248"/>
        <v>0.94242803025121002</v>
      </c>
      <c r="AP147" s="542"/>
      <c r="AQ147" s="532"/>
      <c r="AR147" s="532"/>
      <c r="AS147" s="533"/>
      <c r="AT147" s="533"/>
      <c r="AU147" s="533"/>
      <c r="AV147" s="544"/>
      <c r="AW147" s="534"/>
      <c r="AX147" s="534"/>
      <c r="AY147" s="544"/>
      <c r="AZ147" s="534"/>
      <c r="BA147" s="534"/>
      <c r="BB147" s="535"/>
      <c r="BC147" s="534"/>
      <c r="BE147" s="536"/>
      <c r="BG147" s="525">
        <f t="shared" si="249"/>
        <v>10960.437991821573</v>
      </c>
    </row>
    <row r="148" spans="2:59" outlineLevel="1">
      <c r="B148" s="575"/>
      <c r="C148" s="575"/>
      <c r="D148" s="576"/>
      <c r="E148" s="576"/>
      <c r="F148" s="499"/>
      <c r="G148" s="534"/>
      <c r="I148" s="525"/>
      <c r="J148" s="854"/>
      <c r="K148" s="551" t="s">
        <v>295</v>
      </c>
      <c r="L148" s="547" t="s">
        <v>296</v>
      </c>
      <c r="M148" s="547"/>
      <c r="N148" s="525">
        <f>SUM('EU-27_Medium_2030'!AT$32+'EU-27_Medium_2030'!AU$32)/1000000</f>
        <v>11.766835672202422</v>
      </c>
      <c r="O148" s="525"/>
      <c r="P148" s="525"/>
      <c r="Q148" s="525">
        <f>SUM('EU-27_High_2030-2050'!AT$33+'EU-27_High_2030-2050'!AU$33)/1000000</f>
        <v>15.689114229603229</v>
      </c>
      <c r="R148" s="525"/>
      <c r="S148" s="525"/>
      <c r="T148" s="525"/>
      <c r="U148" s="525"/>
      <c r="V148" s="525"/>
      <c r="W148" s="525"/>
      <c r="X148" s="525">
        <f>SUM('EU-27_High_2030-2050'!CO$33+'EU-27_High_2030-2050'!CP$33)/1000000</f>
        <v>19.03051341926674</v>
      </c>
      <c r="Y148" s="525"/>
      <c r="Z148" s="525"/>
      <c r="AA148" s="527">
        <f>'Conversion factors selected IV '!L$132</f>
        <v>9.6478296478296463E-2</v>
      </c>
      <c r="AB148" s="619">
        <f t="shared" si="225"/>
        <v>1.1766835672202423</v>
      </c>
      <c r="AC148" s="619">
        <f t="shared" si="226"/>
        <v>1.5689114229603229</v>
      </c>
      <c r="AD148" s="619">
        <f t="shared" si="244"/>
        <v>3.8061026838533483</v>
      </c>
      <c r="AE148" s="976">
        <f>1/'IVCs relevant in 2030'!R$20/2</f>
        <v>0.1</v>
      </c>
      <c r="AF148" s="978">
        <f>1/'IVCs relevant 2040-2050'!T$20</f>
        <v>0.2</v>
      </c>
      <c r="AG148" s="630">
        <f t="shared" si="245"/>
        <v>0.11352442605941403</v>
      </c>
      <c r="AH148" s="530">
        <f t="shared" si="251"/>
        <v>1320.2890750709851</v>
      </c>
      <c r="AI148" s="592">
        <f t="shared" si="246"/>
        <v>0.15136590141255202</v>
      </c>
      <c r="AJ148" s="531">
        <f t="shared" si="250"/>
        <v>1760.3854334279799</v>
      </c>
      <c r="AK148" s="531">
        <f t="shared" si="241"/>
        <v>0.17694489533447133</v>
      </c>
      <c r="AL148" s="1006">
        <f t="shared" si="247"/>
        <v>0.20532600184932481</v>
      </c>
      <c r="AM148" s="1007">
        <f t="shared" si="242"/>
        <v>0.24036536460952862</v>
      </c>
      <c r="AN148" s="1007">
        <f t="shared" si="237"/>
        <v>0.25928610228609761</v>
      </c>
      <c r="AO148" s="525">
        <f t="shared" si="248"/>
        <v>0.3672063031596432</v>
      </c>
      <c r="AP148" s="542"/>
      <c r="AQ148" s="532"/>
      <c r="AR148" s="532"/>
      <c r="AS148" s="533"/>
      <c r="AT148" s="533"/>
      <c r="AU148" s="533"/>
      <c r="AV148" s="544"/>
      <c r="AW148" s="534"/>
      <c r="AX148" s="534"/>
      <c r="AY148" s="544"/>
      <c r="AZ148" s="534"/>
      <c r="BA148" s="534"/>
      <c r="BB148" s="535"/>
      <c r="BC148" s="534"/>
      <c r="BE148" s="536"/>
      <c r="BG148" s="525">
        <f t="shared" si="249"/>
        <v>4270.6093057466505</v>
      </c>
    </row>
    <row r="149" spans="2:59" s="512" customFormat="1">
      <c r="B149" s="512" t="s">
        <v>1180</v>
      </c>
      <c r="C149" s="773"/>
      <c r="D149" s="773"/>
      <c r="E149" s="773"/>
      <c r="F149" s="774"/>
      <c r="G149" s="775"/>
      <c r="I149" s="776"/>
      <c r="J149" s="864"/>
      <c r="K149" s="776"/>
      <c r="L149" s="776"/>
      <c r="M149" s="776"/>
      <c r="N149" s="776"/>
      <c r="O149" s="776"/>
      <c r="P149" s="776"/>
      <c r="Q149" s="776"/>
      <c r="R149" s="776" t="e">
        <f>SUM(R7:R137)</f>
        <v>#REF!</v>
      </c>
      <c r="S149" s="776"/>
      <c r="T149" s="776" t="e">
        <f>SUM(T7:T137)</f>
        <v>#REF!</v>
      </c>
      <c r="U149" s="776"/>
      <c r="V149" s="776"/>
      <c r="W149" s="776" t="e">
        <f>SUM(W7:W137)</f>
        <v>#REF!</v>
      </c>
      <c r="X149" s="776"/>
      <c r="Y149" s="776"/>
      <c r="Z149" s="776"/>
      <c r="AA149" s="777"/>
      <c r="AB149" s="777"/>
      <c r="AC149" s="777"/>
      <c r="AD149" s="777"/>
      <c r="AE149" s="970"/>
      <c r="AF149" s="969"/>
      <c r="AG149" s="523" t="s">
        <v>1219</v>
      </c>
      <c r="AH149" s="523" t="s">
        <v>1222</v>
      </c>
      <c r="AI149" s="523" t="s">
        <v>1220</v>
      </c>
      <c r="AJ149" s="523" t="s">
        <v>1221</v>
      </c>
      <c r="AK149" s="523"/>
      <c r="AL149" s="996"/>
      <c r="AM149" s="1000"/>
      <c r="AN149" s="1000"/>
      <c r="AO149" s="592">
        <f>X149*AA149*AF149</f>
        <v>0</v>
      </c>
      <c r="AP149" s="523"/>
      <c r="AQ149" s="523"/>
      <c r="AR149" s="523"/>
      <c r="AS149" s="778"/>
      <c r="AT149" s="778"/>
      <c r="AU149" s="778"/>
      <c r="AV149" s="779"/>
      <c r="AW149" s="780"/>
      <c r="AX149" s="780"/>
      <c r="AY149" s="779"/>
      <c r="AZ149" s="780"/>
      <c r="BA149" s="780"/>
      <c r="BB149" s="781"/>
      <c r="BC149" s="780"/>
      <c r="BD149" s="782"/>
      <c r="BE149" s="782"/>
      <c r="BF149" s="782"/>
      <c r="BG149" s="592">
        <f t="shared" si="249"/>
        <v>0</v>
      </c>
    </row>
    <row r="150" spans="2:59" s="512" customFormat="1">
      <c r="C150" s="773" t="s">
        <v>120</v>
      </c>
      <c r="D150" s="773"/>
      <c r="E150" s="773"/>
      <c r="F150" s="774"/>
      <c r="G150" s="775"/>
      <c r="I150" s="776"/>
      <c r="J150" s="864"/>
      <c r="K150" s="776"/>
      <c r="L150" s="776"/>
      <c r="M150" s="776"/>
      <c r="N150" s="776"/>
      <c r="O150" s="776"/>
      <c r="P150" s="776"/>
      <c r="Q150" s="776"/>
      <c r="R150" s="776"/>
      <c r="S150" s="776"/>
      <c r="T150" s="776"/>
      <c r="U150" s="776"/>
      <c r="V150" s="776"/>
      <c r="W150" s="776"/>
      <c r="X150" s="776"/>
      <c r="Y150" s="776"/>
      <c r="Z150" s="776"/>
      <c r="AA150" s="777"/>
      <c r="AB150" s="777"/>
      <c r="AC150" s="777"/>
      <c r="AD150" s="777"/>
      <c r="AE150" s="970"/>
      <c r="AF150" s="969"/>
      <c r="AG150" s="523">
        <f>AG$7+AG$119/2</f>
        <v>2.5940214297384099</v>
      </c>
      <c r="AH150" s="784">
        <f>AH$7+AH$119/2</f>
        <v>30168.469227857709</v>
      </c>
      <c r="AI150" s="629">
        <f>AI$7+AI$119/2+AI10</f>
        <v>4.1755512643142065</v>
      </c>
      <c r="AJ150" s="814">
        <f>AJ$7+AJ$119/2+AJ10</f>
        <v>48561.661203974218</v>
      </c>
      <c r="AK150" s="523"/>
      <c r="AL150" s="996"/>
      <c r="AM150" s="1000"/>
      <c r="AN150" s="1000"/>
      <c r="AO150" s="592"/>
      <c r="AP150" s="523"/>
      <c r="AQ150" s="523"/>
      <c r="AR150" s="523"/>
      <c r="AS150" s="778"/>
      <c r="AT150" s="778"/>
      <c r="AU150" s="778"/>
      <c r="AV150" s="779"/>
      <c r="AW150" s="780"/>
      <c r="AX150" s="780"/>
      <c r="AY150" s="779"/>
      <c r="AZ150" s="780"/>
      <c r="BA150" s="780"/>
      <c r="BB150" s="781"/>
      <c r="BC150" s="780"/>
      <c r="BD150" s="782"/>
      <c r="BE150" s="782"/>
      <c r="BF150" s="782"/>
      <c r="BG150" s="592"/>
    </row>
    <row r="151" spans="2:59" s="512" customFormat="1">
      <c r="C151" s="773" t="s">
        <v>239</v>
      </c>
      <c r="D151" s="773"/>
      <c r="E151" s="773"/>
      <c r="F151" s="774"/>
      <c r="G151" s="775"/>
      <c r="I151" s="776"/>
      <c r="J151" s="864"/>
      <c r="K151" s="776"/>
      <c r="L151" s="776"/>
      <c r="M151" s="776"/>
      <c r="N151" s="776"/>
      <c r="O151" s="776"/>
      <c r="P151" s="776"/>
      <c r="Q151" s="776"/>
      <c r="R151" s="776"/>
      <c r="S151" s="776"/>
      <c r="T151" s="776"/>
      <c r="U151" s="776"/>
      <c r="V151" s="776"/>
      <c r="W151" s="776"/>
      <c r="X151" s="776"/>
      <c r="Y151" s="776"/>
      <c r="Z151" s="776"/>
      <c r="AA151" s="777"/>
      <c r="AB151" s="777"/>
      <c r="AC151" s="777"/>
      <c r="AD151" s="777"/>
      <c r="AE151" s="970"/>
      <c r="AF151" s="969"/>
      <c r="AG151" s="523">
        <f>AG119/2+AG26</f>
        <v>5.8917607854813498</v>
      </c>
      <c r="AH151" s="784">
        <f>AH119/2+AH26</f>
        <v>68521.177935148109</v>
      </c>
      <c r="AI151" s="629">
        <f>AI$119/2+AI26</f>
        <v>8.7978572643024613</v>
      </c>
      <c r="AJ151" s="814">
        <f>AJ$119/2+AJ26</f>
        <v>102319.07998383761</v>
      </c>
      <c r="AK151" s="523"/>
      <c r="AL151" s="996"/>
      <c r="AM151" s="1000"/>
      <c r="AN151" s="1000"/>
      <c r="AO151" s="592"/>
      <c r="AP151" s="523"/>
      <c r="AQ151" s="523"/>
      <c r="AR151" s="523"/>
      <c r="AS151" s="778"/>
      <c r="AT151" s="778"/>
      <c r="AU151" s="778"/>
      <c r="AV151" s="779"/>
      <c r="AW151" s="780"/>
      <c r="AX151" s="780"/>
      <c r="AY151" s="779"/>
      <c r="AZ151" s="780"/>
      <c r="BA151" s="780"/>
      <c r="BB151" s="781"/>
      <c r="BC151" s="780"/>
      <c r="BD151" s="782"/>
      <c r="BE151" s="782"/>
      <c r="BF151" s="782"/>
      <c r="BG151" s="592"/>
    </row>
    <row r="152" spans="2:59" s="512" customFormat="1">
      <c r="C152" s="773" t="s">
        <v>559</v>
      </c>
      <c r="D152" s="773"/>
      <c r="E152" s="773"/>
      <c r="F152" s="774"/>
      <c r="G152" s="775"/>
      <c r="I152" s="776"/>
      <c r="J152" s="864"/>
      <c r="K152" s="776"/>
      <c r="L152" s="776"/>
      <c r="M152" s="776"/>
      <c r="N152" s="776"/>
      <c r="O152" s="776"/>
      <c r="P152" s="776"/>
      <c r="Q152" s="776"/>
      <c r="R152" s="776"/>
      <c r="S152" s="776"/>
      <c r="T152" s="776"/>
      <c r="U152" s="776"/>
      <c r="V152" s="776"/>
      <c r="W152" s="776"/>
      <c r="X152" s="776"/>
      <c r="Y152" s="776"/>
      <c r="Z152" s="776"/>
      <c r="AA152" s="777"/>
      <c r="AB152" s="777"/>
      <c r="AC152" s="777"/>
      <c r="AD152" s="777"/>
      <c r="AE152" s="970"/>
      <c r="AF152" s="969"/>
      <c r="AG152" s="523">
        <f>AG40+AG69</f>
        <v>48.145402986687742</v>
      </c>
      <c r="AH152" s="784">
        <f>AH40+AH69</f>
        <v>559931.03673517844</v>
      </c>
      <c r="AI152" s="629">
        <f>AI$40+AI$69</f>
        <v>68.934571328778787</v>
      </c>
      <c r="AJ152" s="814">
        <f>AJ$40+AJ$69</f>
        <v>801709.06455369748</v>
      </c>
      <c r="AK152" s="523"/>
      <c r="AL152" s="996"/>
      <c r="AM152" s="1000"/>
      <c r="AN152" s="1000"/>
      <c r="AO152" s="592"/>
      <c r="AP152" s="523"/>
      <c r="AQ152" s="523"/>
      <c r="AR152" s="523"/>
      <c r="AS152" s="778"/>
      <c r="AT152" s="778"/>
      <c r="AU152" s="778"/>
      <c r="AV152" s="779"/>
      <c r="AW152" s="780"/>
      <c r="AX152" s="780"/>
      <c r="AY152" s="779"/>
      <c r="AZ152" s="780"/>
      <c r="BA152" s="780"/>
      <c r="BB152" s="781"/>
      <c r="BC152" s="780"/>
      <c r="BD152" s="782"/>
      <c r="BE152" s="782"/>
      <c r="BF152" s="782"/>
      <c r="BG152" s="592"/>
    </row>
    <row r="153" spans="2:59" s="512" customFormat="1">
      <c r="C153" s="773" t="s">
        <v>220</v>
      </c>
      <c r="D153" s="773"/>
      <c r="E153" s="773"/>
      <c r="F153" s="774"/>
      <c r="G153" s="775"/>
      <c r="I153" s="776"/>
      <c r="J153" s="864"/>
      <c r="K153" s="776"/>
      <c r="L153" s="776"/>
      <c r="M153" s="776"/>
      <c r="N153" s="776"/>
      <c r="O153" s="776"/>
      <c r="P153" s="776"/>
      <c r="Q153" s="776"/>
      <c r="R153" s="776"/>
      <c r="S153" s="776"/>
      <c r="T153" s="776"/>
      <c r="U153" s="776"/>
      <c r="V153" s="776"/>
      <c r="W153" s="776"/>
      <c r="X153" s="776"/>
      <c r="Y153" s="776"/>
      <c r="Z153" s="776"/>
      <c r="AA153" s="777"/>
      <c r="AB153" s="777"/>
      <c r="AC153" s="777"/>
      <c r="AD153" s="777"/>
      <c r="AE153" s="970"/>
      <c r="AF153" s="969"/>
      <c r="AG153" s="523">
        <f>AG16+AG36</f>
        <v>0.5131712901936708</v>
      </c>
      <c r="AH153" s="523">
        <f>AH16+AH36</f>
        <v>5968.1821049523915</v>
      </c>
      <c r="AI153" s="629">
        <f>AI16+AI36</f>
        <v>0.98727861419515794</v>
      </c>
      <c r="AJ153" s="814">
        <f>AJ16+AJ36</f>
        <v>11482.050283089686</v>
      </c>
      <c r="AK153" s="523"/>
      <c r="AL153" s="996"/>
      <c r="AM153" s="1000"/>
      <c r="AN153" s="1000"/>
      <c r="AO153" s="592"/>
      <c r="AP153" s="523"/>
      <c r="AQ153" s="523"/>
      <c r="AR153" s="523"/>
      <c r="AS153" s="778"/>
      <c r="AT153" s="778"/>
      <c r="AU153" s="778"/>
      <c r="AV153" s="779"/>
      <c r="AW153" s="780"/>
      <c r="AX153" s="780"/>
      <c r="AY153" s="779"/>
      <c r="AZ153" s="780"/>
      <c r="BA153" s="780"/>
      <c r="BB153" s="781"/>
      <c r="BC153" s="780"/>
      <c r="BD153" s="782"/>
      <c r="BE153" s="782"/>
      <c r="BF153" s="782"/>
      <c r="BG153" s="592"/>
    </row>
    <row r="154" spans="2:59" s="512" customFormat="1">
      <c r="C154" s="773" t="s">
        <v>1184</v>
      </c>
      <c r="D154" s="773"/>
      <c r="E154" s="773"/>
      <c r="F154" s="774"/>
      <c r="G154" s="775"/>
      <c r="I154" s="776"/>
      <c r="J154" s="864"/>
      <c r="K154" s="776"/>
      <c r="L154" s="776"/>
      <c r="M154" s="776"/>
      <c r="N154" s="776"/>
      <c r="O154" s="776"/>
      <c r="P154" s="776"/>
      <c r="Q154" s="776"/>
      <c r="R154" s="776"/>
      <c r="S154" s="776"/>
      <c r="T154" s="776"/>
      <c r="U154" s="776"/>
      <c r="V154" s="776"/>
      <c r="W154" s="776"/>
      <c r="X154" s="776"/>
      <c r="Y154" s="776"/>
      <c r="Z154" s="776"/>
      <c r="AA154" s="777"/>
      <c r="AB154" s="777"/>
      <c r="AC154" s="777"/>
      <c r="AD154" s="777"/>
      <c r="AE154" s="970"/>
      <c r="AF154" s="969"/>
      <c r="AG154" s="523">
        <f>AG50+AG61+AG65</f>
        <v>16.24528611744195</v>
      </c>
      <c r="AH154" s="523">
        <f>AH50+AH61+AH65</f>
        <v>188932.67754584987</v>
      </c>
      <c r="AI154" s="629">
        <f>AI50+AI61+AI65</f>
        <v>18.132999625122519</v>
      </c>
      <c r="AJ154" s="814">
        <f>AJ50+AJ61+AJ65</f>
        <v>210886.7856401749</v>
      </c>
      <c r="AK154" s="523"/>
      <c r="AL154" s="996"/>
      <c r="AM154" s="1000"/>
      <c r="AN154" s="1000"/>
      <c r="AO154" s="592"/>
      <c r="AP154" s="523"/>
      <c r="AQ154" s="523"/>
      <c r="AR154" s="523"/>
      <c r="AS154" s="778"/>
      <c r="AT154" s="778"/>
      <c r="AU154" s="778"/>
      <c r="AV154" s="779"/>
      <c r="AW154" s="780"/>
      <c r="AX154" s="780"/>
      <c r="AY154" s="779"/>
      <c r="AZ154" s="780"/>
      <c r="BA154" s="780"/>
      <c r="BB154" s="781"/>
      <c r="BC154" s="780"/>
      <c r="BD154" s="782"/>
      <c r="BE154" s="782"/>
      <c r="BF154" s="782"/>
      <c r="BG154" s="592"/>
    </row>
    <row r="155" spans="2:59" s="512" customFormat="1">
      <c r="B155" s="512" t="s">
        <v>1179</v>
      </c>
      <c r="C155" s="773"/>
      <c r="D155" s="773"/>
      <c r="E155" s="773"/>
      <c r="F155" s="774"/>
      <c r="G155" s="775"/>
      <c r="I155" s="776"/>
      <c r="J155" s="864"/>
      <c r="K155" s="776"/>
      <c r="L155" s="776"/>
      <c r="M155" s="776"/>
      <c r="N155" s="776"/>
      <c r="O155" s="776"/>
      <c r="P155" s="776"/>
      <c r="Q155" s="776"/>
      <c r="R155" s="776"/>
      <c r="S155" s="776"/>
      <c r="T155" s="776"/>
      <c r="U155" s="776"/>
      <c r="V155" s="776"/>
      <c r="W155" s="776"/>
      <c r="X155" s="776"/>
      <c r="Y155" s="776"/>
      <c r="Z155" s="776"/>
      <c r="AA155" s="777"/>
      <c r="AB155" s="777"/>
      <c r="AC155" s="777"/>
      <c r="AD155" s="777"/>
      <c r="AE155" s="970"/>
      <c r="AF155" s="969"/>
      <c r="AG155" s="523"/>
      <c r="AH155" s="523"/>
      <c r="AI155" s="523"/>
      <c r="AJ155" s="523"/>
      <c r="AK155" s="523"/>
      <c r="AL155" s="996"/>
      <c r="AM155" s="1000"/>
      <c r="AN155" s="1000"/>
      <c r="AO155" s="592"/>
      <c r="AP155" s="523"/>
      <c r="AQ155" s="523"/>
      <c r="AR155" s="523"/>
      <c r="AS155" s="778"/>
      <c r="AT155" s="778"/>
      <c r="AU155" s="778"/>
      <c r="AV155" s="779"/>
      <c r="AW155" s="780"/>
      <c r="AX155" s="780"/>
      <c r="AY155" s="779"/>
      <c r="AZ155" s="780"/>
      <c r="BA155" s="780"/>
      <c r="BB155" s="781"/>
      <c r="BC155" s="780"/>
      <c r="BD155" s="782"/>
      <c r="BE155" s="782"/>
      <c r="BF155" s="782"/>
      <c r="BG155" s="592"/>
    </row>
    <row r="156" spans="2:59" s="512" customFormat="1">
      <c r="C156" s="773" t="s">
        <v>120</v>
      </c>
      <c r="D156" s="773"/>
      <c r="E156" s="773"/>
      <c r="F156" s="774"/>
      <c r="G156" s="775"/>
      <c r="I156" s="776"/>
      <c r="J156" s="864"/>
      <c r="K156" s="776"/>
      <c r="L156" s="776"/>
      <c r="M156" s="776"/>
      <c r="N156" s="776"/>
      <c r="O156" s="776"/>
      <c r="P156" s="776"/>
      <c r="Q156" s="776"/>
      <c r="R156" s="776"/>
      <c r="S156" s="776"/>
      <c r="T156" s="776"/>
      <c r="U156" s="776"/>
      <c r="V156" s="776"/>
      <c r="W156" s="776"/>
      <c r="X156" s="776"/>
      <c r="Y156" s="776"/>
      <c r="Z156" s="776"/>
      <c r="AA156" s="777"/>
      <c r="AB156" s="777"/>
      <c r="AC156" s="777"/>
      <c r="AD156" s="777"/>
      <c r="AE156" s="970"/>
      <c r="AF156" s="969"/>
      <c r="AG156" s="793">
        <f>SUMIF(D7:D148,C156,AG7:AG148)</f>
        <v>0</v>
      </c>
      <c r="AH156" s="523"/>
      <c r="AI156" s="523"/>
      <c r="AJ156" s="523"/>
      <c r="AK156" s="523"/>
      <c r="AL156" s="996"/>
      <c r="AM156" s="1000"/>
      <c r="AN156" s="1000"/>
      <c r="AO156" s="783">
        <f t="shared" ref="AO156:BG156" si="252">AO7</f>
        <v>0</v>
      </c>
      <c r="AP156" s="783">
        <f t="shared" si="252"/>
        <v>0</v>
      </c>
      <c r="AQ156" s="783">
        <f t="shared" si="252"/>
        <v>0</v>
      </c>
      <c r="AR156" s="783">
        <f t="shared" si="252"/>
        <v>0</v>
      </c>
      <c r="AS156" s="783">
        <f t="shared" si="252"/>
        <v>0</v>
      </c>
      <c r="AT156" s="783">
        <f t="shared" si="252"/>
        <v>0</v>
      </c>
      <c r="AU156" s="783">
        <f t="shared" si="252"/>
        <v>0</v>
      </c>
      <c r="AV156" s="783">
        <f t="shared" si="252"/>
        <v>0</v>
      </c>
      <c r="AW156" s="783">
        <f t="shared" si="252"/>
        <v>0</v>
      </c>
      <c r="AX156" s="783">
        <f t="shared" si="252"/>
        <v>0</v>
      </c>
      <c r="AY156" s="783">
        <f t="shared" si="252"/>
        <v>0</v>
      </c>
      <c r="AZ156" s="783">
        <f t="shared" si="252"/>
        <v>0</v>
      </c>
      <c r="BA156" s="783">
        <f t="shared" si="252"/>
        <v>0</v>
      </c>
      <c r="BB156" s="783">
        <f t="shared" si="252"/>
        <v>0</v>
      </c>
      <c r="BC156" s="783">
        <f t="shared" si="252"/>
        <v>0</v>
      </c>
      <c r="BD156" s="783">
        <f t="shared" si="252"/>
        <v>0</v>
      </c>
      <c r="BE156" s="783">
        <f t="shared" si="252"/>
        <v>0</v>
      </c>
      <c r="BF156" s="783">
        <f t="shared" si="252"/>
        <v>0</v>
      </c>
      <c r="BG156" s="783">
        <f t="shared" si="252"/>
        <v>0</v>
      </c>
    </row>
    <row r="157" spans="2:59" s="512" customFormat="1">
      <c r="C157" s="773" t="s">
        <v>239</v>
      </c>
      <c r="D157" s="773"/>
      <c r="E157" s="773"/>
      <c r="F157" s="774"/>
      <c r="G157" s="775"/>
      <c r="I157" s="776"/>
      <c r="J157" s="864"/>
      <c r="K157" s="776"/>
      <c r="L157" s="776"/>
      <c r="M157" s="776"/>
      <c r="N157" s="776"/>
      <c r="O157" s="776"/>
      <c r="P157" s="776"/>
      <c r="Q157" s="776"/>
      <c r="R157" s="776"/>
      <c r="S157" s="776"/>
      <c r="T157" s="776"/>
      <c r="U157" s="776"/>
      <c r="V157" s="776"/>
      <c r="W157" s="776"/>
      <c r="X157" s="776"/>
      <c r="Y157" s="776"/>
      <c r="Z157" s="776"/>
      <c r="AA157" s="777"/>
      <c r="AB157" s="777"/>
      <c r="AC157" s="777"/>
      <c r="AD157" s="777"/>
      <c r="AE157" s="970"/>
      <c r="AF157" s="969"/>
      <c r="AG157" s="523"/>
      <c r="AH157" s="523"/>
      <c r="AI157" s="523"/>
      <c r="AJ157" s="523"/>
      <c r="AK157" s="523"/>
      <c r="AL157" s="996"/>
      <c r="AM157" s="1000"/>
      <c r="AN157" s="1000"/>
      <c r="AO157" s="592" t="s">
        <v>1080</v>
      </c>
      <c r="AP157" s="523"/>
      <c r="AQ157" s="523"/>
      <c r="AR157" s="523"/>
      <c r="AS157" s="778"/>
      <c r="AT157" s="778"/>
      <c r="AU157" s="778"/>
      <c r="AV157" s="779"/>
      <c r="AW157" s="780"/>
      <c r="AX157" s="780"/>
      <c r="AY157" s="779"/>
      <c r="AZ157" s="780"/>
      <c r="BA157" s="780"/>
      <c r="BB157" s="781"/>
      <c r="BC157" s="780"/>
      <c r="BD157" s="782"/>
      <c r="BE157" s="782"/>
      <c r="BF157" s="782"/>
      <c r="BG157" s="592" t="s">
        <v>1080</v>
      </c>
    </row>
    <row r="158" spans="2:59" s="512" customFormat="1">
      <c r="C158" s="773" t="s">
        <v>559</v>
      </c>
      <c r="D158" s="773"/>
      <c r="E158" s="773"/>
      <c r="F158" s="774"/>
      <c r="G158" s="775"/>
      <c r="I158" s="776"/>
      <c r="J158" s="864"/>
      <c r="K158" s="776"/>
      <c r="L158" s="776"/>
      <c r="M158" s="776"/>
      <c r="N158" s="776"/>
      <c r="O158" s="776"/>
      <c r="P158" s="776"/>
      <c r="Q158" s="776"/>
      <c r="R158" s="776"/>
      <c r="S158" s="776"/>
      <c r="T158" s="776"/>
      <c r="U158" s="776"/>
      <c r="V158" s="776"/>
      <c r="W158" s="776"/>
      <c r="X158" s="776"/>
      <c r="Y158" s="776"/>
      <c r="Z158" s="776"/>
      <c r="AA158" s="777"/>
      <c r="AB158" s="777"/>
      <c r="AC158" s="777"/>
      <c r="AD158" s="777"/>
      <c r="AE158" s="970"/>
      <c r="AF158" s="969"/>
      <c r="AG158" s="523"/>
      <c r="AH158" s="523"/>
      <c r="AI158" s="523"/>
      <c r="AJ158" s="523"/>
      <c r="AK158" s="523"/>
      <c r="AL158" s="996"/>
      <c r="AM158" s="1000"/>
      <c r="AN158" s="1000"/>
      <c r="AO158" s="783" t="e">
        <f>#REF!+AO69+AO80</f>
        <v>#REF!</v>
      </c>
      <c r="AP158" s="783" t="e">
        <f>#REF!+AP69+AP80</f>
        <v>#REF!</v>
      </c>
      <c r="AQ158" s="783" t="e">
        <f>#REF!+AQ69+AQ80</f>
        <v>#REF!</v>
      </c>
      <c r="AR158" s="783" t="e">
        <f>#REF!+AR69+AR80</f>
        <v>#REF!</v>
      </c>
      <c r="AS158" s="783" t="e">
        <f>#REF!+AS69+AS80</f>
        <v>#REF!</v>
      </c>
      <c r="AT158" s="783" t="e">
        <f>#REF!+AT69+AT80</f>
        <v>#REF!</v>
      </c>
      <c r="AU158" s="783" t="e">
        <f>#REF!+AU69+AU80</f>
        <v>#REF!</v>
      </c>
      <c r="AV158" s="783" t="e">
        <f>#REF!+AV69+AV80</f>
        <v>#REF!</v>
      </c>
      <c r="AW158" s="783" t="e">
        <f>#REF!+AW69+AW80</f>
        <v>#REF!</v>
      </c>
      <c r="AX158" s="783" t="e">
        <f>#REF!+AX69+AX80</f>
        <v>#REF!</v>
      </c>
      <c r="AY158" s="783" t="e">
        <f>#REF!+AY69+AY80</f>
        <v>#REF!</v>
      </c>
      <c r="AZ158" s="783" t="e">
        <f>#REF!+AZ69+AZ80</f>
        <v>#REF!</v>
      </c>
      <c r="BA158" s="783" t="e">
        <f>#REF!+BA69+BA80</f>
        <v>#REF!</v>
      </c>
      <c r="BB158" s="783" t="e">
        <f>#REF!+BB69+BB80</f>
        <v>#REF!</v>
      </c>
      <c r="BC158" s="783" t="e">
        <f>#REF!+BC69+BC80</f>
        <v>#REF!</v>
      </c>
      <c r="BD158" s="783" t="e">
        <f>#REF!+BD69+BD80</f>
        <v>#REF!</v>
      </c>
      <c r="BE158" s="783" t="e">
        <f>#REF!+BE69+BE80</f>
        <v>#REF!</v>
      </c>
      <c r="BF158" s="783" t="e">
        <f>#REF!+BF69+BF80</f>
        <v>#REF!</v>
      </c>
      <c r="BG158" s="785" t="e">
        <f>#REF!+BG69+BG80</f>
        <v>#REF!</v>
      </c>
    </row>
    <row r="159" spans="2:59" s="512" customFormat="1">
      <c r="C159" s="773" t="s">
        <v>1033</v>
      </c>
      <c r="D159" s="773"/>
      <c r="E159" s="773"/>
      <c r="F159" s="774"/>
      <c r="G159" s="775"/>
      <c r="I159" s="776"/>
      <c r="J159" s="864"/>
      <c r="K159" s="776"/>
      <c r="L159" s="776"/>
      <c r="M159" s="776"/>
      <c r="N159" s="776"/>
      <c r="O159" s="776"/>
      <c r="P159" s="776"/>
      <c r="Q159" s="776"/>
      <c r="R159" s="776"/>
      <c r="S159" s="776"/>
      <c r="T159" s="776"/>
      <c r="U159" s="776"/>
      <c r="V159" s="776"/>
      <c r="W159" s="776"/>
      <c r="X159" s="776"/>
      <c r="Y159" s="776"/>
      <c r="Z159" s="776"/>
      <c r="AA159" s="777"/>
      <c r="AB159" s="777"/>
      <c r="AC159" s="777"/>
      <c r="AD159" s="777"/>
      <c r="AE159" s="970"/>
      <c r="AF159" s="969"/>
      <c r="AG159" s="523"/>
      <c r="AH159" s="523"/>
      <c r="AI159" s="523"/>
      <c r="AJ159" s="523"/>
      <c r="AK159" s="523"/>
      <c r="AL159" s="996"/>
      <c r="AM159" s="1000"/>
      <c r="AN159" s="1000"/>
      <c r="AO159" s="592"/>
      <c r="AP159" s="523"/>
      <c r="AQ159" s="523"/>
      <c r="AR159" s="523"/>
      <c r="AS159" s="778"/>
      <c r="AT159" s="778"/>
      <c r="AU159" s="778"/>
      <c r="AV159" s="779"/>
      <c r="AW159" s="780"/>
      <c r="AX159" s="780"/>
      <c r="AY159" s="779"/>
      <c r="AZ159" s="780"/>
      <c r="BA159" s="780"/>
      <c r="BB159" s="781"/>
      <c r="BC159" s="780"/>
      <c r="BD159" s="782"/>
      <c r="BE159" s="782"/>
      <c r="BF159" s="782"/>
      <c r="BG159" s="592"/>
    </row>
    <row r="160" spans="2:59" s="659" customFormat="1">
      <c r="J160" s="865"/>
      <c r="AE160" s="963"/>
      <c r="AF160" s="963"/>
      <c r="AK160" s="663"/>
      <c r="AL160" s="1002"/>
      <c r="AM160" s="1003"/>
      <c r="AN160" s="1003"/>
      <c r="AS160" s="663"/>
      <c r="AT160" s="663"/>
      <c r="AU160" s="663"/>
      <c r="AV160" s="664"/>
      <c r="BD160" s="663"/>
      <c r="BE160" s="663"/>
      <c r="BF160" s="663"/>
    </row>
    <row r="161" spans="1:58" s="659" customFormat="1">
      <c r="A161" s="659" t="s">
        <v>789</v>
      </c>
      <c r="J161" s="865"/>
      <c r="AE161" s="963"/>
      <c r="AF161" s="963"/>
      <c r="AK161" s="663"/>
      <c r="AL161" s="1002"/>
      <c r="AM161" s="1003"/>
      <c r="AN161" s="1003"/>
      <c r="AS161" s="663"/>
      <c r="AT161" s="663"/>
      <c r="AU161" s="663"/>
      <c r="BD161" s="663"/>
      <c r="BE161" s="663"/>
      <c r="BF161" s="663"/>
    </row>
    <row r="162" spans="1:58" s="497" customFormat="1">
      <c r="D162" s="496"/>
      <c r="E162" s="496"/>
      <c r="J162" s="862"/>
      <c r="N162" s="665" t="s">
        <v>261</v>
      </c>
      <c r="Q162" s="666" t="s">
        <v>262</v>
      </c>
      <c r="R162" s="666"/>
      <c r="S162" s="666"/>
      <c r="T162" s="666"/>
      <c r="U162" s="666"/>
      <c r="V162" s="666"/>
      <c r="W162" s="666"/>
      <c r="X162" s="666" t="s">
        <v>263</v>
      </c>
      <c r="Y162" s="666"/>
      <c r="Z162" s="666"/>
      <c r="AE162" s="963"/>
      <c r="AF162" s="963"/>
      <c r="AI162" s="498"/>
      <c r="AJ162" s="498"/>
      <c r="AK162" s="657"/>
      <c r="AL162" s="1002"/>
      <c r="AM162" s="1003"/>
      <c r="AN162" s="1003"/>
      <c r="AS162" s="569"/>
      <c r="AT162" s="569"/>
      <c r="AU162" s="569"/>
      <c r="BD162" s="569"/>
      <c r="BE162" s="569"/>
      <c r="BF162" s="569"/>
    </row>
    <row r="163" spans="1:58" s="503" customFormat="1">
      <c r="A163" s="509" t="s">
        <v>0</v>
      </c>
      <c r="B163" s="509" t="s">
        <v>1</v>
      </c>
      <c r="C163" s="509" t="s">
        <v>42</v>
      </c>
      <c r="D163" s="509"/>
      <c r="E163" s="509"/>
      <c r="F163" s="509" t="s">
        <v>41</v>
      </c>
      <c r="G163" s="510" t="s">
        <v>32</v>
      </c>
      <c r="H163" s="510" t="s">
        <v>33</v>
      </c>
      <c r="I163" s="511" t="s">
        <v>83</v>
      </c>
      <c r="J163" s="510"/>
      <c r="K163" s="511" t="s">
        <v>260</v>
      </c>
      <c r="L163" s="511" t="s">
        <v>784</v>
      </c>
      <c r="M163" s="511"/>
      <c r="N163" s="511" t="s">
        <v>962</v>
      </c>
      <c r="O163" s="511" t="s">
        <v>83</v>
      </c>
      <c r="P163" s="511" t="s">
        <v>83</v>
      </c>
      <c r="Q163" s="511" t="s">
        <v>962</v>
      </c>
      <c r="R163" s="511"/>
      <c r="S163" s="511" t="s">
        <v>83</v>
      </c>
      <c r="T163" s="511" t="s">
        <v>83</v>
      </c>
      <c r="U163" s="511" t="s">
        <v>83</v>
      </c>
      <c r="V163" s="511" t="s">
        <v>83</v>
      </c>
      <c r="W163" s="511"/>
      <c r="X163" s="511" t="s">
        <v>962</v>
      </c>
      <c r="Y163" s="511"/>
      <c r="Z163" s="511"/>
      <c r="AA163" s="519" t="s">
        <v>617</v>
      </c>
      <c r="AB163" s="519"/>
      <c r="AC163" s="519"/>
      <c r="AD163" s="519"/>
      <c r="AE163" s="964" t="s">
        <v>1028</v>
      </c>
      <c r="AF163" s="964" t="s">
        <v>1029</v>
      </c>
      <c r="AG163" s="511" t="s">
        <v>85</v>
      </c>
      <c r="AH163" s="511" t="s">
        <v>783</v>
      </c>
      <c r="AI163" s="566"/>
      <c r="AJ163" s="566"/>
      <c r="AK163" s="782"/>
      <c r="AL163" s="1004"/>
      <c r="AM163" s="1005"/>
      <c r="AN163" s="1005"/>
      <c r="AO163" s="511" t="s">
        <v>85</v>
      </c>
      <c r="AP163" s="512" t="s">
        <v>72</v>
      </c>
      <c r="AQ163" s="512" t="s">
        <v>72</v>
      </c>
      <c r="AR163" s="512" t="s">
        <v>72</v>
      </c>
      <c r="AS163" s="513" t="s">
        <v>442</v>
      </c>
      <c r="AT163" s="513" t="s">
        <v>442</v>
      </c>
      <c r="AU163" s="513" t="s">
        <v>442</v>
      </c>
      <c r="AV163" s="511" t="s">
        <v>72</v>
      </c>
      <c r="AW163" s="511" t="s">
        <v>72</v>
      </c>
      <c r="AX163" s="511" t="s">
        <v>72</v>
      </c>
      <c r="AY163" s="511" t="s">
        <v>75</v>
      </c>
      <c r="AZ163" s="511" t="s">
        <v>75</v>
      </c>
      <c r="BA163" s="511" t="s">
        <v>75</v>
      </c>
      <c r="BB163" s="510" t="s">
        <v>76</v>
      </c>
      <c r="BC163" s="510" t="s">
        <v>89</v>
      </c>
      <c r="BD163" s="513" t="s">
        <v>97</v>
      </c>
      <c r="BE163" s="513" t="s">
        <v>97</v>
      </c>
      <c r="BF163" s="513" t="s">
        <v>97</v>
      </c>
    </row>
    <row r="164" spans="1:58" s="667" customFormat="1" ht="27.75" customHeight="1">
      <c r="A164" s="660"/>
      <c r="B164" s="660"/>
      <c r="C164" s="660"/>
      <c r="D164" s="661"/>
      <c r="E164" s="661"/>
      <c r="F164" s="660"/>
      <c r="G164" s="581"/>
      <c r="H164" s="581"/>
      <c r="I164" s="662"/>
      <c r="J164" s="581"/>
      <c r="K164" s="662"/>
      <c r="L164" s="662"/>
      <c r="M164" s="662"/>
      <c r="N164" s="517" t="s">
        <v>960</v>
      </c>
      <c r="O164" s="662"/>
      <c r="P164" s="662"/>
      <c r="Q164" s="518" t="s">
        <v>960</v>
      </c>
      <c r="R164" s="518" t="s">
        <v>785</v>
      </c>
      <c r="S164" s="518" t="s">
        <v>81</v>
      </c>
      <c r="T164" s="518" t="s">
        <v>82</v>
      </c>
      <c r="U164" s="518" t="s">
        <v>80</v>
      </c>
      <c r="V164" s="518" t="s">
        <v>81</v>
      </c>
      <c r="W164" s="518" t="s">
        <v>786</v>
      </c>
      <c r="X164" s="518" t="s">
        <v>960</v>
      </c>
      <c r="Y164" s="518"/>
      <c r="Z164" s="518"/>
      <c r="AA164" s="581"/>
      <c r="AB164" s="581"/>
      <c r="AC164" s="581"/>
      <c r="AD164" s="581"/>
      <c r="AE164" s="982"/>
      <c r="AF164" s="982"/>
      <c r="AG164" s="796" t="s">
        <v>951</v>
      </c>
      <c r="AH164" s="516" t="s">
        <v>1081</v>
      </c>
      <c r="AI164" s="797" t="s">
        <v>953</v>
      </c>
      <c r="AJ164" s="797" t="s">
        <v>1042</v>
      </c>
      <c r="AK164" s="798" t="s">
        <v>963</v>
      </c>
      <c r="AL164" s="1004"/>
      <c r="AM164" s="1005"/>
      <c r="AN164" s="1005"/>
      <c r="AO164" s="662"/>
      <c r="AP164" s="662"/>
      <c r="AQ164" s="662"/>
      <c r="AR164" s="662"/>
      <c r="AS164" s="662"/>
      <c r="AT164" s="662"/>
      <c r="AU164" s="662"/>
      <c r="AV164" s="662"/>
      <c r="AW164" s="662"/>
      <c r="AX164" s="662"/>
      <c r="AY164" s="662"/>
      <c r="AZ164" s="662"/>
      <c r="BA164" s="662"/>
      <c r="BB164" s="581"/>
      <c r="BC164" s="581"/>
      <c r="BD164" s="662"/>
      <c r="BE164" s="662"/>
      <c r="BF164" s="662"/>
    </row>
    <row r="165" spans="1:58" s="515" customFormat="1">
      <c r="A165" s="515">
        <v>1</v>
      </c>
      <c r="B165" s="563" t="s">
        <v>2</v>
      </c>
      <c r="C165" s="563" t="s">
        <v>43</v>
      </c>
      <c r="D165" s="515" t="s">
        <v>120</v>
      </c>
      <c r="E165" s="515" t="s">
        <v>61</v>
      </c>
      <c r="F165" s="563" t="s">
        <v>640</v>
      </c>
      <c r="I165" s="593"/>
      <c r="J165" s="858" t="s">
        <v>1030</v>
      </c>
      <c r="K165" s="515" t="s">
        <v>950</v>
      </c>
      <c r="N165" s="593">
        <f>SUM(N166)</f>
        <v>6.1905318675584148E-3</v>
      </c>
      <c r="O165" s="593">
        <f t="shared" ref="O165:X165" si="253">SUM(O166)</f>
        <v>0</v>
      </c>
      <c r="P165" s="593">
        <f t="shared" si="253"/>
        <v>0</v>
      </c>
      <c r="Q165" s="593">
        <f t="shared" si="253"/>
        <v>1.5576388164188467E-2</v>
      </c>
      <c r="R165" s="593">
        <f t="shared" si="253"/>
        <v>0</v>
      </c>
      <c r="S165" s="593">
        <f t="shared" si="253"/>
        <v>0</v>
      </c>
      <c r="T165" s="593">
        <f t="shared" si="253"/>
        <v>0</v>
      </c>
      <c r="U165" s="593">
        <f t="shared" si="253"/>
        <v>0</v>
      </c>
      <c r="V165" s="593">
        <f t="shared" si="253"/>
        <v>0</v>
      </c>
      <c r="W165" s="593">
        <f t="shared" si="253"/>
        <v>0</v>
      </c>
      <c r="X165" s="593">
        <f t="shared" si="253"/>
        <v>5.557186832195167E-2</v>
      </c>
      <c r="Y165" s="593"/>
      <c r="Z165" s="593"/>
      <c r="AA165" s="594"/>
      <c r="AB165" s="594"/>
      <c r="AC165" s="594"/>
      <c r="AD165" s="594"/>
      <c r="AE165" s="969"/>
      <c r="AF165" s="969"/>
      <c r="AG165" s="668">
        <v>0</v>
      </c>
      <c r="AH165" s="608">
        <v>0</v>
      </c>
      <c r="AI165" s="608">
        <v>0</v>
      </c>
      <c r="AJ165" s="608">
        <v>0</v>
      </c>
      <c r="AK165" s="563"/>
      <c r="AL165" s="1004"/>
      <c r="AM165" s="1005"/>
      <c r="AN165" s="1005"/>
      <c r="AS165" s="563"/>
      <c r="AT165" s="563"/>
      <c r="AU165" s="563"/>
      <c r="BD165" s="563"/>
      <c r="BE165" s="563"/>
      <c r="BF165" s="563"/>
    </row>
    <row r="166" spans="1:58" s="905" customFormat="1" outlineLevel="1">
      <c r="D166" s="906"/>
      <c r="E166" s="906"/>
      <c r="I166" s="907"/>
      <c r="J166" s="908"/>
      <c r="K166" s="907" t="s">
        <v>264</v>
      </c>
      <c r="L166" s="905" t="s">
        <v>790</v>
      </c>
      <c r="M166" s="909" t="s">
        <v>967</v>
      </c>
      <c r="N166" s="907">
        <f>('Austria Medium 2030'!F8+'Austria Medium 2030'!I8+'Austria Medium 2030'!L8)/1000000</f>
        <v>6.1905318675584148E-3</v>
      </c>
      <c r="O166" s="907"/>
      <c r="P166" s="907"/>
      <c r="Q166" s="907">
        <f>SUM(Austria_High_2030_2050!F$8+Austria_High_2030_2050!I$8+Austria_High_2030_2050!L$8)/1000000</f>
        <v>1.5576388164188467E-2</v>
      </c>
      <c r="R166" s="907"/>
      <c r="S166" s="907"/>
      <c r="T166" s="907"/>
      <c r="U166" s="910"/>
      <c r="V166" s="907"/>
      <c r="W166" s="907"/>
      <c r="X166" s="911">
        <f>SUM(Austria_High_2030_2050!BA8+Austria_High_2030_2050!BD8+Austria_High_2030_2050!BG8)/1000000</f>
        <v>5.557186832195167E-2</v>
      </c>
      <c r="Y166" s="911"/>
      <c r="Z166" s="911"/>
      <c r="AA166" s="912">
        <f>'Conversion factors selected IV '!L$4</f>
        <v>0.87842743861660455</v>
      </c>
      <c r="AB166" s="912"/>
      <c r="AC166" s="912"/>
      <c r="AD166" s="912"/>
      <c r="AE166" s="975">
        <f>1/'IVCs relevant in 2030'!R$3</f>
        <v>1</v>
      </c>
      <c r="AF166" s="975">
        <f>1/'IVCs relevant 2040-2050'!T$3</f>
        <v>0.5</v>
      </c>
      <c r="AG166" s="913">
        <f>N166*AA166*AE166</f>
        <v>5.4379330520938039E-3</v>
      </c>
      <c r="AH166" s="914">
        <f>AG166*11630</f>
        <v>63.24316139585094</v>
      </c>
      <c r="AI166" s="915">
        <f>Q166*AA166*AE166</f>
        <v>1.3682726757966069E-2</v>
      </c>
      <c r="AJ166" s="916">
        <f>AI166*11630</f>
        <v>159.13011219514539</v>
      </c>
      <c r="AK166" s="657"/>
      <c r="AL166" s="1002"/>
      <c r="AM166" s="1003"/>
      <c r="AN166" s="1003"/>
    </row>
    <row r="167" spans="1:58" s="838" customFormat="1" outlineLevel="1">
      <c r="D167" s="839"/>
      <c r="E167" s="839"/>
      <c r="I167" s="840"/>
      <c r="J167" s="866"/>
      <c r="K167" s="840" t="s">
        <v>266</v>
      </c>
      <c r="L167" s="838" t="s">
        <v>267</v>
      </c>
      <c r="N167" s="840">
        <f>('Austria Medium 2030'!AM8+'Austria Medium 2030'!AQ8+'Austria Medium 2030'!AR8)/1000000</f>
        <v>5.77377521813583E-2</v>
      </c>
      <c r="O167" s="840"/>
      <c r="P167" s="840"/>
      <c r="Q167" s="840">
        <f>SUM(Austria_High_2030_2050!AM8+Austria_High_2030_2050!AQ8+Austria_High_2030_2050!AR8)/1000000</f>
        <v>9.5219435333904923E-2</v>
      </c>
      <c r="R167" s="840"/>
      <c r="S167" s="840"/>
      <c r="T167" s="840"/>
      <c r="U167" s="846"/>
      <c r="V167" s="840"/>
      <c r="W167" s="840"/>
      <c r="X167" s="840">
        <f>(Austria_High_2030_2050!CH8+Austria_High_2030_2050!CL8+Austria_High_2030_2050!CM8)/1000000</f>
        <v>0.1101612019027297</v>
      </c>
      <c r="Y167" s="840"/>
      <c r="Z167" s="840"/>
      <c r="AA167" s="841">
        <f>'Conversion factors selected IV '!L$5</f>
        <v>0.84818930999098818</v>
      </c>
      <c r="AB167" s="841"/>
      <c r="AC167" s="841"/>
      <c r="AD167" s="841"/>
      <c r="AE167" s="983">
        <f>1/'IVCs relevant in 2030'!R$14</f>
        <v>0.5</v>
      </c>
      <c r="AF167" s="984">
        <f>1/'IVCs relevant 2040-2050'!T$14</f>
        <v>0.5</v>
      </c>
      <c r="AG167" s="842">
        <f>N167*AA167*AE167</f>
        <v>2.4486272091568485E-2</v>
      </c>
      <c r="AH167" s="843">
        <f>AG167*11630</f>
        <v>284.77534442494147</v>
      </c>
      <c r="AI167" s="844">
        <f>Q167*AA167*AE167</f>
        <v>4.0382053576798166E-2</v>
      </c>
      <c r="AJ167" s="845">
        <f>AI167*11630</f>
        <v>469.64328309816267</v>
      </c>
      <c r="AK167" s="657"/>
      <c r="AL167" s="1002"/>
      <c r="AM167" s="1003"/>
      <c r="AN167" s="1003"/>
    </row>
    <row r="168" spans="1:58" s="515" customFormat="1">
      <c r="A168" s="515">
        <v>2</v>
      </c>
      <c r="B168" s="563" t="s">
        <v>3</v>
      </c>
      <c r="C168" s="563" t="s">
        <v>44</v>
      </c>
      <c r="D168" s="515" t="s">
        <v>120</v>
      </c>
      <c r="E168" s="515" t="s">
        <v>61</v>
      </c>
      <c r="F168" s="563" t="s">
        <v>640</v>
      </c>
      <c r="J168" s="859" t="s">
        <v>1030</v>
      </c>
      <c r="K168" s="515" t="s">
        <v>950</v>
      </c>
      <c r="N168" s="593">
        <f>SUM(N169+N172)</f>
        <v>6.1905318675584148E-3</v>
      </c>
      <c r="O168" s="593">
        <f t="shared" ref="O168:X168" si="254">SUM(O169+O172)</f>
        <v>0</v>
      </c>
      <c r="P168" s="593">
        <f t="shared" si="254"/>
        <v>0</v>
      </c>
      <c r="Q168" s="593">
        <f t="shared" si="254"/>
        <v>1.5576388164188467E-2</v>
      </c>
      <c r="R168" s="593">
        <f t="shared" si="254"/>
        <v>0</v>
      </c>
      <c r="S168" s="593">
        <f t="shared" si="254"/>
        <v>0</v>
      </c>
      <c r="T168" s="593">
        <f t="shared" si="254"/>
        <v>0</v>
      </c>
      <c r="U168" s="593">
        <f t="shared" si="254"/>
        <v>0</v>
      </c>
      <c r="V168" s="593">
        <f t="shared" si="254"/>
        <v>0</v>
      </c>
      <c r="W168" s="593">
        <f t="shared" si="254"/>
        <v>0</v>
      </c>
      <c r="X168" s="593">
        <f t="shared" si="254"/>
        <v>5.557186832195167E-2</v>
      </c>
      <c r="Y168" s="593"/>
      <c r="Z168" s="593"/>
      <c r="AA168" s="594"/>
      <c r="AB168" s="594"/>
      <c r="AC168" s="594"/>
      <c r="AD168" s="594"/>
      <c r="AE168" s="969"/>
      <c r="AF168" s="970"/>
      <c r="AG168" s="668">
        <f>SUM(AG169+AG172)</f>
        <v>1.3776112389866136E-3</v>
      </c>
      <c r="AH168" s="593">
        <f>AH172</f>
        <v>0</v>
      </c>
      <c r="AI168" s="593">
        <f t="shared" ref="AI168:AJ168" si="255">AI172</f>
        <v>0</v>
      </c>
      <c r="AJ168" s="593">
        <f t="shared" si="255"/>
        <v>0</v>
      </c>
      <c r="AK168" s="563"/>
      <c r="AL168" s="1004"/>
      <c r="AM168" s="1005"/>
      <c r="AN168" s="1005"/>
      <c r="AS168" s="563"/>
      <c r="AT168" s="563"/>
      <c r="AU168" s="563"/>
      <c r="BD168" s="563"/>
      <c r="BE168" s="563"/>
      <c r="BF168" s="563"/>
    </row>
    <row r="169" spans="1:58" outlineLevel="1">
      <c r="B169" s="499"/>
      <c r="C169" s="499"/>
      <c r="K169" s="494" t="s">
        <v>264</v>
      </c>
      <c r="L169" s="494" t="s">
        <v>790</v>
      </c>
      <c r="M169" s="526" t="s">
        <v>967</v>
      </c>
      <c r="N169" s="525">
        <f>('Austria Medium 2030'!F$8+'Austria Medium 2030'!I$8+'Austria Medium 2030'!L$8)/1000000</f>
        <v>6.1905318675584148E-3</v>
      </c>
      <c r="Q169" s="525">
        <f>SUM(Austria_High_2030_2050!F$8+Austria_High_2030_2050!I$8+Austria_High_2030_2050!L$8)/1000000</f>
        <v>1.5576388164188467E-2</v>
      </c>
      <c r="X169" s="525">
        <f>SUM(Austria_High_2030_2050!BA$8+Austria_High_2030_2050!BD$8+Austria_High_2030_2050!BG$8)/1000000</f>
        <v>5.557186832195167E-2</v>
      </c>
      <c r="Y169" s="525"/>
      <c r="Z169" s="525"/>
      <c r="AA169" s="527">
        <f>'Conversion factors selected IV '!L$7</f>
        <v>0.44507039732918852</v>
      </c>
      <c r="AB169" s="527"/>
      <c r="AC169" s="527"/>
      <c r="AD169" s="527"/>
      <c r="AE169" s="970">
        <f>1/'IVCs relevant in 2030'!R$3/2</f>
        <v>0.5</v>
      </c>
      <c r="AF169" s="970">
        <f>1/'IVCs relevant 2040-2050'!T$3*0.1</f>
        <v>0.05</v>
      </c>
      <c r="AG169" s="631">
        <f>N169*AA169*AE169</f>
        <v>1.3776112389866136E-3</v>
      </c>
      <c r="AH169" s="530">
        <f>AG169*11630</f>
        <v>16.021618709414316</v>
      </c>
      <c r="AI169" s="592">
        <f>Q169*AA169*AE169</f>
        <v>3.4662946345945149E-3</v>
      </c>
      <c r="AJ169" s="531">
        <f>AI169*11630</f>
        <v>40.313006600334205</v>
      </c>
    </row>
    <row r="170" spans="1:58" s="647" customFormat="1" outlineLevel="1">
      <c r="D170" s="648"/>
      <c r="E170" s="648"/>
      <c r="J170" s="860"/>
      <c r="K170" s="647" t="s">
        <v>266</v>
      </c>
      <c r="L170" s="647" t="s">
        <v>267</v>
      </c>
      <c r="N170" s="651">
        <f>('Austria Medium 2030'!AM$8+'Austria Medium 2030'!AQ$8+'Austria Medium 2030'!AR$8)/1000000</f>
        <v>5.77377521813583E-2</v>
      </c>
      <c r="Q170" s="651">
        <f>SUM(Austria_High_2030_2050!AM$8+Austria_High_2030_2050!AQ$8+Austria_High_2030_2050!AR$8)/1000000</f>
        <v>9.5219435333904923E-2</v>
      </c>
      <c r="X170" s="651">
        <f>(Austria_High_2030_2050!CH$8+Austria_High_2030_2050!CL$8+Austria_High_2030_2050!CM$8)/1000000</f>
        <v>0.1101612019027297</v>
      </c>
      <c r="Y170" s="651"/>
      <c r="Z170" s="651"/>
      <c r="AA170" s="669">
        <f>'Conversion factors selected IV '!L$8</f>
        <v>0.45908042468661553</v>
      </c>
      <c r="AB170" s="669"/>
      <c r="AC170" s="669"/>
      <c r="AD170" s="669"/>
      <c r="AE170" s="985">
        <f>1/'IVCs relevant in 2030'!R$14/2</f>
        <v>0.25</v>
      </c>
      <c r="AF170" s="986">
        <f>1/'IVCs relevant 2040-2050'!T$14*0.1</f>
        <v>0.05</v>
      </c>
      <c r="AG170" s="684">
        <f>N170*AA170*AE170</f>
        <v>6.6265679479671326E-3</v>
      </c>
      <c r="AH170" s="653">
        <f t="shared" ref="AH170:AH172" si="256">AG170*11630</f>
        <v>77.066985234857754</v>
      </c>
      <c r="AI170" s="654">
        <f>Q170*AA170*AE170</f>
        <v>1.0928344702877199E-2</v>
      </c>
      <c r="AJ170" s="795">
        <f t="shared" ref="AJ170:AJ172" si="257">AI170*11630</f>
        <v>127.09664889446182</v>
      </c>
      <c r="AK170" s="657"/>
      <c r="AL170" s="1002"/>
      <c r="AM170" s="1003"/>
      <c r="AN170" s="1003"/>
    </row>
    <row r="171" spans="1:58" s="647" customFormat="1" outlineLevel="1">
      <c r="D171" s="648"/>
      <c r="E171" s="648"/>
      <c r="J171" s="860"/>
      <c r="K171" s="647" t="s">
        <v>268</v>
      </c>
      <c r="L171" s="647">
        <v>413201</v>
      </c>
      <c r="N171" s="647">
        <v>0</v>
      </c>
      <c r="Q171" s="647">
        <v>0</v>
      </c>
      <c r="X171" s="651">
        <v>0</v>
      </c>
      <c r="Y171" s="651"/>
      <c r="Z171" s="651"/>
      <c r="AA171" s="669"/>
      <c r="AB171" s="669"/>
      <c r="AC171" s="669"/>
      <c r="AD171" s="669"/>
      <c r="AE171" s="966">
        <f>1/'IVCs relevant in 2030'!R$15/2</f>
        <v>0.5</v>
      </c>
      <c r="AF171" s="966">
        <f>1/'IVCs relevant 2040-2050'!T$15*0.1</f>
        <v>0.1</v>
      </c>
      <c r="AG171" s="631">
        <f>N171*AA171*AE171</f>
        <v>0</v>
      </c>
      <c r="AH171" s="530">
        <f t="shared" si="256"/>
        <v>0</v>
      </c>
      <c r="AI171" s="592">
        <f>Q171*AA171*AE171</f>
        <v>0</v>
      </c>
      <c r="AJ171" s="531">
        <f t="shared" si="257"/>
        <v>0</v>
      </c>
      <c r="AK171" s="657"/>
      <c r="AL171" s="1002"/>
      <c r="AM171" s="1003"/>
      <c r="AN171" s="1003"/>
    </row>
    <row r="172" spans="1:58" outlineLevel="1">
      <c r="B172" s="499"/>
      <c r="C172" s="499"/>
      <c r="K172" s="499" t="s">
        <v>269</v>
      </c>
      <c r="L172" s="540"/>
      <c r="M172" s="540"/>
      <c r="N172" s="494">
        <v>0</v>
      </c>
      <c r="Q172" s="494">
        <v>0</v>
      </c>
      <c r="R172" s="591"/>
      <c r="S172" s="591"/>
      <c r="T172" s="591"/>
      <c r="U172" s="591"/>
      <c r="V172" s="591"/>
      <c r="W172" s="591"/>
      <c r="X172" s="670"/>
      <c r="Y172" s="525"/>
      <c r="Z172" s="525"/>
      <c r="AA172" s="527">
        <f>'Conversion factors selected IV '!L10</f>
        <v>0.16170822585267985</v>
      </c>
      <c r="AB172" s="527"/>
      <c r="AC172" s="527"/>
      <c r="AD172" s="527"/>
      <c r="AE172" s="970">
        <f>1/'IVCs relevant in 2030'!R$22/2</f>
        <v>0.125</v>
      </c>
      <c r="AF172" s="970"/>
      <c r="AG172" s="631">
        <f>N172*AA172*AE172</f>
        <v>0</v>
      </c>
      <c r="AH172" s="530">
        <f t="shared" si="256"/>
        <v>0</v>
      </c>
      <c r="AI172" s="592">
        <f>Q172*AA172*AE172</f>
        <v>0</v>
      </c>
      <c r="AJ172" s="531">
        <f t="shared" si="257"/>
        <v>0</v>
      </c>
    </row>
    <row r="173" spans="1:58" s="515" customFormat="1">
      <c r="A173" s="515">
        <v>2</v>
      </c>
      <c r="B173" s="563" t="s">
        <v>3</v>
      </c>
      <c r="C173" s="563" t="s">
        <v>45</v>
      </c>
      <c r="D173" s="563" t="s">
        <v>1182</v>
      </c>
      <c r="E173" s="563" t="s">
        <v>90</v>
      </c>
      <c r="F173" s="515" t="s">
        <v>958</v>
      </c>
      <c r="J173" s="859" t="s">
        <v>1030</v>
      </c>
      <c r="K173" s="515" t="s">
        <v>950</v>
      </c>
      <c r="N173" s="593">
        <f>SUM(N177+N180)</f>
        <v>6.1905318675584148E-3</v>
      </c>
      <c r="O173" s="593">
        <f t="shared" ref="O173:X173" si="258">SUM(O177+O180)</f>
        <v>0</v>
      </c>
      <c r="P173" s="593">
        <f t="shared" si="258"/>
        <v>0</v>
      </c>
      <c r="Q173" s="593">
        <f t="shared" si="258"/>
        <v>1.5576388164188467E-2</v>
      </c>
      <c r="R173" s="593">
        <f t="shared" si="258"/>
        <v>0</v>
      </c>
      <c r="S173" s="593">
        <f t="shared" si="258"/>
        <v>0</v>
      </c>
      <c r="T173" s="593">
        <f t="shared" si="258"/>
        <v>0</v>
      </c>
      <c r="U173" s="593">
        <f t="shared" si="258"/>
        <v>0</v>
      </c>
      <c r="V173" s="593">
        <f t="shared" si="258"/>
        <v>0</v>
      </c>
      <c r="W173" s="593">
        <f t="shared" si="258"/>
        <v>0</v>
      </c>
      <c r="X173" s="593">
        <f t="shared" si="258"/>
        <v>5.557186832195167E-2</v>
      </c>
      <c r="Y173" s="593"/>
      <c r="Z173" s="593"/>
      <c r="AA173" s="594"/>
      <c r="AB173" s="594"/>
      <c r="AC173" s="594"/>
      <c r="AD173" s="594"/>
      <c r="AE173" s="969"/>
      <c r="AF173" s="963"/>
      <c r="AG173" s="668">
        <f>SUM(AG177+AG180)</f>
        <v>1.3776112389866136E-3</v>
      </c>
      <c r="AH173" s="593">
        <f>SUM(AH177+AH180)</f>
        <v>16.021618709414316</v>
      </c>
      <c r="AI173" s="593">
        <f>SUM(AI177+AI180)</f>
        <v>3.4662946345945149E-3</v>
      </c>
      <c r="AJ173" s="593">
        <f>SUM(AJ177+AJ180)</f>
        <v>40.313006600334205</v>
      </c>
      <c r="AK173" s="563"/>
      <c r="AL173" s="1004"/>
      <c r="AM173" s="1005"/>
      <c r="AN173" s="1005"/>
      <c r="AS173" s="563"/>
      <c r="AT173" s="563"/>
      <c r="AU173" s="563"/>
      <c r="BD173" s="563"/>
      <c r="BE173" s="563"/>
      <c r="BF173" s="563"/>
    </row>
    <row r="174" spans="1:58" hidden="1">
      <c r="A174" s="494">
        <v>3</v>
      </c>
      <c r="B174" s="499" t="s">
        <v>4</v>
      </c>
      <c r="C174" s="499" t="s">
        <v>46</v>
      </c>
      <c r="X174" s="525"/>
      <c r="Y174" s="525"/>
      <c r="Z174" s="525"/>
      <c r="AA174" s="541">
        <v>2.1018438903219643</v>
      </c>
      <c r="AB174" s="541"/>
      <c r="AC174" s="541"/>
      <c r="AD174" s="541"/>
      <c r="AE174" s="972">
        <v>1</v>
      </c>
      <c r="AF174" s="971"/>
    </row>
    <row r="175" spans="1:58" hidden="1">
      <c r="A175" s="494">
        <v>4</v>
      </c>
      <c r="B175" s="499" t="s">
        <v>5</v>
      </c>
      <c r="C175" s="499" t="s">
        <v>47</v>
      </c>
      <c r="X175" s="525"/>
      <c r="Y175" s="525"/>
      <c r="Z175" s="525"/>
      <c r="AA175" s="541">
        <v>0.11725162198077073</v>
      </c>
      <c r="AB175" s="541"/>
      <c r="AC175" s="541"/>
      <c r="AD175" s="541"/>
      <c r="AE175" s="972">
        <f>1</f>
        <v>1</v>
      </c>
      <c r="AF175" s="971"/>
    </row>
    <row r="176" spans="1:58" hidden="1">
      <c r="A176" s="494">
        <v>4</v>
      </c>
      <c r="B176" s="499" t="s">
        <v>5</v>
      </c>
      <c r="C176" s="499" t="s">
        <v>49</v>
      </c>
      <c r="X176" s="525"/>
      <c r="Y176" s="525"/>
      <c r="Z176" s="525"/>
      <c r="AA176" s="541">
        <v>7.0350973188462423E-2</v>
      </c>
      <c r="AB176" s="541"/>
      <c r="AC176" s="541"/>
      <c r="AD176" s="541"/>
      <c r="AE176" s="972">
        <v>1</v>
      </c>
      <c r="AF176" s="971"/>
    </row>
    <row r="177" spans="1:59" outlineLevel="1">
      <c r="B177" s="499"/>
      <c r="C177" s="499"/>
      <c r="K177" s="494" t="s">
        <v>264</v>
      </c>
      <c r="L177" s="494" t="s">
        <v>790</v>
      </c>
      <c r="M177" s="526" t="s">
        <v>967</v>
      </c>
      <c r="N177" s="525">
        <f>('Austria Medium 2030'!F$8+'Austria Medium 2030'!I$8+'Austria Medium 2030'!L$8)/1000000</f>
        <v>6.1905318675584148E-3</v>
      </c>
      <c r="Q177" s="525">
        <f>SUM(Austria_High_2030_2050!F$8+Austria_High_2030_2050!I$8+Austria_High_2030_2050!L$8)/1000000</f>
        <v>1.5576388164188467E-2</v>
      </c>
      <c r="X177" s="525">
        <f>SUM(Austria_High_2030_2050!BA$8+Austria_High_2030_2050!BD$8+Austria_High_2030_2050!BG$8)/1000000</f>
        <v>5.557186832195167E-2</v>
      </c>
      <c r="Y177" s="525"/>
      <c r="Z177" s="525"/>
      <c r="AA177" s="527">
        <f>'Conversion factors selected IV '!L$7</f>
        <v>0.44507039732918852</v>
      </c>
      <c r="AB177" s="527"/>
      <c r="AC177" s="527"/>
      <c r="AD177" s="527"/>
      <c r="AE177" s="970">
        <f>1/'IVCs relevant in 2030'!R$3/2</f>
        <v>0.5</v>
      </c>
      <c r="AF177" s="970">
        <f>1/'IVCs relevant 2040-2050'!T$3*0.9</f>
        <v>0.45</v>
      </c>
      <c r="AG177" s="631">
        <f>N177*AA177*AE177</f>
        <v>1.3776112389866136E-3</v>
      </c>
      <c r="AH177" s="530">
        <f>AG177*11630</f>
        <v>16.021618709414316</v>
      </c>
      <c r="AI177" s="592">
        <f>Q177*AA177*AE177</f>
        <v>3.4662946345945149E-3</v>
      </c>
      <c r="AJ177" s="531">
        <f t="shared" ref="AJ177:AJ185" si="259">AI177*11630</f>
        <v>40.313006600334205</v>
      </c>
    </row>
    <row r="178" spans="1:59" s="838" customFormat="1" outlineLevel="1">
      <c r="D178" s="839"/>
      <c r="E178" s="839"/>
      <c r="J178" s="867"/>
      <c r="K178" s="838" t="s">
        <v>266</v>
      </c>
      <c r="L178" s="838" t="s">
        <v>267</v>
      </c>
      <c r="N178" s="840">
        <f>('Austria Medium 2030'!AM$8+'Austria Medium 2030'!AQ$8+'Austria Medium 2030'!AR$8)/1000000</f>
        <v>5.77377521813583E-2</v>
      </c>
      <c r="Q178" s="840">
        <f>SUM(Austria_High_2030_2050!AM$8+Austria_High_2030_2050!AQ$8+Austria_High_2030_2050!AR$8)/1000000</f>
        <v>9.5219435333904923E-2</v>
      </c>
      <c r="X178" s="840">
        <f>(Austria_High_2030_2050!CH$8+Austria_High_2030_2050!CL$8+Austria_High_2030_2050!CM$8)/1000000</f>
        <v>0.1101612019027297</v>
      </c>
      <c r="Y178" s="840"/>
      <c r="Z178" s="840"/>
      <c r="AA178" s="841">
        <f>'Conversion factors selected IV '!L$8</f>
        <v>0.45908042468661553</v>
      </c>
      <c r="AB178" s="841"/>
      <c r="AC178" s="841"/>
      <c r="AD178" s="841"/>
      <c r="AE178" s="987">
        <f>1/'IVCs relevant in 2030'!R$14/2</f>
        <v>0.25</v>
      </c>
      <c r="AF178" s="983">
        <f>1/'IVCs relevant 2040-2050'!T$14*0.9</f>
        <v>0.45</v>
      </c>
      <c r="AG178" s="842">
        <f>N178*AA178*AE178</f>
        <v>6.6265679479671326E-3</v>
      </c>
      <c r="AH178" s="843">
        <f t="shared" ref="AH178:AH180" si="260">AG178*11630</f>
        <v>77.066985234857754</v>
      </c>
      <c r="AI178" s="844">
        <f>Q178*AA178*AE178</f>
        <v>1.0928344702877199E-2</v>
      </c>
      <c r="AJ178" s="845">
        <f t="shared" si="259"/>
        <v>127.09664889446182</v>
      </c>
      <c r="AK178" s="657"/>
      <c r="AL178" s="1002"/>
      <c r="AM178" s="1003"/>
      <c r="AN178" s="1003"/>
    </row>
    <row r="179" spans="1:59" s="647" customFormat="1" outlineLevel="1">
      <c r="D179" s="648"/>
      <c r="E179" s="648"/>
      <c r="J179" s="860"/>
      <c r="K179" s="647" t="s">
        <v>268</v>
      </c>
      <c r="L179" s="647">
        <v>413201</v>
      </c>
      <c r="N179" s="647">
        <v>0</v>
      </c>
      <c r="Q179" s="647">
        <v>0</v>
      </c>
      <c r="X179" s="651">
        <v>0</v>
      </c>
      <c r="Y179" s="651"/>
      <c r="Z179" s="651"/>
      <c r="AA179" s="669"/>
      <c r="AB179" s="669"/>
      <c r="AC179" s="669"/>
      <c r="AD179" s="669"/>
      <c r="AE179" s="966">
        <f>1/'IVCs relevant in 2030'!R$15/2</f>
        <v>0.5</v>
      </c>
      <c r="AF179" s="966">
        <f>1/'IVCs relevant 2040-2050'!T$15*0.9</f>
        <v>0.9</v>
      </c>
      <c r="AG179" s="631">
        <f>N179*AA179*AE179</f>
        <v>0</v>
      </c>
      <c r="AH179" s="530">
        <f t="shared" si="260"/>
        <v>0</v>
      </c>
      <c r="AI179" s="592">
        <f>Q179*AA179*AE179</f>
        <v>0</v>
      </c>
      <c r="AJ179" s="531">
        <f t="shared" si="259"/>
        <v>0</v>
      </c>
      <c r="AK179" s="657"/>
      <c r="AL179" s="1002"/>
      <c r="AM179" s="1003"/>
      <c r="AN179" s="1003"/>
    </row>
    <row r="180" spans="1:59" outlineLevel="1">
      <c r="B180" s="499"/>
      <c r="C180" s="499"/>
      <c r="K180" s="499" t="s">
        <v>269</v>
      </c>
      <c r="L180" s="540"/>
      <c r="M180" s="540"/>
      <c r="N180" s="494">
        <v>0</v>
      </c>
      <c r="Q180" s="494">
        <v>0</v>
      </c>
      <c r="R180" s="591"/>
      <c r="S180" s="591"/>
      <c r="T180" s="591"/>
      <c r="U180" s="591"/>
      <c r="V180" s="591"/>
      <c r="W180" s="591"/>
      <c r="X180" s="670"/>
      <c r="Y180" s="525"/>
      <c r="Z180" s="525"/>
      <c r="AA180" s="541">
        <f>'Conversion factors selected IV '!L15</f>
        <v>0.15803303890148257</v>
      </c>
      <c r="AB180" s="541"/>
      <c r="AC180" s="541"/>
      <c r="AD180" s="541"/>
      <c r="AE180" s="970">
        <f>1/'IVCs relevant in 2030'!R$22/2</f>
        <v>0.125</v>
      </c>
      <c r="AF180" s="972"/>
      <c r="AG180" s="631">
        <f>N180*AA180*AE180</f>
        <v>0</v>
      </c>
      <c r="AH180" s="530">
        <f t="shared" si="260"/>
        <v>0</v>
      </c>
      <c r="AI180" s="592">
        <f>Q180*AA180*AE180</f>
        <v>0</v>
      </c>
      <c r="AJ180" s="531">
        <f t="shared" si="259"/>
        <v>0</v>
      </c>
    </row>
    <row r="181" spans="1:59" s="515" customFormat="1" outlineLevel="1">
      <c r="A181" s="515">
        <v>5</v>
      </c>
      <c r="B181" s="563" t="s">
        <v>6</v>
      </c>
      <c r="C181" s="563" t="s">
        <v>1223</v>
      </c>
      <c r="D181" s="515" t="s">
        <v>239</v>
      </c>
      <c r="E181" s="515" t="s">
        <v>60</v>
      </c>
      <c r="F181" s="515" t="s">
        <v>640</v>
      </c>
      <c r="J181" s="859">
        <v>2030</v>
      </c>
      <c r="K181" s="563"/>
      <c r="L181" s="834"/>
      <c r="M181" s="834"/>
      <c r="N181" s="671">
        <f>SUM(N182:N185)</f>
        <v>3.9109938035189442</v>
      </c>
      <c r="O181" s="671">
        <f t="shared" ref="O181:X181" si="261">SUM(O182:O185)</f>
        <v>0</v>
      </c>
      <c r="P181" s="671">
        <f t="shared" si="261"/>
        <v>0</v>
      </c>
      <c r="Q181" s="671">
        <f t="shared" si="261"/>
        <v>6.2445875444721972</v>
      </c>
      <c r="R181" s="671">
        <f t="shared" si="261"/>
        <v>0</v>
      </c>
      <c r="S181" s="671">
        <f t="shared" si="261"/>
        <v>0</v>
      </c>
      <c r="T181" s="671">
        <f t="shared" si="261"/>
        <v>0</v>
      </c>
      <c r="U181" s="671">
        <f t="shared" si="261"/>
        <v>0</v>
      </c>
      <c r="V181" s="671">
        <f t="shared" si="261"/>
        <v>0</v>
      </c>
      <c r="W181" s="671">
        <f t="shared" si="261"/>
        <v>0</v>
      </c>
      <c r="X181" s="671">
        <f t="shared" si="261"/>
        <v>5.9654623056068683</v>
      </c>
      <c r="Y181" s="593"/>
      <c r="Z181" s="593"/>
      <c r="AA181" s="603"/>
      <c r="AB181" s="603"/>
      <c r="AC181" s="603"/>
      <c r="AD181" s="603"/>
      <c r="AE181" s="969"/>
      <c r="AF181" s="973"/>
      <c r="AG181" s="835">
        <f>SUM(AG182:AG185)</f>
        <v>8.0359784452922661E-2</v>
      </c>
      <c r="AH181" s="595">
        <f>SUM(AH182:AH185)</f>
        <v>934.5842931874904</v>
      </c>
      <c r="AI181" s="595">
        <f t="shared" ref="AI181:AJ181" si="262">SUM(AI182:AI185)</f>
        <v>0.125224132385368</v>
      </c>
      <c r="AJ181" s="595">
        <f t="shared" si="262"/>
        <v>1456.3566596418298</v>
      </c>
      <c r="AK181" s="563"/>
      <c r="AL181" s="1004"/>
      <c r="AM181" s="1005"/>
      <c r="AN181" s="1005"/>
      <c r="AS181" s="563"/>
      <c r="AT181" s="563"/>
      <c r="AU181" s="563"/>
      <c r="BD181" s="563"/>
      <c r="BE181" s="563"/>
      <c r="BF181" s="563"/>
    </row>
    <row r="182" spans="1:59" outlineLevel="1">
      <c r="B182" s="499"/>
      <c r="C182" s="499"/>
      <c r="K182" s="494" t="s">
        <v>272</v>
      </c>
      <c r="L182" s="540"/>
      <c r="M182" s="540"/>
      <c r="N182" s="672">
        <f>('Austria Medium 2030'!N$8+'Austria Medium 2030'!O$8+'Austria Medium 2030'!P$8)/1000000</f>
        <v>2.0661873996580922</v>
      </c>
      <c r="Q182" s="525">
        <f>SUM(Austria_High_2030_2050!N$8+Austria_High_2030_2050!O$8+Austria_High_2030_2050!P$8)/1000000</f>
        <v>3.6127082591720723</v>
      </c>
      <c r="X182" s="525">
        <f>(Austria_High_2030_2050!BI$8+Austria_High_2030_2050!BJ$8+Austria_High_2030_2050!BK$8)/1000000</f>
        <v>2.4145632429759436</v>
      </c>
      <c r="Y182" s="525"/>
      <c r="Z182" s="525"/>
      <c r="AA182" s="541">
        <f>'Conversion factors selected IV '!L17</f>
        <v>0.11640474653115969</v>
      </c>
      <c r="AB182" s="541"/>
      <c r="AC182" s="541"/>
      <c r="AD182" s="541"/>
      <c r="AE182" s="970">
        <f>1/'IVCs relevant in 2030'!R8</f>
        <v>0.14285714285714285</v>
      </c>
      <c r="AF182" s="972"/>
      <c r="AG182" s="631">
        <f>N182*AA182*AE182</f>
        <v>3.4359145791868023E-2</v>
      </c>
      <c r="AH182" s="530">
        <f>AG182*11630</f>
        <v>399.59686555942511</v>
      </c>
      <c r="AI182" s="592">
        <f>Q182*AA182*AE182</f>
        <v>6.0076627028564603E-2</v>
      </c>
      <c r="AJ182" s="531">
        <f t="shared" si="259"/>
        <v>698.6911723422063</v>
      </c>
    </row>
    <row r="183" spans="1:59" outlineLevel="1">
      <c r="B183" s="499"/>
      <c r="C183" s="499"/>
      <c r="K183" s="494" t="s">
        <v>274</v>
      </c>
      <c r="L183" s="540"/>
      <c r="M183" s="540"/>
      <c r="N183" s="673">
        <f>('Austria Medium 2030'!E$8+'Austria Medium 2030'!G$8+'Austria Medium 2030'!H$8+'Austria Medium 2030'!J$8)/1000000</f>
        <v>4.3076209855386564E-2</v>
      </c>
      <c r="Q183" s="525">
        <f>SUM(Austria_High_2030_2050!E$8+Austria_High_2030_2050!G$8+Austria_High_2030_2050!H3+Austria_High_2030_2050!J$8)/1000000</f>
        <v>5.4440656935360342E-2</v>
      </c>
      <c r="X183" s="525">
        <f>(Austria_High_2030_2050!AZ$8+Austria_High_2030_2050!BB$8+Austria_High_2030_2050!BC$8+Austria_High_2030_2050!BE$8)/1000000</f>
        <v>0.98636944902035451</v>
      </c>
      <c r="Y183" s="525"/>
      <c r="Z183" s="525"/>
      <c r="AA183" s="541">
        <f>'Conversion factors selected IV '!L18</f>
        <v>0.11640474653115969</v>
      </c>
      <c r="AB183" s="541"/>
      <c r="AC183" s="541"/>
      <c r="AD183" s="541"/>
      <c r="AE183" s="970">
        <f>1/'IVCs relevant in 2030'!R2</f>
        <v>0.14285714285714285</v>
      </c>
      <c r="AF183" s="972"/>
      <c r="AG183" s="631">
        <f>N183*AA183*AE183</f>
        <v>7.1632504139133087E-4</v>
      </c>
      <c r="AH183" s="530">
        <f t="shared" ref="AH183:AH185" si="263">AG183*11630</f>
        <v>8.3308602313811786</v>
      </c>
      <c r="AI183" s="592">
        <f>Q183*AA183*AE183</f>
        <v>9.0530726736434881E-4</v>
      </c>
      <c r="AJ183" s="531">
        <f t="shared" si="259"/>
        <v>10.528723519447377</v>
      </c>
    </row>
    <row r="184" spans="1:59" outlineLevel="1">
      <c r="B184" s="499"/>
      <c r="C184" s="499"/>
      <c r="K184" s="494" t="s">
        <v>276</v>
      </c>
      <c r="L184" s="540"/>
      <c r="M184" s="540"/>
      <c r="N184" s="673">
        <f>('Austria Medium 2030'!K$8+'Austria Medium 2030'!M$8)/1000000</f>
        <v>5.1413639238366511E-2</v>
      </c>
      <c r="Q184" s="525">
        <f>SUM(Austria_High_2030_2050!K$8+Austria_High_2030_2050!M$8)/1000000</f>
        <v>0.13507391098355814</v>
      </c>
      <c r="X184" s="525">
        <f>(Austria_High_2030_2050!BF$8+Austria_High_2030_2050!BH$8)/1000000</f>
        <v>0.31760793815025773</v>
      </c>
      <c r="Y184" s="525"/>
      <c r="Z184" s="525"/>
      <c r="AA184" s="541">
        <f>'Conversion factors selected IV '!L19</f>
        <v>0.11640474653115969</v>
      </c>
      <c r="AB184" s="541"/>
      <c r="AC184" s="541"/>
      <c r="AD184" s="541"/>
      <c r="AE184" s="970">
        <f>1/'IVCs relevant in 2030'!R4</f>
        <v>0.14285714285714285</v>
      </c>
      <c r="AF184" s="972"/>
      <c r="AG184" s="631">
        <f>N184*AA184*AE184</f>
        <v>8.549702348266484E-4</v>
      </c>
      <c r="AH184" s="530">
        <f t="shared" si="263"/>
        <v>9.943303831033921</v>
      </c>
      <c r="AI184" s="592">
        <f>Q184*AA184*AE184</f>
        <v>2.2461777672876447E-3</v>
      </c>
      <c r="AJ184" s="531">
        <f t="shared" si="259"/>
        <v>26.123047433555307</v>
      </c>
    </row>
    <row r="185" spans="1:59" outlineLevel="1">
      <c r="B185" s="499"/>
      <c r="C185" s="499"/>
      <c r="K185" s="494" t="s">
        <v>270</v>
      </c>
      <c r="L185" s="540"/>
      <c r="M185" s="540"/>
      <c r="N185" s="673">
        <f>('Austria Medium 2030'!U$8+'Austria Medium 2030'!V$8+'Austria Medium 2030'!W$8+'Austria Medium 2030'!X$8+'Austria Medium 2030'!Y$8+'Austria Medium 2030'!Z$8)/1000000</f>
        <v>1.7503165547670994</v>
      </c>
      <c r="Q185" s="525">
        <f>SUM(Austria_High_2030_2050!U$8+Austria_High_2030_2050!V$8+Austria_High_2030_2050!W$8+Austria_High_2030_2050!X$8+Austria_High_2030_2050!Y$8+Austria_High_2030_2050!Z$8)/1000000</f>
        <v>2.4423647173812064</v>
      </c>
      <c r="X185" s="525">
        <f>(Austria_High_2030_2050!BP$8+Austria_High_2030_2050!BQ$8+Austria_High_2030_2050!BR$8+Austria_High_2030_2050!BS$8+Austria_High_2030_2050!BT$8+Austria_High_2030_2050!BU$8)/1000000</f>
        <v>2.2469216754603125</v>
      </c>
      <c r="Y185" s="525"/>
      <c r="Z185" s="525"/>
      <c r="AA185" s="541">
        <f>'Conversion factors selected IV '!L20</f>
        <v>0.15230162771584541</v>
      </c>
      <c r="AB185" s="541"/>
      <c r="AC185" s="541"/>
      <c r="AD185" s="541"/>
      <c r="AE185" s="970">
        <f>1/'IVCs relevant in 2030'!R16</f>
        <v>0.16666666666666666</v>
      </c>
      <c r="AF185" s="972"/>
      <c r="AG185" s="631">
        <f>N185*AA185*AE185</f>
        <v>4.4429343384836652E-2</v>
      </c>
      <c r="AH185" s="530">
        <f t="shared" si="263"/>
        <v>516.71326356565021</v>
      </c>
      <c r="AI185" s="592">
        <f>Q185*AA185*AE185</f>
        <v>6.1996020322151409E-2</v>
      </c>
      <c r="AJ185" s="531">
        <f t="shared" si="259"/>
        <v>721.01371634662087</v>
      </c>
    </row>
    <row r="186" spans="1:59" s="515" customFormat="1">
      <c r="A186" s="515">
        <v>5</v>
      </c>
      <c r="B186" s="563" t="s">
        <v>6</v>
      </c>
      <c r="C186" s="563" t="s">
        <v>49</v>
      </c>
      <c r="D186" s="563" t="s">
        <v>1182</v>
      </c>
      <c r="E186" s="563" t="s">
        <v>90</v>
      </c>
      <c r="F186" s="563" t="s">
        <v>643</v>
      </c>
      <c r="J186" s="859"/>
      <c r="K186" s="515" t="s">
        <v>950</v>
      </c>
      <c r="N186" s="671">
        <f>SUM(N187:N190)</f>
        <v>3.9109938035189442</v>
      </c>
      <c r="Q186" s="593">
        <f>SUM(Q187:Q190)</f>
        <v>6.275466719694025</v>
      </c>
      <c r="X186" s="593">
        <f>SUM(X187:X190)</f>
        <v>5.9654623056068683</v>
      </c>
      <c r="Y186" s="593"/>
      <c r="Z186" s="593"/>
      <c r="AA186" s="603"/>
      <c r="AB186" s="603"/>
      <c r="AC186" s="603"/>
      <c r="AD186" s="603"/>
      <c r="AE186" s="973"/>
      <c r="AF186" s="971"/>
      <c r="AK186" s="563"/>
      <c r="AL186" s="1004"/>
      <c r="AM186" s="1005"/>
      <c r="AN186" s="1005"/>
      <c r="AO186" s="593">
        <f>SUM(AO187:AO190)</f>
        <v>3.4999523875907101E-2</v>
      </c>
      <c r="AP186" s="593">
        <f t="shared" ref="AP186:BG186" si="264">SUM(AP187:AP190)</f>
        <v>0</v>
      </c>
      <c r="AQ186" s="593">
        <f t="shared" si="264"/>
        <v>0</v>
      </c>
      <c r="AR186" s="593">
        <f t="shared" si="264"/>
        <v>0</v>
      </c>
      <c r="AS186" s="593">
        <f t="shared" si="264"/>
        <v>0</v>
      </c>
      <c r="AT186" s="593">
        <f t="shared" si="264"/>
        <v>0</v>
      </c>
      <c r="AU186" s="593">
        <f t="shared" si="264"/>
        <v>0</v>
      </c>
      <c r="AV186" s="593">
        <f t="shared" si="264"/>
        <v>0</v>
      </c>
      <c r="AW186" s="593">
        <f t="shared" si="264"/>
        <v>0</v>
      </c>
      <c r="AX186" s="593">
        <f t="shared" si="264"/>
        <v>0</v>
      </c>
      <c r="AY186" s="593">
        <f t="shared" si="264"/>
        <v>0</v>
      </c>
      <c r="AZ186" s="593">
        <f t="shared" si="264"/>
        <v>0</v>
      </c>
      <c r="BA186" s="593">
        <f t="shared" si="264"/>
        <v>0</v>
      </c>
      <c r="BB186" s="593">
        <f t="shared" si="264"/>
        <v>0</v>
      </c>
      <c r="BC186" s="593">
        <f t="shared" si="264"/>
        <v>0</v>
      </c>
      <c r="BD186" s="593">
        <f t="shared" si="264"/>
        <v>0</v>
      </c>
      <c r="BE186" s="593">
        <f t="shared" si="264"/>
        <v>0</v>
      </c>
      <c r="BF186" s="593">
        <f t="shared" si="264"/>
        <v>0</v>
      </c>
      <c r="BG186" s="593">
        <f t="shared" si="264"/>
        <v>407.04446267679964</v>
      </c>
    </row>
    <row r="187" spans="1:59" outlineLevel="1">
      <c r="B187" s="499"/>
      <c r="C187" s="499"/>
      <c r="K187" s="494" t="s">
        <v>272</v>
      </c>
      <c r="L187" s="494" t="s">
        <v>273</v>
      </c>
      <c r="N187" s="672">
        <f>('Austria Medium 2030'!N$8+'Austria Medium 2030'!O$8+'Austria Medium 2030'!P$8)/1000000</f>
        <v>2.0661873996580922</v>
      </c>
      <c r="Q187" s="525">
        <f>SUM(Austria_High_2030_2050!N$8+Austria_High_2030_2050!O$8+Austria_High_2030_2050!P$8)/1000000</f>
        <v>3.6127082591720723</v>
      </c>
      <c r="X187" s="525">
        <f>(Austria_High_2030_2050!BI$8+Austria_High_2030_2050!BJ$8+Austria_High_2030_2050!BK$8)/1000000</f>
        <v>2.4145632429759436</v>
      </c>
      <c r="Y187" s="525"/>
      <c r="Z187" s="525"/>
      <c r="AA187" s="541">
        <f>'Conversion factors selected IV '!L$22</f>
        <v>3.4273230475183672E-2</v>
      </c>
      <c r="AB187" s="541"/>
      <c r="AC187" s="541"/>
      <c r="AD187" s="541"/>
      <c r="AE187" s="972"/>
      <c r="AF187" s="972">
        <f>1/'IVCs relevant 2040-2050'!T$8</f>
        <v>0.14285714285714285</v>
      </c>
      <c r="AG187" s="631"/>
      <c r="AO187" s="525">
        <f>X187*AA187*AF187</f>
        <v>1.1822126074774489E-2</v>
      </c>
      <c r="BG187" s="525">
        <f t="shared" ref="BG187:BG190" si="265">AO187*11630</f>
        <v>137.49132624962732</v>
      </c>
    </row>
    <row r="188" spans="1:59" outlineLevel="1">
      <c r="B188" s="499"/>
      <c r="C188" s="499"/>
      <c r="K188" s="494" t="s">
        <v>274</v>
      </c>
      <c r="L188" s="494" t="s">
        <v>275</v>
      </c>
      <c r="N188" s="673">
        <f>('Austria Medium 2030'!E$8+'Austria Medium 2030'!G$8+'Austria Medium 2030'!H$8+'Austria Medium 2030'!J$8)/1000000</f>
        <v>4.3076209855386564E-2</v>
      </c>
      <c r="Q188" s="525">
        <f>SUM(Austria_High_2030_2050!E$8+Austria_High_2030_2050!G$8+Austria_High_2030_2050!H8+Austria_High_2030_2050!J$8)/1000000</f>
        <v>8.5319832157188677E-2</v>
      </c>
      <c r="X188" s="525">
        <f>(Austria_High_2030_2050!AZ$8+Austria_High_2030_2050!BB$8+Austria_High_2030_2050!BC$8+Austria_High_2030_2050!BE$8)/1000000</f>
        <v>0.98636944902035451</v>
      </c>
      <c r="Y188" s="525"/>
      <c r="Z188" s="525"/>
      <c r="AA188" s="541">
        <f>'Conversion factors selected IV '!L$23</f>
        <v>3.4273230475183672E-2</v>
      </c>
      <c r="AB188" s="541"/>
      <c r="AC188" s="541"/>
      <c r="AD188" s="541"/>
      <c r="AE188" s="972"/>
      <c r="AF188" s="972">
        <f>1/'IVCs relevant 2040-2050'!T$2</f>
        <v>0.14285714285714285</v>
      </c>
      <c r="AG188" s="631"/>
      <c r="AO188" s="525">
        <f>X188*AA188*AF188</f>
        <v>4.8294382085649346E-3</v>
      </c>
      <c r="BG188" s="525">
        <f t="shared" si="265"/>
        <v>56.166366365610187</v>
      </c>
    </row>
    <row r="189" spans="1:59" outlineLevel="1">
      <c r="B189" s="499"/>
      <c r="C189" s="499"/>
      <c r="K189" s="494" t="s">
        <v>276</v>
      </c>
      <c r="L189" s="494" t="s">
        <v>277</v>
      </c>
      <c r="N189" s="673">
        <f>('Austria Medium 2030'!K$8+'Austria Medium 2030'!M$8)/1000000</f>
        <v>5.1413639238366511E-2</v>
      </c>
      <c r="Q189" s="525">
        <f>SUM(Austria_High_2030_2050!K$8+Austria_High_2030_2050!M$8)/1000000</f>
        <v>0.13507391098355814</v>
      </c>
      <c r="X189" s="525">
        <f>(Austria_High_2030_2050!BF$8+Austria_High_2030_2050!BH$8)/1000000</f>
        <v>0.31760793815025773</v>
      </c>
      <c r="Y189" s="525"/>
      <c r="Z189" s="525"/>
      <c r="AA189" s="541">
        <f>'Conversion factors selected IV '!L$24</f>
        <v>3.4273230475183672E-2</v>
      </c>
      <c r="AB189" s="541"/>
      <c r="AC189" s="541"/>
      <c r="AD189" s="541"/>
      <c r="AE189" s="972"/>
      <c r="AF189" s="972">
        <f>1/'IVCs relevant 2040-2050'!T$4</f>
        <v>0.14285714285714285</v>
      </c>
      <c r="AG189" s="631"/>
      <c r="AO189" s="525">
        <f>X189*AA189*AF189</f>
        <v>1.555064294995952E-3</v>
      </c>
      <c r="BG189" s="525">
        <f t="shared" si="265"/>
        <v>18.085397750802922</v>
      </c>
    </row>
    <row r="190" spans="1:59" outlineLevel="1">
      <c r="B190" s="499"/>
      <c r="C190" s="499"/>
      <c r="K190" s="494" t="s">
        <v>270</v>
      </c>
      <c r="L190" s="494" t="s">
        <v>271</v>
      </c>
      <c r="N190" s="673">
        <f>('Austria Medium 2030'!U$8+'Austria Medium 2030'!V$8+'Austria Medium 2030'!W$8+'Austria Medium 2030'!X$8+'Austria Medium 2030'!Y$8+'Austria Medium 2030'!Z$8)/1000000</f>
        <v>1.7503165547670994</v>
      </c>
      <c r="Q190" s="525">
        <f>SUM(Austria_High_2030_2050!U$8+Austria_High_2030_2050!V$8+Austria_High_2030_2050!W$8+Austria_High_2030_2050!X$8+Austria_High_2030_2050!Y$8+Austria_High_2030_2050!Z$8)/1000000</f>
        <v>2.4423647173812064</v>
      </c>
      <c r="X190" s="525">
        <f>(Austria_High_2030_2050!BP$8+Austria_High_2030_2050!BQ$8+Austria_High_2030_2050!BR$8+Austria_High_2030_2050!BS$8+Austria_High_2030_2050!BT$8+Austria_High_2030_2050!BU$8)/1000000</f>
        <v>2.2469216754603125</v>
      </c>
      <c r="Y190" s="525"/>
      <c r="Z190" s="525"/>
      <c r="AA190" s="541">
        <f>'Conversion factors selected IV '!L$25</f>
        <v>4.4842405004967008E-2</v>
      </c>
      <c r="AB190" s="541"/>
      <c r="AC190" s="541"/>
      <c r="AD190" s="541"/>
      <c r="AE190" s="972"/>
      <c r="AF190" s="972">
        <f>1/'IVCs relevant 2040-2050'!T$16</f>
        <v>0.16666666666666666</v>
      </c>
      <c r="AG190" s="631"/>
      <c r="AO190" s="525">
        <f>X190*AA190*AF190</f>
        <v>1.6792895297571726E-2</v>
      </c>
      <c r="BG190" s="525">
        <f t="shared" si="265"/>
        <v>195.30137231075918</v>
      </c>
    </row>
    <row r="191" spans="1:59" hidden="1">
      <c r="A191" s="494">
        <v>5</v>
      </c>
      <c r="B191" s="499" t="s">
        <v>6</v>
      </c>
      <c r="C191" s="499" t="s">
        <v>49</v>
      </c>
      <c r="AA191" s="541">
        <v>7.0421324161650894E-2</v>
      </c>
      <c r="AB191" s="541"/>
      <c r="AC191" s="541"/>
      <c r="AD191" s="541"/>
      <c r="AE191" s="972">
        <f>1/3</f>
        <v>0.33333333333333331</v>
      </c>
      <c r="AF191" s="972"/>
    </row>
    <row r="192" spans="1:59" s="515" customFormat="1">
      <c r="A192" s="515">
        <v>6</v>
      </c>
      <c r="B192" s="563" t="s">
        <v>7</v>
      </c>
      <c r="C192" s="606" t="s">
        <v>49</v>
      </c>
      <c r="D192" s="563" t="s">
        <v>1182</v>
      </c>
      <c r="E192" s="563" t="s">
        <v>90</v>
      </c>
      <c r="F192" s="606" t="s">
        <v>641</v>
      </c>
      <c r="G192" s="598">
        <v>8</v>
      </c>
      <c r="H192" s="515">
        <v>2</v>
      </c>
      <c r="J192" s="859" t="s">
        <v>1030</v>
      </c>
      <c r="AA192" s="594"/>
      <c r="AB192" s="594"/>
      <c r="AC192" s="594"/>
      <c r="AD192" s="594"/>
      <c r="AE192" s="969"/>
      <c r="AF192" s="969"/>
      <c r="AG192" s="668">
        <f>SUM(AG193)</f>
        <v>2.7113786185153334E-2</v>
      </c>
      <c r="AH192" s="608">
        <f>SUM(AH193)</f>
        <v>315.33333333333326</v>
      </c>
      <c r="AI192" s="742">
        <f t="shared" ref="AI192:AJ192" si="266">SUM(AI193)</f>
        <v>2.7113786185153334E-2</v>
      </c>
      <c r="AJ192" s="608">
        <f t="shared" si="266"/>
        <v>315.33333333333326</v>
      </c>
      <c r="AK192" s="563"/>
      <c r="AL192" s="1004"/>
      <c r="AM192" s="1005"/>
      <c r="AN192" s="1005"/>
      <c r="AS192" s="563"/>
      <c r="AT192" s="563"/>
      <c r="AU192" s="563"/>
      <c r="BD192" s="563"/>
      <c r="BE192" s="563"/>
      <c r="BF192" s="563"/>
    </row>
    <row r="193" spans="1:59">
      <c r="B193" s="548"/>
      <c r="C193" s="548"/>
      <c r="D193" s="549"/>
      <c r="E193" s="549"/>
      <c r="F193" s="548"/>
      <c r="G193" s="534"/>
      <c r="K193" s="550" t="s">
        <v>278</v>
      </c>
      <c r="N193" s="494">
        <v>4.3999999999999997E-2</v>
      </c>
      <c r="Q193" s="494">
        <v>4.3999999999999997E-2</v>
      </c>
      <c r="R193" s="674">
        <f>SUM(N192+((T193-N192)/2))</f>
        <v>9.463750000000001</v>
      </c>
      <c r="S193" s="674"/>
      <c r="T193" s="674">
        <v>18.927500000000002</v>
      </c>
      <c r="U193" s="674"/>
      <c r="V193" s="674"/>
      <c r="W193" s="674">
        <f>SUM(T193+((X193-T193)/2))</f>
        <v>9.463750000000001</v>
      </c>
      <c r="X193" s="674"/>
      <c r="Y193" s="537"/>
      <c r="Z193" s="537"/>
      <c r="AA193" s="528">
        <f>'[5]Product yields'!$G$11</f>
        <v>0.61622241329893945</v>
      </c>
      <c r="AB193" s="528"/>
      <c r="AC193" s="528"/>
      <c r="AD193" s="528"/>
      <c r="AE193" s="969">
        <f>1/'IVCs relevant in 2030'!R24</f>
        <v>1</v>
      </c>
      <c r="AF193" s="969"/>
      <c r="AG193" s="631">
        <f>N193*AA193*AE193</f>
        <v>2.7113786185153334E-2</v>
      </c>
      <c r="AH193" s="530">
        <f>AG193*11630</f>
        <v>315.33333333333326</v>
      </c>
      <c r="AI193" s="592">
        <f>Q193*AA193*AE193</f>
        <v>2.7113786185153334E-2</v>
      </c>
      <c r="AJ193" s="531">
        <f t="shared" ref="AJ193" si="267">AI193*11630</f>
        <v>315.33333333333326</v>
      </c>
    </row>
    <row r="194" spans="1:59" s="515" customFormat="1">
      <c r="A194" s="515">
        <v>7</v>
      </c>
      <c r="B194" s="563" t="s">
        <v>8</v>
      </c>
      <c r="C194" s="563" t="s">
        <v>50</v>
      </c>
      <c r="D194" s="515" t="s">
        <v>559</v>
      </c>
      <c r="E194" s="515" t="s">
        <v>1190</v>
      </c>
      <c r="F194" s="563" t="s">
        <v>642</v>
      </c>
      <c r="J194" s="859">
        <v>2030</v>
      </c>
      <c r="K194" s="515" t="s">
        <v>950</v>
      </c>
      <c r="N194" s="593">
        <f>SUM(N195:N204)</f>
        <v>5.0437049016979563</v>
      </c>
      <c r="O194" s="593"/>
      <c r="P194" s="593"/>
      <c r="Q194" s="593">
        <f>SUM(Q195:Q204)</f>
        <v>7.7937494458706684</v>
      </c>
      <c r="R194" s="593"/>
      <c r="S194" s="593"/>
      <c r="T194" s="593"/>
      <c r="U194" s="593"/>
      <c r="V194" s="593"/>
      <c r="W194" s="593"/>
      <c r="X194" s="593">
        <f>SUM(X195:X204)</f>
        <v>7.0639946812372916</v>
      </c>
      <c r="Y194" s="593"/>
      <c r="Z194" s="593"/>
      <c r="AA194" s="594"/>
      <c r="AB194" s="594"/>
      <c r="AC194" s="594"/>
      <c r="AD194" s="594"/>
      <c r="AE194" s="969"/>
      <c r="AF194" s="969"/>
      <c r="AG194" s="668">
        <f>SUM(AG195:AG204)</f>
        <v>0.61663914908743711</v>
      </c>
      <c r="AH194" s="608">
        <f>SUM(AH195:AH204)</f>
        <v>7171.5133038868926</v>
      </c>
      <c r="AI194" s="608">
        <f t="shared" ref="AI194:AJ194" si="268">SUM(AI195:AI204)</f>
        <v>0.91389053133676079</v>
      </c>
      <c r="AJ194" s="608">
        <f t="shared" si="268"/>
        <v>10628.546879446527</v>
      </c>
      <c r="AK194" s="563"/>
      <c r="AL194" s="1004"/>
      <c r="AM194" s="1005"/>
      <c r="AN194" s="1005"/>
      <c r="AS194" s="563"/>
      <c r="AT194" s="563"/>
      <c r="AU194" s="563"/>
      <c r="BD194" s="563"/>
      <c r="BE194" s="563"/>
      <c r="BF194" s="563"/>
    </row>
    <row r="195" spans="1:59" ht="15" customHeight="1" outlineLevel="1">
      <c r="K195" s="551" t="s">
        <v>279</v>
      </c>
      <c r="L195" s="547" t="s">
        <v>280</v>
      </c>
      <c r="M195" s="547"/>
      <c r="N195" s="525">
        <f>('Austria Medium 2030'!Q$8+'Austria Medium 2030'!R$8)/1000000</f>
        <v>5.275644117051783E-2</v>
      </c>
      <c r="O195" s="525"/>
      <c r="P195" s="525"/>
      <c r="Q195" s="525">
        <f>SUM(Austria_High_2030_2050!Q$8+Austria_High_2030_2050!R$8)/1000000</f>
        <v>8.0214965882960884E-2</v>
      </c>
      <c r="R195" s="525"/>
      <c r="S195" s="525"/>
      <c r="T195" s="525"/>
      <c r="U195" s="525"/>
      <c r="V195" s="525"/>
      <c r="W195" s="525"/>
      <c r="X195" s="525">
        <f>SUM(Austria_High_2030_2050!BL$8+Austria_High_2030_2050!BM$8)/1000000</f>
        <v>6.4694413970447118E-2</v>
      </c>
      <c r="Y195" s="525"/>
      <c r="Z195" s="525"/>
      <c r="AA195" s="538">
        <f>'Conversion factors selected IV '!L$29</f>
        <v>0.60434912363250348</v>
      </c>
      <c r="AB195" s="538"/>
      <c r="AC195" s="538"/>
      <c r="AD195" s="538"/>
      <c r="AE195" s="963">
        <f>1/'IVCs relevant in 2030'!R$9</f>
        <v>0.16666666666666666</v>
      </c>
      <c r="AF195" s="977"/>
      <c r="AG195" s="631">
        <f t="shared" ref="AG195:AG204" si="269">N195*AA195*AE195</f>
        <v>5.3138848312286957E-3</v>
      </c>
      <c r="AH195" s="530">
        <f>AG195*11630</f>
        <v>61.800480587189732</v>
      </c>
      <c r="AI195" s="592">
        <f t="shared" ref="AI195:AI204" si="270">Q195*AA195*AE195</f>
        <v>8.0796407222630956E-3</v>
      </c>
      <c r="AJ195" s="531">
        <f t="shared" ref="AJ195:AJ204" si="271">AI195*11630</f>
        <v>93.966221599919805</v>
      </c>
    </row>
    <row r="196" spans="1:59" ht="19.5" customHeight="1" outlineLevel="1">
      <c r="K196" s="551" t="s">
        <v>274</v>
      </c>
      <c r="L196" s="547" t="s">
        <v>954</v>
      </c>
      <c r="M196" s="547"/>
      <c r="N196" s="525">
        <f>('Austria Medium 2030'!E$8+'Austria Medium 2030'!G$8+'Austria Medium 2030'!H$8+'Austria Medium 2030'!J$8)/1000000</f>
        <v>4.3076209855386564E-2</v>
      </c>
      <c r="O196" s="525"/>
      <c r="P196" s="525"/>
      <c r="Q196" s="525">
        <f>SUM(Austria_High_2030_2050!E$8+Austria_High_2030_2050!G$8+Austria_High_2030_2050!H$15+Austria_High_2030_2050!J$8)/1000000</f>
        <v>0.26666737043287653</v>
      </c>
      <c r="R196" s="525"/>
      <c r="S196" s="525"/>
      <c r="T196" s="525"/>
      <c r="U196" s="525"/>
      <c r="V196" s="525"/>
      <c r="W196" s="525"/>
      <c r="X196" s="525">
        <f>(Austria_High_2030_2050!AZ$8+Austria_High_2030_2050!BB$8+Austria_High_2030_2050!BC$8+Austria_High_2030_2050!BE$8)/1000000</f>
        <v>0.98636944902035451</v>
      </c>
      <c r="Y196" s="525"/>
      <c r="Z196" s="525"/>
      <c r="AA196" s="538">
        <f>'Conversion factors selected IV '!L$30</f>
        <v>0.60434912363250348</v>
      </c>
      <c r="AB196" s="538"/>
      <c r="AC196" s="538"/>
      <c r="AD196" s="538"/>
      <c r="AE196" s="963">
        <f>1/'IVCs relevant in 2030'!R$2</f>
        <v>0.14285714285714285</v>
      </c>
      <c r="AF196" s="972"/>
      <c r="AG196" s="631">
        <f t="shared" si="269"/>
        <v>3.7190099536446681E-3</v>
      </c>
      <c r="AH196" s="530">
        <f t="shared" ref="AH196:AH204" si="272">AG196*11630</f>
        <v>43.252085760887489</v>
      </c>
      <c r="AI196" s="592">
        <f t="shared" si="270"/>
        <v>2.3022884517499013E-2</v>
      </c>
      <c r="AJ196" s="531">
        <f t="shared" si="271"/>
        <v>267.7561469385135</v>
      </c>
    </row>
    <row r="197" spans="1:59" outlineLevel="1">
      <c r="K197" s="551" t="s">
        <v>276</v>
      </c>
      <c r="L197" s="547" t="s">
        <v>277</v>
      </c>
      <c r="M197" s="547"/>
      <c r="N197" s="525">
        <f>('Austria Medium 2030'!K$8+'Austria Medium 2030'!M$8)/1000000</f>
        <v>5.1413639238366511E-2</v>
      </c>
      <c r="O197" s="525"/>
      <c r="P197" s="525"/>
      <c r="Q197" s="525">
        <f>SUM(Austria_High_2030_2050!K$8+Austria_High_2030_2050!M$8)/1000000</f>
        <v>0.13507391098355814</v>
      </c>
      <c r="R197" s="525"/>
      <c r="S197" s="525"/>
      <c r="T197" s="525"/>
      <c r="U197" s="525"/>
      <c r="V197" s="525"/>
      <c r="W197" s="525"/>
      <c r="X197" s="525">
        <f>(Austria_High_2030_2050!BF$8+Austria_High_2030_2050!BH$8)/1000000</f>
        <v>0.31760793815025773</v>
      </c>
      <c r="Y197" s="525"/>
      <c r="Z197" s="525"/>
      <c r="AA197" s="538">
        <f>'Conversion factors selected IV '!L$31</f>
        <v>0.60434912363250348</v>
      </c>
      <c r="AB197" s="538"/>
      <c r="AC197" s="538"/>
      <c r="AD197" s="538"/>
      <c r="AE197" s="963">
        <f>1/'IVCs relevant in 2030'!R$4</f>
        <v>0.14285714285714285</v>
      </c>
      <c r="AF197" s="972"/>
      <c r="AG197" s="631">
        <f t="shared" si="269"/>
        <v>4.4388268309234992E-3</v>
      </c>
      <c r="AH197" s="530">
        <f t="shared" si="272"/>
        <v>51.623556043640292</v>
      </c>
      <c r="AI197" s="592">
        <f t="shared" si="270"/>
        <v>1.1661685675504021E-2</v>
      </c>
      <c r="AJ197" s="531">
        <f t="shared" si="271"/>
        <v>135.62540440611176</v>
      </c>
    </row>
    <row r="198" spans="1:59" ht="20.149999999999999" customHeight="1" outlineLevel="1">
      <c r="K198" s="551" t="s">
        <v>281</v>
      </c>
      <c r="L198" s="547" t="s">
        <v>282</v>
      </c>
      <c r="M198" s="547"/>
      <c r="N198" s="525">
        <f>('Austria Medium 2030'!AA$8+'Austria Medium 2030'!AB$8+'Austria Medium 2030'!AC$8+'Austria Medium 2030'!AD$8+'Austria Medium 2030'!AF$8+'Austria Medium 2030'!AG$8+'Austria Medium 2030'!AH$8+'Austria Medium 2030'!AI$8+'Austria Medium 2030'!AJ$8+'Austria Medium 2030'!AK$8+'Austria Medium 2030'!AL$8+'Austria Medium 2030'!AM$8)/1000000</f>
        <v>6.3898428528358725E-2</v>
      </c>
      <c r="O198" s="525"/>
      <c r="P198" s="525"/>
      <c r="Q198" s="525">
        <f>SUM(Austria_High_2030_2050!AA$8+Austria_High_2030_2050!AB$8+Austria_High_2030_2050!AC$8+Austria_High_2030_2050!AD$8+Austria_High_2030_2050!AF$8+Austria_High_2030_2050!AG$8+Austria_High_2030_2050!AH$8+Austria_High_2030_2050!AI$8+Austria_High_2030_2050!AJ$8+Austria_High_2030_2050!AK$8+Austria_High_2030_2050!AL$8+Austria_High_2030_2050!AM$8)/1000000</f>
        <v>8.0413147932816287E-2</v>
      </c>
      <c r="R198" s="525"/>
      <c r="S198" s="525"/>
      <c r="T198" s="525"/>
      <c r="U198" s="525"/>
      <c r="V198" s="525"/>
      <c r="W198" s="525"/>
      <c r="X198" s="525">
        <f>SUM(Austria_High_2030_2050!BV$8+Austria_High_2030_2050!BW$8+Austria_High_2030_2050!BX$8+Austria_High_2030_2050!BY$8+Austria_High_2030_2050!CA$8+Austria_High_2030_2050!CB$8+Austria_High_2030_2050!CC$8+Austria_High_2030_2050!CD$8+Austria_High_2030_2050!CE$8+Austria_High_2030_2050!CF$8+Austria_High_2030_2050!CG$8+Austria_High_2030_2050!CH$8)/1000000</f>
        <v>7.9785018969323662E-2</v>
      </c>
      <c r="Y198" s="525"/>
      <c r="Z198" s="525"/>
      <c r="AA198" s="538">
        <f>'Conversion factors selected IV '!L$32</f>
        <v>0.60434912363250348</v>
      </c>
      <c r="AB198" s="538"/>
      <c r="AC198" s="538"/>
      <c r="AD198" s="538"/>
      <c r="AE198" s="963">
        <f>1/'IVCs relevant in 2030'!R$11</f>
        <v>1</v>
      </c>
      <c r="AG198" s="631">
        <f t="shared" si="269"/>
        <v>3.8616959282607756E-2</v>
      </c>
      <c r="AH198" s="530">
        <f t="shared" si="272"/>
        <v>449.11523645672821</v>
      </c>
      <c r="AI198" s="592">
        <f t="shared" si="270"/>
        <v>4.8597615481728383E-2</v>
      </c>
      <c r="AJ198" s="531">
        <f t="shared" si="271"/>
        <v>565.1902680525011</v>
      </c>
    </row>
    <row r="199" spans="1:59" ht="17.5" customHeight="1" outlineLevel="1">
      <c r="K199" s="551" t="s">
        <v>272</v>
      </c>
      <c r="L199" s="547" t="s">
        <v>273</v>
      </c>
      <c r="M199" s="547"/>
      <c r="N199" s="525">
        <f>('Austria Medium 2030'!N$8+'Austria Medium 2030'!O$8+'Austria Medium 2030'!P$8)/1000000</f>
        <v>2.0661873996580922</v>
      </c>
      <c r="O199" s="525"/>
      <c r="P199" s="525"/>
      <c r="Q199" s="525">
        <f>SUM(Austria_High_2030_2050!N$8+Austria_High_2030_2050!O$8+Austria_High_2030_2050!P$8)/1000000</f>
        <v>3.6127082591720723</v>
      </c>
      <c r="R199" s="525"/>
      <c r="S199" s="525"/>
      <c r="T199" s="525"/>
      <c r="U199" s="525"/>
      <c r="V199" s="525"/>
      <c r="W199" s="525"/>
      <c r="X199" s="525">
        <f>(Austria_High_2030_2050!BI$8+Austria_High_2030_2050!BJ$8+Austria_High_2030_2050!BK$8)/1000000</f>
        <v>2.4145632429759436</v>
      </c>
      <c r="Y199" s="525"/>
      <c r="Z199" s="525"/>
      <c r="AA199" s="538">
        <f>'Conversion factors selected IV '!L$33</f>
        <v>0.60434912363250348</v>
      </c>
      <c r="AB199" s="538"/>
      <c r="AC199" s="538"/>
      <c r="AD199" s="538"/>
      <c r="AE199" s="963">
        <f>1/'IVCs relevant in 2030'!R$8</f>
        <v>0.14285714285714285</v>
      </c>
      <c r="AF199" s="972"/>
      <c r="AG199" s="631">
        <f t="shared" si="269"/>
        <v>0.17838550632055558</v>
      </c>
      <c r="AH199" s="530">
        <f t="shared" si="272"/>
        <v>2074.6234385080616</v>
      </c>
      <c r="AI199" s="592">
        <f t="shared" si="270"/>
        <v>0.31190529576722131</v>
      </c>
      <c r="AJ199" s="531">
        <f t="shared" si="271"/>
        <v>3627.4585897727839</v>
      </c>
    </row>
    <row r="200" spans="1:59" ht="13.5" customHeight="1" outlineLevel="1">
      <c r="K200" s="551" t="s">
        <v>283</v>
      </c>
      <c r="L200" s="547" t="s">
        <v>284</v>
      </c>
      <c r="M200" s="547"/>
      <c r="N200" s="525">
        <f>SUM('Austria Medium 2030'!S$8+'Austria Medium 2030'!T$8)/1000000</f>
        <v>2.1720504326289256</v>
      </c>
      <c r="O200" s="525"/>
      <c r="P200" s="525"/>
      <c r="Q200" s="525">
        <f>SUM(Austria_High_2030_2050!S$8+Austria_High_2030_2050!T$8)/1000000</f>
        <v>2.8960672435052337</v>
      </c>
      <c r="R200" s="525"/>
      <c r="S200" s="525"/>
      <c r="T200" s="525"/>
      <c r="U200" s="525"/>
      <c r="V200" s="525"/>
      <c r="W200" s="525"/>
      <c r="X200" s="525">
        <f>SUM(Austria_High_2030_2050!BN$8+Austria_High_2030_2050!BO$8)/1000000</f>
        <v>2.5625754810985448</v>
      </c>
      <c r="Y200" s="525"/>
      <c r="Z200" s="525"/>
      <c r="AA200" s="538">
        <f>'Conversion factors selected IV '!L$34</f>
        <v>0.13935790446109689</v>
      </c>
      <c r="AB200" s="538"/>
      <c r="AC200" s="538"/>
      <c r="AD200" s="538"/>
      <c r="AE200" s="963">
        <f>1/'IVCs relevant in 2030'!R$10</f>
        <v>1</v>
      </c>
      <c r="AG200" s="631">
        <f t="shared" si="269"/>
        <v>0.30269239667498599</v>
      </c>
      <c r="AH200" s="530">
        <f t="shared" si="272"/>
        <v>3520.3125733300872</v>
      </c>
      <c r="AI200" s="592">
        <f t="shared" si="270"/>
        <v>0.40358986223331456</v>
      </c>
      <c r="AJ200" s="531">
        <f t="shared" si="271"/>
        <v>4693.750097773448</v>
      </c>
    </row>
    <row r="201" spans="1:59" outlineLevel="1">
      <c r="K201" s="551" t="s">
        <v>285</v>
      </c>
      <c r="L201" s="555">
        <v>5108</v>
      </c>
      <c r="M201" s="555"/>
      <c r="N201" s="525">
        <f>('Austria Medium 2030'!AS$8)/1000000</f>
        <v>0.22437597641824103</v>
      </c>
      <c r="O201" s="525"/>
      <c r="P201" s="525"/>
      <c r="Q201" s="525">
        <f>SUM(Austria_High_2030_2050!AS$8)/1000000</f>
        <v>0.25077315011450474</v>
      </c>
      <c r="R201" s="525"/>
      <c r="S201" s="525"/>
      <c r="T201" s="525"/>
      <c r="U201" s="525"/>
      <c r="V201" s="525"/>
      <c r="W201" s="525"/>
      <c r="X201" s="525">
        <f>Austria_High_2030_2050!CN$8/1000000</f>
        <v>0.24268564874320181</v>
      </c>
      <c r="Y201" s="525"/>
      <c r="Z201" s="525"/>
      <c r="AA201" s="538">
        <f>'Conversion factors selected IV '!L$35</f>
        <v>0.13935790446109689</v>
      </c>
      <c r="AB201" s="538"/>
      <c r="AC201" s="538"/>
      <c r="AD201" s="538"/>
      <c r="AE201" s="977">
        <f>1/'IVCs relevant in 2030'!R$18</f>
        <v>0.25</v>
      </c>
      <c r="AG201" s="631">
        <f t="shared" si="269"/>
        <v>7.8171414712646398E-3</v>
      </c>
      <c r="AH201" s="530">
        <f t="shared" si="272"/>
        <v>90.913355310807759</v>
      </c>
      <c r="AI201" s="592">
        <f t="shared" si="270"/>
        <v>8.7368051737663644E-3</v>
      </c>
      <c r="AJ201" s="531">
        <f t="shared" si="271"/>
        <v>101.60904417090282</v>
      </c>
    </row>
    <row r="202" spans="1:59" ht="17.149999999999999" customHeight="1" outlineLevel="1">
      <c r="K202" s="558" t="s">
        <v>286</v>
      </c>
      <c r="L202" s="547" t="s">
        <v>287</v>
      </c>
      <c r="M202" s="547"/>
      <c r="N202" s="525">
        <f>SUM('Austria Medium 2030'!AN$8+'Austria Medium 2030'!AO$8+'Austria Medium 2030'!AP$8)/1000000</f>
        <v>0.34044637420006862</v>
      </c>
      <c r="O202" s="525"/>
      <c r="P202" s="525"/>
      <c r="Q202" s="525">
        <f>SUM(Austria_High_2030_2050!AN$8+Austria_High_2030_2050!AO$8+Austria_High_2030_2050!AP$8)/1000000</f>
        <v>0.44233139784664655</v>
      </c>
      <c r="R202" s="525"/>
      <c r="S202" s="525"/>
      <c r="T202" s="525"/>
      <c r="U202" s="525"/>
      <c r="V202" s="525"/>
      <c r="W202" s="525"/>
      <c r="X202" s="525">
        <f>SUM(Austria_High_2030_2050!CI$8+Austria_High_2030_2050!CJ$8+Austria_High_2030_2050!CK$8)/1000000</f>
        <v>0.39571348830921838</v>
      </c>
      <c r="Y202" s="525"/>
      <c r="Z202" s="525"/>
      <c r="AA202" s="538">
        <f>'Conversion factors selected IV '!L$36</f>
        <v>0.22222420168224824</v>
      </c>
      <c r="AB202" s="538"/>
      <c r="AC202" s="538"/>
      <c r="AD202" s="538"/>
      <c r="AE202" s="963">
        <f>1/'IVCs relevant in 2030'!R$19</f>
        <v>1</v>
      </c>
      <c r="AG202" s="631">
        <f t="shared" si="269"/>
        <v>7.5655423722226209E-2</v>
      </c>
      <c r="AH202" s="530">
        <f t="shared" si="272"/>
        <v>879.8725778894908</v>
      </c>
      <c r="AI202" s="592">
        <f t="shared" si="270"/>
        <v>9.8296741765463963E-2</v>
      </c>
      <c r="AJ202" s="531">
        <f t="shared" si="271"/>
        <v>1143.1911067323458</v>
      </c>
    </row>
    <row r="203" spans="1:59" s="647" customFormat="1" outlineLevel="1">
      <c r="D203" s="648"/>
      <c r="E203" s="648"/>
      <c r="J203" s="860"/>
      <c r="K203" s="649" t="s">
        <v>288</v>
      </c>
      <c r="L203" s="650"/>
      <c r="M203" s="650"/>
      <c r="AA203" s="652"/>
      <c r="AB203" s="652"/>
      <c r="AC203" s="652"/>
      <c r="AD203" s="652"/>
      <c r="AE203" s="986"/>
      <c r="AF203" s="986"/>
      <c r="AG203" s="684">
        <f t="shared" si="269"/>
        <v>0</v>
      </c>
      <c r="AH203" s="653">
        <f t="shared" si="272"/>
        <v>0</v>
      </c>
      <c r="AI203" s="592">
        <f t="shared" si="270"/>
        <v>0</v>
      </c>
      <c r="AJ203" s="531">
        <f t="shared" si="271"/>
        <v>0</v>
      </c>
      <c r="AK203" s="657"/>
      <c r="AL203" s="1002"/>
      <c r="AM203" s="1003"/>
      <c r="AN203" s="1003"/>
    </row>
    <row r="204" spans="1:59" outlineLevel="1">
      <c r="K204" s="560" t="s">
        <v>289</v>
      </c>
      <c r="L204" s="675">
        <v>4217</v>
      </c>
      <c r="M204" s="675"/>
      <c r="N204" s="525">
        <v>2.9499999999999998E-2</v>
      </c>
      <c r="O204" s="497"/>
      <c r="P204" s="497"/>
      <c r="Q204" s="673">
        <v>2.9499999999999998E-2</v>
      </c>
      <c r="R204" s="497"/>
      <c r="S204" s="497"/>
      <c r="T204" s="497"/>
      <c r="U204" s="497"/>
      <c r="V204" s="497"/>
      <c r="W204" s="497"/>
      <c r="X204" s="591"/>
      <c r="AE204" s="963">
        <f>1/'IVCs relevant in 2030'!R$12</f>
        <v>1</v>
      </c>
      <c r="AG204" s="631">
        <f t="shared" si="269"/>
        <v>0</v>
      </c>
      <c r="AH204" s="530">
        <f t="shared" si="272"/>
        <v>0</v>
      </c>
      <c r="AI204" s="592">
        <f t="shared" si="270"/>
        <v>0</v>
      </c>
      <c r="AJ204" s="531">
        <f t="shared" si="271"/>
        <v>0</v>
      </c>
    </row>
    <row r="205" spans="1:59" hidden="1"/>
    <row r="206" spans="1:59" s="515" customFormat="1">
      <c r="A206" s="515">
        <v>7</v>
      </c>
      <c r="B206" s="563" t="s">
        <v>8</v>
      </c>
      <c r="C206" s="563" t="s">
        <v>50</v>
      </c>
      <c r="D206" s="515" t="s">
        <v>559</v>
      </c>
      <c r="E206" s="515" t="s">
        <v>1190</v>
      </c>
      <c r="F206" s="515" t="s">
        <v>644</v>
      </c>
      <c r="J206" s="859" t="s">
        <v>1025</v>
      </c>
      <c r="K206" s="515" t="s">
        <v>950</v>
      </c>
      <c r="N206" s="593">
        <f>SUM(N207:N216)</f>
        <v>5.0442049016979569</v>
      </c>
      <c r="Q206" s="593">
        <f>SUM(Q207:Q216)</f>
        <v>7.794249445870669</v>
      </c>
      <c r="R206" s="593">
        <f t="shared" ref="R206:X206" si="273">SUM(R207:R216)</f>
        <v>0</v>
      </c>
      <c r="S206" s="593">
        <f t="shared" si="273"/>
        <v>0</v>
      </c>
      <c r="T206" s="593">
        <f t="shared" si="273"/>
        <v>0</v>
      </c>
      <c r="U206" s="593">
        <f t="shared" si="273"/>
        <v>0</v>
      </c>
      <c r="V206" s="593">
        <f t="shared" si="273"/>
        <v>0</v>
      </c>
      <c r="W206" s="593">
        <f t="shared" si="273"/>
        <v>0</v>
      </c>
      <c r="X206" s="593">
        <f t="shared" si="273"/>
        <v>7.0639946812372916</v>
      </c>
      <c r="Y206" s="593"/>
      <c r="Z206" s="593"/>
      <c r="AA206" s="594"/>
      <c r="AB206" s="594"/>
      <c r="AC206" s="594"/>
      <c r="AD206" s="594"/>
      <c r="AE206" s="969"/>
      <c r="AF206" s="969"/>
      <c r="AK206" s="563"/>
      <c r="AL206" s="1004"/>
      <c r="AM206" s="1005"/>
      <c r="AN206" s="1005"/>
      <c r="AO206" s="593">
        <f>SUM(AO207:AO216)</f>
        <v>0.8292840415176751</v>
      </c>
      <c r="AS206" s="563"/>
      <c r="AT206" s="563"/>
      <c r="AU206" s="563"/>
      <c r="BD206" s="563"/>
      <c r="BE206" s="563"/>
      <c r="BF206" s="563"/>
      <c r="BG206" s="593">
        <f>SUM(BG207:BG216)</f>
        <v>9644.5734028505613</v>
      </c>
    </row>
    <row r="207" spans="1:59" s="514" customFormat="1" outlineLevel="1">
      <c r="B207" s="564"/>
      <c r="C207" s="564"/>
      <c r="D207" s="515"/>
      <c r="E207" s="515"/>
      <c r="J207" s="516"/>
      <c r="K207" s="551" t="s">
        <v>279</v>
      </c>
      <c r="L207" s="547" t="s">
        <v>280</v>
      </c>
      <c r="M207" s="547"/>
      <c r="N207" s="525">
        <f>('Austria Medium 2030'!Q$8+'Austria Medium 2030'!R$8)/1000000</f>
        <v>5.275644117051783E-2</v>
      </c>
      <c r="O207" s="525"/>
      <c r="P207" s="525"/>
      <c r="Q207" s="525">
        <f>SUM(Austria_High_2030_2050!Q$8+Austria_High_2030_2050!R$8)/1000000</f>
        <v>8.0214965882960884E-2</v>
      </c>
      <c r="R207" s="525"/>
      <c r="S207" s="525"/>
      <c r="T207" s="525"/>
      <c r="U207" s="525"/>
      <c r="V207" s="525"/>
      <c r="W207" s="525"/>
      <c r="X207" s="525">
        <f>SUM(Austria_High_2030_2050!BL$8+Austria_High_2030_2050!BM$8)/1000000</f>
        <v>6.4694413970447118E-2</v>
      </c>
      <c r="Y207" s="525"/>
      <c r="Z207" s="525"/>
      <c r="AA207" s="538">
        <f>'Conversion factors selected IV '!L$29</f>
        <v>0.60434912363250348</v>
      </c>
      <c r="AB207" s="538"/>
      <c r="AC207" s="538"/>
      <c r="AD207" s="538"/>
      <c r="AE207" s="969"/>
      <c r="AF207" s="977">
        <f>1/'IVCs relevant 2040-2050'!T$9</f>
        <v>0.16666666666666666</v>
      </c>
      <c r="AI207" s="566"/>
      <c r="AJ207" s="566"/>
      <c r="AK207" s="782"/>
      <c r="AL207" s="1004"/>
      <c r="AM207" s="1005"/>
      <c r="AN207" s="1005"/>
      <c r="AO207" s="525">
        <f t="shared" ref="AO207:AO216" si="274">X207*AA207*AF207</f>
        <v>6.5163353978263507E-3</v>
      </c>
      <c r="AS207" s="564"/>
      <c r="AT207" s="564"/>
      <c r="AU207" s="564"/>
      <c r="BD207" s="564"/>
      <c r="BE207" s="564"/>
      <c r="BF207" s="564"/>
      <c r="BG207" s="525">
        <f t="shared" ref="BG207:BG227" si="275">AO207*11630</f>
        <v>75.784980676720465</v>
      </c>
    </row>
    <row r="208" spans="1:59" s="514" customFormat="1" ht="14.5" customHeight="1" outlineLevel="1">
      <c r="B208" s="564"/>
      <c r="C208" s="564"/>
      <c r="D208" s="515"/>
      <c r="E208" s="515"/>
      <c r="J208" s="516"/>
      <c r="K208" s="551" t="s">
        <v>274</v>
      </c>
      <c r="L208" s="547" t="s">
        <v>954</v>
      </c>
      <c r="M208" s="547"/>
      <c r="N208" s="525">
        <f>('Austria Medium 2030'!E$8+'Austria Medium 2030'!G$8+'Austria Medium 2030'!H$8+'Austria Medium 2030'!J$8)/1000000</f>
        <v>4.3076209855386564E-2</v>
      </c>
      <c r="O208" s="525"/>
      <c r="P208" s="525"/>
      <c r="Q208" s="525">
        <f>SUM(Austria_High_2030_2050!E$8+Austria_High_2030_2050!G$8+Austria_High_2030_2050!H$15+Austria_High_2030_2050!J$8)/1000000</f>
        <v>0.26666737043287653</v>
      </c>
      <c r="R208" s="525"/>
      <c r="S208" s="525"/>
      <c r="T208" s="525"/>
      <c r="U208" s="525"/>
      <c r="V208" s="525"/>
      <c r="W208" s="525"/>
      <c r="X208" s="525">
        <f>(Austria_High_2030_2050!AZ$8+Austria_High_2030_2050!BB$8+Austria_High_2030_2050!BC$8+Austria_High_2030_2050!BE$8)/1000000</f>
        <v>0.98636944902035451</v>
      </c>
      <c r="Y208" s="525"/>
      <c r="Z208" s="525"/>
      <c r="AA208" s="538">
        <f>'Conversion factors selected IV '!L$30</f>
        <v>0.60434912363250348</v>
      </c>
      <c r="AB208" s="538"/>
      <c r="AC208" s="538"/>
      <c r="AD208" s="538"/>
      <c r="AE208" s="969"/>
      <c r="AF208" s="972">
        <f>1/'IVCs relevant 2040-2050'!T$2</f>
        <v>0.14285714285714285</v>
      </c>
      <c r="AI208" s="566"/>
      <c r="AJ208" s="566"/>
      <c r="AK208" s="782"/>
      <c r="AL208" s="1004"/>
      <c r="AM208" s="1005"/>
      <c r="AN208" s="1005"/>
      <c r="AO208" s="525">
        <f t="shared" si="274"/>
        <v>8.5158787441903791E-2</v>
      </c>
      <c r="AS208" s="564"/>
      <c r="AT208" s="564"/>
      <c r="AU208" s="564"/>
      <c r="BD208" s="564"/>
      <c r="BE208" s="564"/>
      <c r="BF208" s="564"/>
      <c r="BG208" s="525">
        <f t="shared" si="275"/>
        <v>990.39669794934105</v>
      </c>
    </row>
    <row r="209" spans="1:59" s="514" customFormat="1" outlineLevel="1">
      <c r="B209" s="564"/>
      <c r="C209" s="564"/>
      <c r="D209" s="515"/>
      <c r="E209" s="515"/>
      <c r="J209" s="516"/>
      <c r="K209" s="551" t="s">
        <v>276</v>
      </c>
      <c r="L209" s="547" t="s">
        <v>277</v>
      </c>
      <c r="M209" s="547"/>
      <c r="N209" s="525">
        <f>('Austria Medium 2030'!K$8+'Austria Medium 2030'!M$8)/1000000</f>
        <v>5.1413639238366511E-2</v>
      </c>
      <c r="O209" s="525"/>
      <c r="P209" s="525"/>
      <c r="Q209" s="525">
        <f>SUM(Austria_High_2030_2050!K$8+Austria_High_2030_2050!M$8)/1000000</f>
        <v>0.13507391098355814</v>
      </c>
      <c r="R209" s="525"/>
      <c r="S209" s="525"/>
      <c r="T209" s="525"/>
      <c r="U209" s="525"/>
      <c r="V209" s="525"/>
      <c r="W209" s="525"/>
      <c r="X209" s="525">
        <f>(Austria_High_2030_2050!BF$8+Austria_High_2030_2050!BH$8)/1000000</f>
        <v>0.31760793815025773</v>
      </c>
      <c r="Y209" s="525"/>
      <c r="Z209" s="525"/>
      <c r="AA209" s="538">
        <f>'Conversion factors selected IV '!L$31</f>
        <v>0.60434912363250348</v>
      </c>
      <c r="AB209" s="538"/>
      <c r="AC209" s="538"/>
      <c r="AD209" s="538"/>
      <c r="AE209" s="969"/>
      <c r="AF209" s="972">
        <f>1/'IVCs relevant 2040-2050'!T$4</f>
        <v>0.14285714285714285</v>
      </c>
      <c r="AI209" s="566"/>
      <c r="AJ209" s="566"/>
      <c r="AK209" s="782"/>
      <c r="AL209" s="1004"/>
      <c r="AM209" s="1005"/>
      <c r="AN209" s="1005"/>
      <c r="AO209" s="525">
        <f t="shared" si="274"/>
        <v>2.7420868439976376E-2</v>
      </c>
      <c r="AS209" s="564"/>
      <c r="AT209" s="564"/>
      <c r="AU209" s="564"/>
      <c r="BD209" s="564"/>
      <c r="BE209" s="564"/>
      <c r="BF209" s="564"/>
      <c r="BG209" s="525">
        <f t="shared" si="275"/>
        <v>318.90469995692524</v>
      </c>
    </row>
    <row r="210" spans="1:59" s="514" customFormat="1" ht="20.5" customHeight="1" outlineLevel="1">
      <c r="B210" s="564"/>
      <c r="C210" s="564"/>
      <c r="D210" s="515"/>
      <c r="E210" s="515"/>
      <c r="J210" s="516"/>
      <c r="K210" s="551" t="s">
        <v>281</v>
      </c>
      <c r="L210" s="547" t="s">
        <v>282</v>
      </c>
      <c r="M210" s="547"/>
      <c r="N210" s="525">
        <f>('Austria Medium 2030'!AA$8+'Austria Medium 2030'!AB$8+'Austria Medium 2030'!AC$8+'Austria Medium 2030'!AD$8+'Austria Medium 2030'!AF$8+'Austria Medium 2030'!AG$8+'Austria Medium 2030'!AH$8+'Austria Medium 2030'!AI$8+'Austria Medium 2030'!AJ$8+'Austria Medium 2030'!AK$8+'Austria Medium 2030'!AL$8+'Austria Medium 2030'!AM$8)/1000000</f>
        <v>6.3898428528358725E-2</v>
      </c>
      <c r="O210" s="525"/>
      <c r="P210" s="525"/>
      <c r="Q210" s="525">
        <f>SUM(Austria_High_2030_2050!AA$8+Austria_High_2030_2050!AB$8+Austria_High_2030_2050!AC$8+Austria_High_2030_2050!AD$8+Austria_High_2030_2050!AF$8+Austria_High_2030_2050!AG$8+Austria_High_2030_2050!AH$8+Austria_High_2030_2050!AI$8+Austria_High_2030_2050!AJ$8+Austria_High_2030_2050!AK$8+Austria_High_2030_2050!AL$8+Austria_High_2030_2050!AM$8)/1000000</f>
        <v>8.0413147932816287E-2</v>
      </c>
      <c r="R210" s="525"/>
      <c r="S210" s="525"/>
      <c r="T210" s="525"/>
      <c r="U210" s="525"/>
      <c r="V210" s="525"/>
      <c r="W210" s="525"/>
      <c r="X210" s="525">
        <f>SUM(Austria_High_2030_2050!BV$8+Austria_High_2030_2050!BW$8+Austria_High_2030_2050!BX$8+Austria_High_2030_2050!BY$8+Austria_High_2030_2050!CA$8+Austria_High_2030_2050!CB$8+Austria_High_2030_2050!CC$8+Austria_High_2030_2050!CD$8+Austria_High_2030_2050!CE$8+Austria_High_2030_2050!CF$8+Austria_High_2030_2050!CG$8+Austria_High_2030_2050!CH$8)/1000000</f>
        <v>7.9785018969323662E-2</v>
      </c>
      <c r="Y210" s="525"/>
      <c r="Z210" s="525"/>
      <c r="AA210" s="538">
        <f>'Conversion factors selected IV '!L$32</f>
        <v>0.60434912363250348</v>
      </c>
      <c r="AB210" s="538"/>
      <c r="AC210" s="538"/>
      <c r="AD210" s="538"/>
      <c r="AE210" s="969"/>
      <c r="AF210" s="963">
        <f>1/'IVCs relevant 2040-2050'!T$11</f>
        <v>1</v>
      </c>
      <c r="AI210" s="566"/>
      <c r="AJ210" s="566"/>
      <c r="AK210" s="782"/>
      <c r="AL210" s="1004"/>
      <c r="AM210" s="1005"/>
      <c r="AN210" s="1005"/>
      <c r="AO210" s="525">
        <f t="shared" si="274"/>
        <v>4.8218006293113423E-2</v>
      </c>
      <c r="AS210" s="564"/>
      <c r="AT210" s="564"/>
      <c r="AU210" s="564"/>
      <c r="BD210" s="564"/>
      <c r="BE210" s="564"/>
      <c r="BF210" s="564"/>
      <c r="BG210" s="525">
        <f t="shared" si="275"/>
        <v>560.77541318890906</v>
      </c>
    </row>
    <row r="211" spans="1:59" s="514" customFormat="1" ht="22.5" customHeight="1" outlineLevel="1">
      <c r="B211" s="564"/>
      <c r="C211" s="564"/>
      <c r="D211" s="515"/>
      <c r="E211" s="515"/>
      <c r="J211" s="516"/>
      <c r="K211" s="551" t="s">
        <v>272</v>
      </c>
      <c r="L211" s="547" t="s">
        <v>273</v>
      </c>
      <c r="M211" s="547"/>
      <c r="N211" s="525">
        <f>('Austria Medium 2030'!N$8+'Austria Medium 2030'!O$8+'Austria Medium 2030'!P$8)/1000000</f>
        <v>2.0661873996580922</v>
      </c>
      <c r="O211" s="525"/>
      <c r="P211" s="525"/>
      <c r="Q211" s="525">
        <f>SUM(Austria_High_2030_2050!N$8+Austria_High_2030_2050!O$8+Austria_High_2030_2050!P$8)/1000000</f>
        <v>3.6127082591720723</v>
      </c>
      <c r="R211" s="525"/>
      <c r="S211" s="525"/>
      <c r="T211" s="525"/>
      <c r="U211" s="525"/>
      <c r="V211" s="525"/>
      <c r="W211" s="525"/>
      <c r="X211" s="525">
        <f>(Austria_High_2030_2050!BI$8+Austria_High_2030_2050!BJ$8+Austria_High_2030_2050!BK$8)/1000000</f>
        <v>2.4145632429759436</v>
      </c>
      <c r="Y211" s="525"/>
      <c r="Z211" s="525"/>
      <c r="AA211" s="538">
        <f>'Conversion factors selected IV '!L$33</f>
        <v>0.60434912363250348</v>
      </c>
      <c r="AB211" s="538"/>
      <c r="AC211" s="538"/>
      <c r="AD211" s="538"/>
      <c r="AE211" s="969"/>
      <c r="AF211" s="972">
        <f>1/'IVCs relevant 2040-2050'!T$8</f>
        <v>0.14285714285714285</v>
      </c>
      <c r="AI211" s="566"/>
      <c r="AJ211" s="566"/>
      <c r="AK211" s="782"/>
      <c r="AL211" s="1004"/>
      <c r="AM211" s="1005"/>
      <c r="AN211" s="1005"/>
      <c r="AO211" s="525">
        <f t="shared" si="274"/>
        <v>0.20846273997825243</v>
      </c>
      <c r="AS211" s="564"/>
      <c r="AT211" s="564"/>
      <c r="AU211" s="564"/>
      <c r="BD211" s="564"/>
      <c r="BE211" s="564"/>
      <c r="BF211" s="564"/>
      <c r="BG211" s="525">
        <f t="shared" si="275"/>
        <v>2424.4216659470758</v>
      </c>
    </row>
    <row r="212" spans="1:59" s="514" customFormat="1" outlineLevel="1">
      <c r="B212" s="564"/>
      <c r="C212" s="564"/>
      <c r="D212" s="515"/>
      <c r="E212" s="515"/>
      <c r="J212" s="516"/>
      <c r="K212" s="551" t="s">
        <v>283</v>
      </c>
      <c r="L212" s="547" t="s">
        <v>284</v>
      </c>
      <c r="M212" s="547"/>
      <c r="N212" s="525">
        <f>SUM('Austria Medium 2030'!S$8+'Austria Medium 2030'!T$8)/1000000</f>
        <v>2.1720504326289256</v>
      </c>
      <c r="O212" s="525"/>
      <c r="P212" s="525"/>
      <c r="Q212" s="525">
        <f>SUM(Austria_High_2030_2050!S$8+Austria_High_2030_2050!T$8)/1000000</f>
        <v>2.8960672435052337</v>
      </c>
      <c r="R212" s="525"/>
      <c r="S212" s="525"/>
      <c r="T212" s="525"/>
      <c r="U212" s="525"/>
      <c r="V212" s="525"/>
      <c r="W212" s="525"/>
      <c r="X212" s="525">
        <f>SUM(Austria_High_2030_2050!BN$8+Austria_High_2030_2050!BO$8)/1000000</f>
        <v>2.5625754810985448</v>
      </c>
      <c r="Y212" s="525"/>
      <c r="Z212" s="525"/>
      <c r="AA212" s="538">
        <f>'Conversion factors selected IV '!L$34</f>
        <v>0.13935790446109689</v>
      </c>
      <c r="AB212" s="538"/>
      <c r="AC212" s="538"/>
      <c r="AD212" s="538"/>
      <c r="AE212" s="969"/>
      <c r="AF212" s="963">
        <f>1/'IVCs relevant 2040-2050'!T$10</f>
        <v>1</v>
      </c>
      <c r="AI212" s="566"/>
      <c r="AJ212" s="566"/>
      <c r="AK212" s="782"/>
      <c r="AL212" s="1004"/>
      <c r="AM212" s="1005"/>
      <c r="AN212" s="1005"/>
      <c r="AO212" s="525">
        <f t="shared" si="274"/>
        <v>0.35711514906928038</v>
      </c>
      <c r="AS212" s="564"/>
      <c r="AT212" s="564"/>
      <c r="AU212" s="564"/>
      <c r="BD212" s="564"/>
      <c r="BE212" s="564"/>
      <c r="BF212" s="564"/>
      <c r="BG212" s="525">
        <f t="shared" si="275"/>
        <v>4153.2491836757308</v>
      </c>
    </row>
    <row r="213" spans="1:59" s="514" customFormat="1" outlineLevel="1">
      <c r="B213" s="564"/>
      <c r="C213" s="564"/>
      <c r="D213" s="515"/>
      <c r="E213" s="515"/>
      <c r="J213" s="516"/>
      <c r="K213" s="551" t="s">
        <v>285</v>
      </c>
      <c r="L213" s="555">
        <v>5108</v>
      </c>
      <c r="M213" s="555"/>
      <c r="N213" s="525">
        <f>('Austria Medium 2030'!AS$8)/1000000</f>
        <v>0.22437597641824103</v>
      </c>
      <c r="O213" s="525"/>
      <c r="P213" s="525"/>
      <c r="Q213" s="525">
        <f>SUM(Austria_High_2030_2050!AS$8)/1000000</f>
        <v>0.25077315011450474</v>
      </c>
      <c r="R213" s="525"/>
      <c r="S213" s="525"/>
      <c r="T213" s="525"/>
      <c r="U213" s="525"/>
      <c r="V213" s="525"/>
      <c r="W213" s="525"/>
      <c r="X213" s="525">
        <f>Austria_High_2030_2050!CN$8/1000000</f>
        <v>0.24268564874320181</v>
      </c>
      <c r="Y213" s="525"/>
      <c r="Z213" s="525"/>
      <c r="AA213" s="538">
        <f>'Conversion factors selected IV '!L$35</f>
        <v>0.13935790446109689</v>
      </c>
      <c r="AB213" s="538"/>
      <c r="AC213" s="538"/>
      <c r="AD213" s="538"/>
      <c r="AE213" s="969"/>
      <c r="AF213" s="963">
        <f>1/'IVCs relevant 2040-2050'!T$18</f>
        <v>0.25</v>
      </c>
      <c r="AI213" s="566"/>
      <c r="AJ213" s="566"/>
      <c r="AK213" s="782"/>
      <c r="AL213" s="1004"/>
      <c r="AM213" s="1005"/>
      <c r="AN213" s="1005"/>
      <c r="AO213" s="525">
        <f t="shared" si="274"/>
        <v>8.4550408629086096E-3</v>
      </c>
      <c r="AS213" s="564"/>
      <c r="AT213" s="564"/>
      <c r="AU213" s="564"/>
      <c r="BD213" s="564"/>
      <c r="BE213" s="564"/>
      <c r="BF213" s="564"/>
      <c r="BG213" s="525">
        <f t="shared" si="275"/>
        <v>98.332125235627132</v>
      </c>
    </row>
    <row r="214" spans="1:59" s="514" customFormat="1" ht="19.5" customHeight="1" outlineLevel="1">
      <c r="B214" s="564"/>
      <c r="C214" s="564"/>
      <c r="D214" s="515"/>
      <c r="E214" s="515"/>
      <c r="J214" s="516"/>
      <c r="K214" s="558" t="s">
        <v>286</v>
      </c>
      <c r="L214" s="547" t="s">
        <v>287</v>
      </c>
      <c r="M214" s="547"/>
      <c r="N214" s="525">
        <f>SUM('Austria Medium 2030'!AN$8+'Austria Medium 2030'!AO$8+'Austria Medium 2030'!AP$8)/1000000</f>
        <v>0.34044637420006862</v>
      </c>
      <c r="O214" s="525"/>
      <c r="P214" s="525"/>
      <c r="Q214" s="525">
        <f>SUM(Austria_High_2030_2050!AN$8+Austria_High_2030_2050!AO$8+Austria_High_2030_2050!AP$8)/1000000</f>
        <v>0.44233139784664655</v>
      </c>
      <c r="R214" s="525"/>
      <c r="S214" s="525"/>
      <c r="T214" s="525"/>
      <c r="U214" s="525"/>
      <c r="V214" s="525"/>
      <c r="W214" s="525"/>
      <c r="X214" s="525">
        <f>SUM(Austria_High_2030_2050!CI$8+Austria_High_2030_2050!CJ$8+Austria_High_2030_2050!CK$8)/1000000</f>
        <v>0.39571348830921838</v>
      </c>
      <c r="Y214" s="525"/>
      <c r="Z214" s="525"/>
      <c r="AA214" s="538">
        <f>'Conversion factors selected IV '!L$36</f>
        <v>0.22222420168224824</v>
      </c>
      <c r="AB214" s="538"/>
      <c r="AC214" s="538"/>
      <c r="AD214" s="538"/>
      <c r="AE214" s="969"/>
      <c r="AF214" s="963">
        <f>1/'IVCs relevant 2040-2050'!T$19</f>
        <v>1</v>
      </c>
      <c r="AI214" s="566"/>
      <c r="AJ214" s="566"/>
      <c r="AK214" s="782"/>
      <c r="AL214" s="1004"/>
      <c r="AM214" s="1005"/>
      <c r="AN214" s="1005"/>
      <c r="AO214" s="525">
        <f t="shared" si="274"/>
        <v>8.7937114034413719E-2</v>
      </c>
      <c r="AS214" s="564"/>
      <c r="AT214" s="564"/>
      <c r="AU214" s="564"/>
      <c r="BD214" s="564"/>
      <c r="BE214" s="564"/>
      <c r="BF214" s="564"/>
      <c r="BG214" s="525">
        <f t="shared" si="275"/>
        <v>1022.7086362202316</v>
      </c>
    </row>
    <row r="215" spans="1:59" s="685" customFormat="1" outlineLevel="1">
      <c r="D215" s="686"/>
      <c r="E215" s="686"/>
      <c r="J215" s="868"/>
      <c r="K215" s="649" t="s">
        <v>288</v>
      </c>
      <c r="L215" s="650"/>
      <c r="M215" s="650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87"/>
      <c r="AB215" s="687"/>
      <c r="AC215" s="687"/>
      <c r="AD215" s="687"/>
      <c r="AE215" s="988"/>
      <c r="AF215" s="986"/>
      <c r="AI215" s="688"/>
      <c r="AJ215" s="688"/>
      <c r="AK215" s="782"/>
      <c r="AL215" s="1004"/>
      <c r="AM215" s="1005"/>
      <c r="AN215" s="1005"/>
      <c r="AO215" s="651">
        <f t="shared" si="274"/>
        <v>0</v>
      </c>
      <c r="BG215" s="651">
        <f t="shared" si="275"/>
        <v>0</v>
      </c>
    </row>
    <row r="216" spans="1:59" s="514" customFormat="1" outlineLevel="1">
      <c r="B216" s="564"/>
      <c r="C216" s="564"/>
      <c r="D216" s="515"/>
      <c r="E216" s="515"/>
      <c r="J216" s="516"/>
      <c r="K216" s="560" t="s">
        <v>289</v>
      </c>
      <c r="L216" s="675">
        <v>4217</v>
      </c>
      <c r="M216" s="675"/>
      <c r="N216" s="569">
        <v>0.03</v>
      </c>
      <c r="O216" s="497"/>
      <c r="P216" s="497"/>
      <c r="Q216" s="497">
        <v>0.03</v>
      </c>
      <c r="R216" s="497"/>
      <c r="S216" s="497"/>
      <c r="T216" s="497"/>
      <c r="U216" s="497"/>
      <c r="V216" s="497"/>
      <c r="W216" s="497"/>
      <c r="X216" s="591"/>
      <c r="Y216" s="494"/>
      <c r="Z216" s="494"/>
      <c r="AA216" s="629"/>
      <c r="AB216" s="629"/>
      <c r="AC216" s="629"/>
      <c r="AD216" s="629"/>
      <c r="AE216" s="969"/>
      <c r="AF216" s="963">
        <f>1/'IVCs relevant 2040-2050'!T24</f>
        <v>1</v>
      </c>
      <c r="AI216" s="566"/>
      <c r="AJ216" s="566"/>
      <c r="AK216" s="782"/>
      <c r="AL216" s="1004"/>
      <c r="AM216" s="1005"/>
      <c r="AN216" s="1005"/>
      <c r="AO216" s="525">
        <f t="shared" si="274"/>
        <v>0</v>
      </c>
      <c r="AS216" s="564"/>
      <c r="AT216" s="564"/>
      <c r="AU216" s="564"/>
      <c r="BD216" s="564"/>
      <c r="BE216" s="564"/>
      <c r="BF216" s="564"/>
      <c r="BG216" s="525">
        <f t="shared" si="275"/>
        <v>0</v>
      </c>
    </row>
    <row r="217" spans="1:59" s="515" customFormat="1">
      <c r="A217" s="598" t="s">
        <v>9</v>
      </c>
      <c r="B217" s="563" t="s">
        <v>774</v>
      </c>
      <c r="C217" s="563" t="s">
        <v>51</v>
      </c>
      <c r="D217" s="515" t="s">
        <v>1184</v>
      </c>
      <c r="E217" s="563" t="s">
        <v>1181</v>
      </c>
      <c r="F217" s="563" t="s">
        <v>645</v>
      </c>
      <c r="J217" s="859" t="s">
        <v>1030</v>
      </c>
      <c r="K217" s="515" t="s">
        <v>950</v>
      </c>
      <c r="N217" s="593">
        <f>SUM(N218:N227)</f>
        <v>5.881969786548269</v>
      </c>
      <c r="O217" s="593">
        <f t="shared" ref="O217:X217" si="276">SUM(O218:O227)</f>
        <v>0</v>
      </c>
      <c r="P217" s="593">
        <f t="shared" si="276"/>
        <v>0</v>
      </c>
      <c r="Q217" s="593">
        <f t="shared" si="276"/>
        <v>8.3808675107592219</v>
      </c>
      <c r="R217" s="593">
        <f t="shared" si="276"/>
        <v>0</v>
      </c>
      <c r="S217" s="593">
        <f t="shared" si="276"/>
        <v>0</v>
      </c>
      <c r="T217" s="593">
        <f t="shared" si="276"/>
        <v>0</v>
      </c>
      <c r="U217" s="593">
        <f t="shared" si="276"/>
        <v>0</v>
      </c>
      <c r="V217" s="593">
        <f t="shared" si="276"/>
        <v>0</v>
      </c>
      <c r="W217" s="593">
        <f t="shared" si="276"/>
        <v>0</v>
      </c>
      <c r="X217" s="593">
        <f t="shared" si="276"/>
        <v>8.0797265754330194</v>
      </c>
      <c r="Y217" s="593"/>
      <c r="Z217" s="593"/>
      <c r="AE217" s="969"/>
      <c r="AF217" s="969"/>
      <c r="AG217" s="668">
        <f>SUM(AG218:AG227)</f>
        <v>0.15234866340087086</v>
      </c>
      <c r="AH217" s="668">
        <f>SUM(AH218:AH227)</f>
        <v>1771.8149553521282</v>
      </c>
      <c r="AI217" s="668">
        <f t="shared" ref="AI217:AJ217" si="277">SUM(AI218:AI227)</f>
        <v>0.20778069051520706</v>
      </c>
      <c r="AJ217" s="668">
        <f t="shared" si="277"/>
        <v>2416.4894306918586</v>
      </c>
      <c r="AK217" s="563"/>
      <c r="AL217" s="1004"/>
      <c r="AM217" s="1005"/>
      <c r="AN217" s="1005"/>
      <c r="AO217" s="668">
        <f>SUM(AO218:AO227)</f>
        <v>0.20479329723257464</v>
      </c>
      <c r="AS217" s="563"/>
      <c r="AT217" s="563"/>
      <c r="AU217" s="563"/>
      <c r="BD217" s="563"/>
      <c r="BE217" s="563"/>
      <c r="BF217" s="563"/>
      <c r="BG217" s="668">
        <f>SUM(BG218:BG227)</f>
        <v>2381.7460468148433</v>
      </c>
    </row>
    <row r="218" spans="1:59" ht="20.5" customHeight="1" outlineLevel="1">
      <c r="K218" s="551" t="s">
        <v>272</v>
      </c>
      <c r="L218" s="547" t="s">
        <v>273</v>
      </c>
      <c r="M218" s="547"/>
      <c r="N218" s="525">
        <f>('Austria Medium 2030'!N$8+'Austria Medium 2030'!O$8+'Austria Medium 2030'!P$8)/1000000</f>
        <v>2.0661873996580922</v>
      </c>
      <c r="O218" s="525"/>
      <c r="P218" s="525"/>
      <c r="Q218" s="525">
        <f>SUM(Austria_High_2030_2050!N$8+Austria_High_2030_2050!O$8+Austria_High_2030_2050!P$8)/1000000</f>
        <v>3.6127082591720723</v>
      </c>
      <c r="R218" s="525"/>
      <c r="S218" s="525"/>
      <c r="T218" s="525"/>
      <c r="U218" s="525"/>
      <c r="V218" s="525"/>
      <c r="W218" s="525"/>
      <c r="X218" s="525">
        <f>(Austria_High_2030_2050!BI$8+Austria_High_2030_2050!BJ$8+Austria_High_2030_2050!BK$8)/1000000</f>
        <v>2.4145632429759436</v>
      </c>
      <c r="Y218" s="525"/>
      <c r="Z218" s="525"/>
      <c r="AA218" s="538">
        <f>'Conversion factors selected IV '!L$39</f>
        <v>0.21080329770946685</v>
      </c>
      <c r="AB218" s="538"/>
      <c r="AC218" s="538"/>
      <c r="AD218" s="538"/>
      <c r="AE218" s="963">
        <f>1/'IVCs relevant in 2030'!R$8</f>
        <v>0.14285714285714285</v>
      </c>
      <c r="AF218" s="972">
        <f>1/'IVCs relevant 2040-2050'!T$8</f>
        <v>0.14285714285714285</v>
      </c>
      <c r="AG218" s="690">
        <f t="shared" ref="AG218:AG227" si="278">N218*AA218*AE218</f>
        <v>6.2222731076239136E-2</v>
      </c>
      <c r="AH218" s="691">
        <f>AG218*11630</f>
        <v>723.65036241666121</v>
      </c>
      <c r="AI218" s="592">
        <f t="shared" ref="AI218:AI227" si="279">Q218*AA218*AE218</f>
        <v>0.10879583067081429</v>
      </c>
      <c r="AJ218" s="531">
        <f t="shared" ref="AJ218:AJ231" si="280">AI218*11630</f>
        <v>1265.2955107015703</v>
      </c>
      <c r="AO218" s="525">
        <f t="shared" ref="AO218:AO227" si="281">X218*AA218*AF218</f>
        <v>7.2713984878199078E-2</v>
      </c>
      <c r="BG218" s="525">
        <f t="shared" si="275"/>
        <v>845.66364413345525</v>
      </c>
    </row>
    <row r="219" spans="1:59" ht="20.149999999999999" customHeight="1" outlineLevel="1">
      <c r="K219" s="551" t="s">
        <v>1065</v>
      </c>
      <c r="L219" s="547" t="s">
        <v>291</v>
      </c>
      <c r="M219" s="547"/>
      <c r="N219" s="525">
        <f>('Austria Medium 2030'!Q$8+'Austria Medium 2030'!R$8)/1000000</f>
        <v>5.275644117051783E-2</v>
      </c>
      <c r="O219" s="525"/>
      <c r="P219" s="525"/>
      <c r="Q219" s="525">
        <f>SUM(Austria_High_2030_2050!Q$8+Austria_High_2030_2050!R$8)/1000000</f>
        <v>8.0214965882960884E-2</v>
      </c>
      <c r="R219" s="525"/>
      <c r="S219" s="525"/>
      <c r="T219" s="525"/>
      <c r="U219" s="525"/>
      <c r="V219" s="525"/>
      <c r="W219" s="525"/>
      <c r="X219" s="525">
        <f>SUM(Austria_High_2030_2050!BL$8+Austria_High_2030_2050!BM$8)/1000000</f>
        <v>6.4694413970447118E-2</v>
      </c>
      <c r="Y219" s="525"/>
      <c r="Z219" s="525"/>
      <c r="AA219" s="538">
        <f>'Conversion factors selected IV '!L$40</f>
        <v>0.21080329770946685</v>
      </c>
      <c r="AB219" s="538"/>
      <c r="AC219" s="538"/>
      <c r="AD219" s="538"/>
      <c r="AE219" s="963">
        <f>1/'IVCs relevant in 2030'!R$9</f>
        <v>0.16666666666666666</v>
      </c>
      <c r="AF219" s="977">
        <f>1/'IVCs relevant 2040-2050'!T$9</f>
        <v>0.16666666666666666</v>
      </c>
      <c r="AG219" s="690">
        <f t="shared" si="278"/>
        <v>1.8535386290267739E-3</v>
      </c>
      <c r="AH219" s="691">
        <f t="shared" ref="AH219:AH227" si="282">AG219*11630</f>
        <v>21.556654255581382</v>
      </c>
      <c r="AI219" s="592">
        <f t="shared" si="279"/>
        <v>2.8182632222967545E-3</v>
      </c>
      <c r="AJ219" s="531">
        <f t="shared" si="280"/>
        <v>32.776401275311251</v>
      </c>
      <c r="AO219" s="525">
        <f t="shared" si="281"/>
        <v>2.272965968058609E-3</v>
      </c>
      <c r="BG219" s="525">
        <f t="shared" si="275"/>
        <v>26.434594208521624</v>
      </c>
    </row>
    <row r="220" spans="1:59" outlineLevel="1">
      <c r="K220" s="551" t="s">
        <v>285</v>
      </c>
      <c r="L220" s="555">
        <v>5108</v>
      </c>
      <c r="M220" s="555"/>
      <c r="N220" s="525">
        <f>('Austria Medium 2030'!AS$8)/1000000</f>
        <v>0.22437597641824103</v>
      </c>
      <c r="O220" s="525"/>
      <c r="P220" s="525"/>
      <c r="Q220" s="525">
        <f>SUM(Austria_High_2030_2050!AS$8)/1000000</f>
        <v>0.25077315011450474</v>
      </c>
      <c r="R220" s="525"/>
      <c r="S220" s="525"/>
      <c r="T220" s="525"/>
      <c r="U220" s="525"/>
      <c r="V220" s="525"/>
      <c r="W220" s="525"/>
      <c r="X220" s="525">
        <f>Austria_High_2030_2050!CN$8/1000000</f>
        <v>0.24268564874320181</v>
      </c>
      <c r="Y220" s="525"/>
      <c r="Z220" s="525"/>
      <c r="AA220" s="538">
        <f>'Conversion factors selected IV '!L$41</f>
        <v>0.1470720681693955</v>
      </c>
      <c r="AB220" s="538"/>
      <c r="AC220" s="538"/>
      <c r="AD220" s="538"/>
      <c r="AE220" s="977">
        <f>1/'IVCs relevant in 2030'!R$18</f>
        <v>0.25</v>
      </c>
      <c r="AF220" s="963">
        <f>1/'IVCs relevant 2040-2050'!T$18</f>
        <v>0.25</v>
      </c>
      <c r="AG220" s="690">
        <f t="shared" si="278"/>
        <v>8.2498597248395547E-3</v>
      </c>
      <c r="AH220" s="691">
        <f t="shared" si="282"/>
        <v>95.945868599884022</v>
      </c>
      <c r="AI220" s="592">
        <f t="shared" si="279"/>
        <v>9.220431457173623E-3</v>
      </c>
      <c r="AJ220" s="531">
        <f t="shared" si="280"/>
        <v>107.23361784692923</v>
      </c>
      <c r="AO220" s="525">
        <f t="shared" si="281"/>
        <v>8.923070068923537E-3</v>
      </c>
      <c r="BG220" s="525">
        <f t="shared" si="275"/>
        <v>103.77530490158074</v>
      </c>
    </row>
    <row r="221" spans="1:59" outlineLevel="1">
      <c r="K221" s="551" t="s">
        <v>292</v>
      </c>
      <c r="L221" s="559">
        <v>4204</v>
      </c>
      <c r="M221" s="559"/>
      <c r="N221" s="525">
        <f>('Austria Medium 2030'!AD$8)/1000000</f>
        <v>0</v>
      </c>
      <c r="Q221" s="494">
        <f>Austria_High_2030_2050!AD$8/1000000</f>
        <v>0</v>
      </c>
      <c r="X221" s="494">
        <f>Austria_High_2030_2050!BY$8/1000000</f>
        <v>0</v>
      </c>
      <c r="AA221" s="538">
        <f>'Conversion factors selected IV '!L$42</f>
        <v>0.21080329770946693</v>
      </c>
      <c r="AB221" s="538"/>
      <c r="AC221" s="538"/>
      <c r="AD221" s="538"/>
      <c r="AE221" s="977">
        <f>1/'IVCs relevant in 2030'!R$13</f>
        <v>0.2</v>
      </c>
      <c r="AF221" s="963">
        <f>1/'IVCs relevant 2040-2050'!T$13</f>
        <v>0.2</v>
      </c>
      <c r="AG221" s="690">
        <f t="shared" si="278"/>
        <v>0</v>
      </c>
      <c r="AH221" s="691">
        <f t="shared" si="282"/>
        <v>0</v>
      </c>
      <c r="AI221" s="592">
        <f t="shared" si="279"/>
        <v>0</v>
      </c>
      <c r="AJ221" s="531">
        <f t="shared" si="280"/>
        <v>0</v>
      </c>
      <c r="AO221" s="525">
        <f t="shared" si="281"/>
        <v>0</v>
      </c>
      <c r="BG221" s="525">
        <f t="shared" si="275"/>
        <v>0</v>
      </c>
    </row>
    <row r="222" spans="1:59" ht="20.149999999999999" customHeight="1" outlineLevel="1">
      <c r="K222" s="551" t="s">
        <v>274</v>
      </c>
      <c r="L222" s="547" t="s">
        <v>275</v>
      </c>
      <c r="M222" s="547"/>
      <c r="N222" s="525">
        <f>('Austria Medium 2030'!E$8+'Austria Medium 2030'!G$8+'Austria Medium 2030'!H$8+'Austria Medium 2030'!J$8)/1000000</f>
        <v>4.3076209855386564E-2</v>
      </c>
      <c r="O222" s="525"/>
      <c r="P222" s="525"/>
      <c r="Q222" s="525">
        <f>SUM(Austria_High_2030_2050!E$8+Austria_High_2030_2050!G$8+Austria_High_2030_2050!H41+Austria_High_2030_2050!J$8)/1000000</f>
        <v>8.8372340704165192E-2</v>
      </c>
      <c r="R222" s="525"/>
      <c r="S222" s="525"/>
      <c r="T222" s="525"/>
      <c r="U222" s="525"/>
      <c r="V222" s="525"/>
      <c r="W222" s="525"/>
      <c r="X222" s="525">
        <f>(Austria_High_2030_2050!AZ$8+Austria_High_2030_2050!BB$8+Austria_High_2030_2050!BC$8+Austria_High_2030_2050!BE$8)/1000000</f>
        <v>0.98636944902035451</v>
      </c>
      <c r="Y222" s="525"/>
      <c r="Z222" s="525"/>
      <c r="AA222" s="538">
        <f>'Conversion factors selected IV '!L$43</f>
        <v>0.21080329770946685</v>
      </c>
      <c r="AB222" s="538"/>
      <c r="AC222" s="538"/>
      <c r="AD222" s="538"/>
      <c r="AE222" s="977">
        <f>1/'IVCs relevant in 2030'!R$2</f>
        <v>0.14285714285714285</v>
      </c>
      <c r="AF222" s="972">
        <f>1/'IVCs relevant 2040-2050'!T$2</f>
        <v>0.14285714285714285</v>
      </c>
      <c r="AG222" s="690">
        <f t="shared" si="278"/>
        <v>1.2972295843343606E-3</v>
      </c>
      <c r="AH222" s="691">
        <f t="shared" si="282"/>
        <v>15.086780065808615</v>
      </c>
      <c r="AI222" s="592">
        <f t="shared" si="279"/>
        <v>2.661311549534653E-3</v>
      </c>
      <c r="AJ222" s="531">
        <f t="shared" si="280"/>
        <v>30.951053321088015</v>
      </c>
      <c r="AO222" s="525">
        <f t="shared" si="281"/>
        <v>2.9704276087622938E-2</v>
      </c>
      <c r="BG222" s="525">
        <f t="shared" si="275"/>
        <v>345.46073089905479</v>
      </c>
    </row>
    <row r="223" spans="1:59" outlineLevel="1">
      <c r="K223" s="551" t="s">
        <v>276</v>
      </c>
      <c r="L223" s="547" t="s">
        <v>277</v>
      </c>
      <c r="M223" s="547"/>
      <c r="N223" s="525">
        <f>('Austria Medium 2030'!K$8+'Austria Medium 2030'!M$8)/1000000</f>
        <v>5.1413639238366511E-2</v>
      </c>
      <c r="O223" s="525"/>
      <c r="P223" s="525"/>
      <c r="Q223" s="525">
        <f>SUM(Austria_High_2030_2050!K$8+Austria_High_2030_2050!M$8)/1000000</f>
        <v>0.13507391098355814</v>
      </c>
      <c r="R223" s="525"/>
      <c r="S223" s="525"/>
      <c r="T223" s="525"/>
      <c r="U223" s="525"/>
      <c r="V223" s="525"/>
      <c r="W223" s="525"/>
      <c r="X223" s="525">
        <f>(Austria_High_2030_2050!BF$8+Austria_High_2030_2050!BH$8)/1000000</f>
        <v>0.31760793815025773</v>
      </c>
      <c r="Y223" s="525"/>
      <c r="Z223" s="525"/>
      <c r="AA223" s="538">
        <f>'Conversion factors selected IV '!L$44</f>
        <v>0.21080329770946685</v>
      </c>
      <c r="AB223" s="538"/>
      <c r="AC223" s="538"/>
      <c r="AD223" s="538"/>
      <c r="AE223" s="977">
        <f>1/'IVCs relevant in 2030'!R$4</f>
        <v>0.14285714285714285</v>
      </c>
      <c r="AF223" s="972">
        <f>1/'IVCs relevant 2040-2050'!T$4</f>
        <v>0.14285714285714285</v>
      </c>
      <c r="AG223" s="690">
        <f t="shared" si="278"/>
        <v>1.5483092426703574E-3</v>
      </c>
      <c r="AH223" s="691">
        <f t="shared" si="282"/>
        <v>18.006836492256259</v>
      </c>
      <c r="AI223" s="592">
        <f t="shared" si="279"/>
        <v>4.0677179814070036E-3</v>
      </c>
      <c r="AJ223" s="531">
        <f t="shared" si="280"/>
        <v>47.307560123763452</v>
      </c>
      <c r="AO223" s="525">
        <f t="shared" si="281"/>
        <v>9.5646858201112444E-3</v>
      </c>
      <c r="BG223" s="525">
        <f t="shared" si="275"/>
        <v>111.23729608789377</v>
      </c>
    </row>
    <row r="224" spans="1:59" outlineLevel="1">
      <c r="K224" s="551" t="s">
        <v>293</v>
      </c>
      <c r="L224" s="547" t="s">
        <v>294</v>
      </c>
      <c r="M224" s="547"/>
      <c r="N224" s="525">
        <f>('Austria Medium 2030'!C$8+'Austria Medium 2030'!D$8)/1000000</f>
        <v>1.4612937622</v>
      </c>
      <c r="Q224" s="494">
        <f>SUM(Austria_High_2030_2050!C$8+Austria_High_2030_2050!D$8)/1000000</f>
        <v>1.4612937622</v>
      </c>
      <c r="X224" s="494">
        <f>SUM(Austria_High_2030_2050!AX$8+Austria_High_2030_2050!AY$8)/1000000</f>
        <v>1.4618314138666668</v>
      </c>
      <c r="AA224" s="538">
        <f>'Conversion factors selected IV '!L$45</f>
        <v>0.23286410793487619</v>
      </c>
      <c r="AB224" s="538"/>
      <c r="AC224" s="538"/>
      <c r="AD224" s="538"/>
      <c r="AE224" s="977">
        <f>1/'IVCs relevant in 2030'!R$6</f>
        <v>0.2</v>
      </c>
      <c r="AF224" s="963">
        <f>1/'IVCs relevant 2040-2050'!T$6</f>
        <v>0.2</v>
      </c>
      <c r="AG224" s="690">
        <f t="shared" si="278"/>
        <v>6.8056573673100418E-2</v>
      </c>
      <c r="AH224" s="691">
        <f t="shared" si="282"/>
        <v>791.49795181815784</v>
      </c>
      <c r="AI224" s="592">
        <f t="shared" si="279"/>
        <v>6.8056573673100418E-2</v>
      </c>
      <c r="AJ224" s="531">
        <f t="shared" si="280"/>
        <v>791.49795181815784</v>
      </c>
      <c r="AO224" s="525">
        <f t="shared" si="281"/>
        <v>6.8081613628248036E-2</v>
      </c>
      <c r="BG224" s="525">
        <f t="shared" si="275"/>
        <v>791.78916649652467</v>
      </c>
    </row>
    <row r="225" spans="1:59" ht="15.65" customHeight="1" outlineLevel="1">
      <c r="K225" s="551" t="s">
        <v>270</v>
      </c>
      <c r="L225" s="547" t="s">
        <v>271</v>
      </c>
      <c r="M225" s="547"/>
      <c r="N225" s="525">
        <f>('Austria Medium 2030'!U$8+'Austria Medium 2030'!V$8+'Austria Medium 2030'!W$8+'Austria Medium 2030'!X$8+'Austria Medium 2030'!Y$8+'Austria Medium 2030'!Z$8)/1000000</f>
        <v>1.7503165547670994</v>
      </c>
      <c r="O225" s="525"/>
      <c r="P225" s="525"/>
      <c r="Q225" s="525">
        <f>SUM(Austria_High_2030_2050!U$8+Austria_High_2030_2050!V$8+Austria_High_2030_2050!W$8+Austria_High_2030_2050!X$8+Austria_High_2030_2050!Y$8+Austria_High_2030_2050!Z$8)/1000000</f>
        <v>2.4423647173812064</v>
      </c>
      <c r="R225" s="525"/>
      <c r="S225" s="525"/>
      <c r="T225" s="525"/>
      <c r="U225" s="525"/>
      <c r="V225" s="525"/>
      <c r="W225" s="525"/>
      <c r="X225" s="525">
        <f>(Austria_High_2030_2050!BP$8+Austria_High_2030_2050!BQ$8+Austria_High_2030_2050!BR$8+Austria_High_2030_2050!BS$8+Austria_High_2030_2050!BT$8+Austria_High_2030_2050!BU$8)/1000000</f>
        <v>2.2469216754603125</v>
      </c>
      <c r="Y225" s="525"/>
      <c r="Z225" s="525"/>
      <c r="AA225" s="538">
        <f>'Conversion factors selected IV '!$L203</f>
        <v>0</v>
      </c>
      <c r="AB225" s="538"/>
      <c r="AC225" s="538"/>
      <c r="AD225" s="538"/>
      <c r="AE225" s="977">
        <f>1/'IVCs relevant in 2030'!R$16</f>
        <v>0.16666666666666666</v>
      </c>
      <c r="AF225" s="972">
        <f>1/'IVCs relevant 2040-2050'!T$16</f>
        <v>0.16666666666666666</v>
      </c>
      <c r="AG225" s="690">
        <f t="shared" si="278"/>
        <v>0</v>
      </c>
      <c r="AH225" s="691">
        <f>AG225*11630</f>
        <v>0</v>
      </c>
      <c r="AI225" s="592">
        <f t="shared" si="279"/>
        <v>0</v>
      </c>
      <c r="AJ225" s="531">
        <f t="shared" si="280"/>
        <v>0</v>
      </c>
      <c r="AO225" s="525">
        <f t="shared" si="281"/>
        <v>0</v>
      </c>
      <c r="BG225" s="525">
        <f t="shared" si="275"/>
        <v>0</v>
      </c>
    </row>
    <row r="226" spans="1:59" outlineLevel="1">
      <c r="K226" s="551" t="s">
        <v>295</v>
      </c>
      <c r="L226" s="547" t="s">
        <v>296</v>
      </c>
      <c r="M226" s="547"/>
      <c r="N226" s="525">
        <f>('Austria Medium 2030'!AT$8+'Austria Medium 2030'!AU$8)/1000000</f>
        <v>0.23254980324056534</v>
      </c>
      <c r="O226" s="525"/>
      <c r="P226" s="525"/>
      <c r="Q226" s="525">
        <f>SUM(Austria_High_2030_2050!AT$8+Austria_High_2030_2050!AU$8)/1000000</f>
        <v>0.31006640432075377</v>
      </c>
      <c r="R226" s="525"/>
      <c r="S226" s="525"/>
      <c r="T226" s="525"/>
      <c r="U226" s="525"/>
      <c r="V226" s="525"/>
      <c r="W226" s="525"/>
      <c r="X226" s="525">
        <f>SUM(Austria_High_2030_2050!CO$8+Austria_High_2030_2050!CP$8)/1000000</f>
        <v>0.34505279324583621</v>
      </c>
      <c r="Y226" s="525"/>
      <c r="Z226" s="525"/>
      <c r="AA226" s="538">
        <f>'Conversion factors selected IV '!L$47</f>
        <v>0.19609609089252733</v>
      </c>
      <c r="AB226" s="538"/>
      <c r="AC226" s="538"/>
      <c r="AD226" s="538"/>
      <c r="AE226" s="977">
        <f>1/'IVCs relevant in 2030'!R$20</f>
        <v>0.2</v>
      </c>
      <c r="AF226" s="963">
        <f>1/'IVCs relevant 2040-2050'!T$20</f>
        <v>0.2</v>
      </c>
      <c r="AG226" s="690">
        <f t="shared" si="278"/>
        <v>9.1204214706602487E-3</v>
      </c>
      <c r="AH226" s="691">
        <f t="shared" si="282"/>
        <v>106.07050170377869</v>
      </c>
      <c r="AI226" s="592">
        <f t="shared" si="279"/>
        <v>1.2160561960880334E-2</v>
      </c>
      <c r="AJ226" s="531">
        <f t="shared" si="280"/>
        <v>141.42733560503828</v>
      </c>
      <c r="AO226" s="525">
        <f t="shared" si="281"/>
        <v>1.3532700781411189E-2</v>
      </c>
      <c r="BG226" s="525">
        <f t="shared" si="275"/>
        <v>157.38531008781214</v>
      </c>
    </row>
    <row r="227" spans="1:59" outlineLevel="1">
      <c r="K227" s="560" t="s">
        <v>297</v>
      </c>
      <c r="L227" s="561"/>
      <c r="M227" s="561"/>
      <c r="N227" s="497">
        <v>0</v>
      </c>
      <c r="O227" s="497"/>
      <c r="P227" s="497"/>
      <c r="Q227" s="497">
        <v>0</v>
      </c>
      <c r="R227" s="497"/>
      <c r="S227" s="497"/>
      <c r="T227" s="497"/>
      <c r="U227" s="497"/>
      <c r="V227" s="497"/>
      <c r="W227" s="497"/>
      <c r="X227" s="591"/>
      <c r="Y227" s="591"/>
      <c r="Z227" s="591"/>
      <c r="AA227" s="591"/>
      <c r="AB227" s="591"/>
      <c r="AC227" s="591"/>
      <c r="AD227" s="591"/>
      <c r="AE227" s="977">
        <f>1/'IVCs relevant in 2030'!R$22</f>
        <v>0.25</v>
      </c>
      <c r="AF227" s="963">
        <f>1/'IVCs relevant 2040-2050'!T$22</f>
        <v>0.25</v>
      </c>
      <c r="AG227" s="690">
        <f t="shared" si="278"/>
        <v>0</v>
      </c>
      <c r="AH227" s="691">
        <f t="shared" si="282"/>
        <v>0</v>
      </c>
      <c r="AI227" s="592">
        <f t="shared" si="279"/>
        <v>0</v>
      </c>
      <c r="AJ227" s="531">
        <f t="shared" si="280"/>
        <v>0</v>
      </c>
      <c r="AO227" s="525">
        <f t="shared" si="281"/>
        <v>0</v>
      </c>
      <c r="BG227" s="525">
        <f t="shared" si="275"/>
        <v>0</v>
      </c>
    </row>
    <row r="228" spans="1:59" s="515" customFormat="1">
      <c r="A228" s="598" t="s">
        <v>11</v>
      </c>
      <c r="B228" s="606" t="s">
        <v>775</v>
      </c>
      <c r="C228" s="606" t="s">
        <v>51</v>
      </c>
      <c r="D228" s="515" t="s">
        <v>1184</v>
      </c>
      <c r="E228" s="563" t="s">
        <v>1181</v>
      </c>
      <c r="F228" s="515" t="s">
        <v>645</v>
      </c>
      <c r="J228" s="859" t="s">
        <v>1030</v>
      </c>
      <c r="N228" s="515">
        <f t="shared" ref="N228:P228" si="283">SUM(N229)</f>
        <v>4.3999999999999997E-2</v>
      </c>
      <c r="O228" s="515">
        <f t="shared" si="283"/>
        <v>0</v>
      </c>
      <c r="P228" s="515">
        <f t="shared" si="283"/>
        <v>0</v>
      </c>
      <c r="Q228" s="515">
        <f>SUM(Q229)</f>
        <v>4.3999999999999997E-2</v>
      </c>
      <c r="AA228" s="594"/>
      <c r="AB228" s="594"/>
      <c r="AC228" s="594"/>
      <c r="AD228" s="594"/>
      <c r="AE228" s="969"/>
      <c r="AF228" s="969"/>
      <c r="AG228" s="593">
        <f>SUM(AG229)</f>
        <v>3.5639999999999998E-2</v>
      </c>
      <c r="AH228" s="593">
        <f>SUM(AH229)</f>
        <v>414.4932</v>
      </c>
      <c r="AI228" s="593">
        <f t="shared" ref="AI228:AJ228" si="284">SUM(AI229)</f>
        <v>3.5639999999999998E-2</v>
      </c>
      <c r="AJ228" s="593">
        <f t="shared" si="284"/>
        <v>414.4932</v>
      </c>
      <c r="AK228" s="563"/>
      <c r="AL228" s="1004"/>
      <c r="AM228" s="1005"/>
      <c r="AN228" s="1005"/>
      <c r="AS228" s="563"/>
      <c r="AT228" s="563"/>
      <c r="AU228" s="563"/>
      <c r="BD228" s="563"/>
      <c r="BE228" s="563"/>
      <c r="BF228" s="563"/>
    </row>
    <row r="229" spans="1:59">
      <c r="A229" s="534"/>
      <c r="B229" s="548"/>
      <c r="C229" s="548"/>
      <c r="E229" s="563"/>
      <c r="K229" s="560" t="s">
        <v>298</v>
      </c>
      <c r="N229" s="497">
        <v>4.3999999999999997E-2</v>
      </c>
      <c r="O229" s="497"/>
      <c r="P229" s="497"/>
      <c r="Q229" s="497">
        <v>4.3999999999999997E-2</v>
      </c>
      <c r="R229" s="497"/>
      <c r="S229" s="497"/>
      <c r="T229" s="497"/>
      <c r="U229" s="497"/>
      <c r="V229" s="497"/>
      <c r="W229" s="497"/>
      <c r="X229" s="591"/>
      <c r="AA229" s="494">
        <v>0.81</v>
      </c>
      <c r="AB229" s="494"/>
      <c r="AC229" s="494"/>
      <c r="AD229" s="494"/>
      <c r="AE229" s="970">
        <f>1/'IVCs relevant in 2030'!R25</f>
        <v>1</v>
      </c>
      <c r="AF229" s="970">
        <f>1/'IVCs relevant 2040-2050'!T25</f>
        <v>1</v>
      </c>
      <c r="AG229" s="690">
        <f>N229*AA229*AE229</f>
        <v>3.5639999999999998E-2</v>
      </c>
      <c r="AH229" s="691">
        <f>AG229*11630</f>
        <v>414.4932</v>
      </c>
      <c r="AI229" s="592">
        <f>Q229*AA229*AE229</f>
        <v>3.5639999999999998E-2</v>
      </c>
      <c r="AJ229" s="531">
        <f t="shared" si="280"/>
        <v>414.4932</v>
      </c>
    </row>
    <row r="230" spans="1:59" s="515" customFormat="1">
      <c r="A230" s="598" t="s">
        <v>13</v>
      </c>
      <c r="B230" s="676" t="s">
        <v>776</v>
      </c>
      <c r="C230" s="676" t="s">
        <v>52</v>
      </c>
      <c r="D230" s="515" t="s">
        <v>1184</v>
      </c>
      <c r="E230" s="563" t="s">
        <v>1181</v>
      </c>
      <c r="F230" s="515" t="s">
        <v>646</v>
      </c>
      <c r="J230" s="859" t="s">
        <v>1030</v>
      </c>
      <c r="AA230" s="594"/>
      <c r="AB230" s="594"/>
      <c r="AC230" s="594"/>
      <c r="AD230" s="594"/>
      <c r="AE230" s="969"/>
      <c r="AF230" s="969"/>
      <c r="AG230" s="593">
        <f>SUM(AG231)</f>
        <v>1.184E-2</v>
      </c>
      <c r="AH230" s="593">
        <f>SUM(AH231)</f>
        <v>137.69919999999999</v>
      </c>
      <c r="AI230" s="593">
        <f t="shared" ref="AI230:AJ230" si="285">SUM(AI231)</f>
        <v>1.184E-2</v>
      </c>
      <c r="AJ230" s="593">
        <f t="shared" si="285"/>
        <v>137.69919999999999</v>
      </c>
      <c r="AK230" s="563"/>
      <c r="AL230" s="1004"/>
      <c r="AM230" s="1005"/>
      <c r="AN230" s="1005"/>
      <c r="AS230" s="563"/>
      <c r="AT230" s="563"/>
      <c r="AU230" s="563"/>
      <c r="BD230" s="563"/>
      <c r="BE230" s="563"/>
      <c r="BF230" s="563"/>
    </row>
    <row r="231" spans="1:59">
      <c r="A231" s="534"/>
      <c r="B231" s="677"/>
      <c r="C231" s="677"/>
      <c r="K231" s="567" t="s">
        <v>299</v>
      </c>
      <c r="N231" s="494">
        <v>7.3999999999999996E-2</v>
      </c>
      <c r="Q231" s="494">
        <v>7.3999999999999996E-2</v>
      </c>
      <c r="R231" s="591"/>
      <c r="S231" s="591"/>
      <c r="T231" s="591"/>
      <c r="U231" s="591"/>
      <c r="V231" s="591"/>
      <c r="W231" s="591"/>
      <c r="X231" s="591"/>
      <c r="AA231" s="497">
        <v>0.32</v>
      </c>
      <c r="AE231" s="970">
        <f>1/'IVCs relevant in 2030'!R28</f>
        <v>0.5</v>
      </c>
      <c r="AF231" s="970">
        <f>1/'IVCs relevant 2040-2050'!T28</f>
        <v>0.5</v>
      </c>
      <c r="AG231" s="683">
        <f>N231*AA231*AE231</f>
        <v>1.184E-2</v>
      </c>
      <c r="AH231" s="683">
        <f>AG231*11630</f>
        <v>137.69919999999999</v>
      </c>
      <c r="AI231" s="592">
        <f>Q231*AA231*AE231</f>
        <v>1.184E-2</v>
      </c>
      <c r="AJ231" s="850">
        <f t="shared" si="280"/>
        <v>137.69919999999999</v>
      </c>
    </row>
    <row r="232" spans="1:59" hidden="1">
      <c r="A232" s="534" t="s">
        <v>15</v>
      </c>
      <c r="B232" s="548" t="s">
        <v>16</v>
      </c>
      <c r="C232" s="548" t="s">
        <v>51</v>
      </c>
      <c r="AA232" s="541">
        <v>4.7769179325499187E-3</v>
      </c>
      <c r="AB232" s="541"/>
      <c r="AC232" s="541"/>
      <c r="AD232" s="541"/>
      <c r="AE232" s="972">
        <v>1</v>
      </c>
      <c r="AF232" s="972"/>
      <c r="AG232" s="525"/>
      <c r="AH232" s="525"/>
      <c r="AI232" s="592"/>
      <c r="AJ232" s="592"/>
    </row>
    <row r="233" spans="1:59" hidden="1">
      <c r="A233" s="534"/>
      <c r="B233" s="548"/>
      <c r="C233" s="548"/>
      <c r="K233" s="560" t="s">
        <v>300</v>
      </c>
      <c r="AA233" s="541"/>
      <c r="AB233" s="541"/>
      <c r="AC233" s="541"/>
      <c r="AD233" s="541"/>
      <c r="AE233" s="972"/>
      <c r="AF233" s="972"/>
      <c r="AG233" s="525"/>
      <c r="AH233" s="525"/>
      <c r="AI233" s="592"/>
      <c r="AJ233" s="592"/>
    </row>
    <row r="234" spans="1:59" s="515" customFormat="1">
      <c r="A234" s="598" t="s">
        <v>17</v>
      </c>
      <c r="B234" s="563" t="s">
        <v>18</v>
      </c>
      <c r="C234" s="563" t="s">
        <v>53</v>
      </c>
      <c r="D234" s="515" t="s">
        <v>559</v>
      </c>
      <c r="E234" s="515" t="s">
        <v>1189</v>
      </c>
      <c r="F234" s="515" t="s">
        <v>645</v>
      </c>
      <c r="J234" s="859" t="s">
        <v>1082</v>
      </c>
      <c r="K234" s="515" t="s">
        <v>950</v>
      </c>
      <c r="N234" s="593">
        <f>SUM(N235:N244)</f>
        <v>5.881969786548269</v>
      </c>
      <c r="O234" s="593">
        <f t="shared" ref="O234:X234" si="286">SUM(O235:O244)</f>
        <v>0</v>
      </c>
      <c r="P234" s="593">
        <f t="shared" si="286"/>
        <v>0</v>
      </c>
      <c r="Q234" s="593">
        <f t="shared" si="286"/>
        <v>8.3469358269904177</v>
      </c>
      <c r="R234" s="593">
        <f t="shared" si="286"/>
        <v>0</v>
      </c>
      <c r="S234" s="593">
        <f t="shared" si="286"/>
        <v>0</v>
      </c>
      <c r="T234" s="593">
        <f t="shared" si="286"/>
        <v>0</v>
      </c>
      <c r="U234" s="593">
        <f t="shared" si="286"/>
        <v>0</v>
      </c>
      <c r="V234" s="593">
        <f t="shared" si="286"/>
        <v>0</v>
      </c>
      <c r="W234" s="593">
        <f t="shared" si="286"/>
        <v>0</v>
      </c>
      <c r="X234" s="593">
        <f t="shared" si="286"/>
        <v>8.0797265754330194</v>
      </c>
      <c r="Y234" s="593"/>
      <c r="Z234" s="593"/>
      <c r="AA234" s="593"/>
      <c r="AB234" s="593"/>
      <c r="AC234" s="593"/>
      <c r="AD234" s="593"/>
      <c r="AE234" s="969"/>
      <c r="AF234" s="969"/>
      <c r="AG234" s="593">
        <f>SUM(AG235:AG244)</f>
        <v>0.30926455595910873</v>
      </c>
      <c r="AH234" s="593">
        <f>SUM(AH235:AH244)</f>
        <v>3596.7467858044347</v>
      </c>
      <c r="AI234" s="593">
        <f t="shared" ref="AI234:AJ234" si="287">SUM(AI235:AI244)</f>
        <v>0.42336331927848986</v>
      </c>
      <c r="AJ234" s="593">
        <f t="shared" si="287"/>
        <v>4923.7154032088365</v>
      </c>
      <c r="AK234" s="563"/>
      <c r="AL234" s="1004"/>
      <c r="AM234" s="1005"/>
      <c r="AN234" s="1005"/>
      <c r="AO234" s="668">
        <f>SUM(AO235:AO244)</f>
        <v>0.40995430781024417</v>
      </c>
      <c r="AS234" s="563"/>
      <c r="AT234" s="563"/>
      <c r="AU234" s="563"/>
      <c r="BD234" s="563"/>
      <c r="BE234" s="563"/>
      <c r="BF234" s="563"/>
      <c r="BG234" s="668">
        <f>SUM(BG235:BG244)</f>
        <v>4767.7685998331399</v>
      </c>
    </row>
    <row r="235" spans="1:59" s="497" customFormat="1" ht="29" outlineLevel="1">
      <c r="D235" s="496"/>
      <c r="E235" s="496"/>
      <c r="J235" s="862"/>
      <c r="K235" s="551" t="s">
        <v>272</v>
      </c>
      <c r="L235" s="547" t="s">
        <v>273</v>
      </c>
      <c r="M235" s="547"/>
      <c r="N235" s="525">
        <f>('Austria Medium 2030'!N$8+'Austria Medium 2030'!O$8+'Austria Medium 2030'!P$8)/1000000</f>
        <v>2.0661873996580922</v>
      </c>
      <c r="O235" s="525"/>
      <c r="P235" s="525"/>
      <c r="Q235" s="525">
        <f>SUM(Austria_High_2030_2050!N$8+Austria_High_2030_2050!O$8+Austria_High_2030_2050!P$8)/1000000</f>
        <v>3.6127082591720723</v>
      </c>
      <c r="R235" s="525"/>
      <c r="S235" s="525"/>
      <c r="T235" s="525"/>
      <c r="U235" s="525"/>
      <c r="V235" s="525"/>
      <c r="W235" s="525"/>
      <c r="X235" s="525">
        <f>(Austria_High_2030_2050!BI$8+Austria_High_2030_2050!BJ$8+Austria_High_2030_2050!BK$8)/1000000</f>
        <v>2.4145632429759436</v>
      </c>
      <c r="Y235" s="525"/>
      <c r="Z235" s="525"/>
      <c r="AA235" s="538">
        <f>'Conversion factors selected IV '!L$52</f>
        <v>0.29596010831237546</v>
      </c>
      <c r="AB235" s="538"/>
      <c r="AC235" s="538"/>
      <c r="AD235" s="538"/>
      <c r="AE235" s="977">
        <f>1/'IVCs relevant in 2030'!R$8</f>
        <v>0.14285714285714285</v>
      </c>
      <c r="AF235" s="972">
        <f>1/'IVCs relevant 2040-2050'!T$8</f>
        <v>0.14285714285714285</v>
      </c>
      <c r="AG235" s="690">
        <f t="shared" ref="AG235:AG244" si="288">N235*AA235*AE235</f>
        <v>8.7358435228067757E-2</v>
      </c>
      <c r="AH235" s="691">
        <f>AG235*11630</f>
        <v>1015.978601702428</v>
      </c>
      <c r="AI235" s="592">
        <f t="shared" ref="AI235:AI244" si="289">Q235*AA235*AE235</f>
        <v>0.15274536109793999</v>
      </c>
      <c r="AJ235" s="531">
        <f t="shared" ref="AJ235:AJ244" si="290">AI235*11630</f>
        <v>1776.4285495690419</v>
      </c>
      <c r="AK235" s="657"/>
      <c r="AL235" s="1002"/>
      <c r="AM235" s="1003"/>
      <c r="AN235" s="1003"/>
      <c r="AO235" s="525">
        <f t="shared" ref="AO235:AO244" si="291">X235*AA235*AF235</f>
        <v>0.1020877712740344</v>
      </c>
      <c r="AS235" s="569"/>
      <c r="AT235" s="569"/>
      <c r="AU235" s="569"/>
      <c r="BD235" s="569"/>
      <c r="BE235" s="569"/>
      <c r="BF235" s="569"/>
      <c r="BG235" s="525">
        <f t="shared" ref="BG235:BG244" si="292">AO235*11630</f>
        <v>1187.28077991702</v>
      </c>
    </row>
    <row r="236" spans="1:59" ht="20.149999999999999" customHeight="1" outlineLevel="1">
      <c r="K236" s="551" t="s">
        <v>1065</v>
      </c>
      <c r="L236" s="547" t="s">
        <v>291</v>
      </c>
      <c r="M236" s="547"/>
      <c r="N236" s="525">
        <f>('Austria Medium 2030'!Q$8+'Austria Medium 2030'!R$8)/1000000</f>
        <v>5.275644117051783E-2</v>
      </c>
      <c r="O236" s="525"/>
      <c r="P236" s="525"/>
      <c r="Q236" s="525">
        <f>SUM(Austria_High_2030_2050!Q$8+Austria_High_2030_2050!R$8)/1000000</f>
        <v>8.0214965882960884E-2</v>
      </c>
      <c r="R236" s="525"/>
      <c r="S236" s="525"/>
      <c r="T236" s="525"/>
      <c r="U236" s="525"/>
      <c r="V236" s="525"/>
      <c r="W236" s="525"/>
      <c r="X236" s="525">
        <f>SUM(Austria_High_2030_2050!BL$8+Austria_High_2030_2050!BM$8)/1000000</f>
        <v>6.4694413970447118E-2</v>
      </c>
      <c r="Y236" s="525"/>
      <c r="Z236" s="525"/>
      <c r="AA236" s="538">
        <f>'Conversion factors selected IV '!L$53</f>
        <v>0.29596010831237546</v>
      </c>
      <c r="AB236" s="538"/>
      <c r="AC236" s="538"/>
      <c r="AD236" s="538"/>
      <c r="AE236" s="977">
        <f>1/'IVCs relevant in 2030'!R$9</f>
        <v>0.16666666666666666</v>
      </c>
      <c r="AF236" s="977">
        <f>1/'IVCs relevant 2040-2050'!T$9</f>
        <v>0.16666666666666666</v>
      </c>
      <c r="AG236" s="690">
        <f t="shared" si="288"/>
        <v>2.6023003405003199E-3</v>
      </c>
      <c r="AH236" s="691">
        <f t="shared" ref="AH236:AH244" si="293">AG236*11630</f>
        <v>30.264752960018722</v>
      </c>
      <c r="AI236" s="592">
        <f t="shared" si="289"/>
        <v>3.9567383318324344E-3</v>
      </c>
      <c r="AJ236" s="531">
        <f t="shared" si="290"/>
        <v>46.016866799211215</v>
      </c>
      <c r="AO236" s="525">
        <f t="shared" si="291"/>
        <v>3.1911609609831977E-3</v>
      </c>
      <c r="BG236" s="525">
        <f t="shared" si="292"/>
        <v>37.113201976234592</v>
      </c>
    </row>
    <row r="237" spans="1:59" outlineLevel="1">
      <c r="K237" s="551" t="s">
        <v>285</v>
      </c>
      <c r="L237" s="555">
        <v>5108</v>
      </c>
      <c r="M237" s="555"/>
      <c r="N237" s="525">
        <f>('Austria Medium 2030'!AS$8)/1000000</f>
        <v>0.22437597641824103</v>
      </c>
      <c r="O237" s="525"/>
      <c r="P237" s="525"/>
      <c r="Q237" s="525">
        <f>SUM(Austria_High_2030_2050!AS$8)/1000000</f>
        <v>0.25077315011450474</v>
      </c>
      <c r="R237" s="525"/>
      <c r="S237" s="525"/>
      <c r="T237" s="525"/>
      <c r="U237" s="525"/>
      <c r="V237" s="525"/>
      <c r="W237" s="525"/>
      <c r="X237" s="525">
        <f>Austria_High_2030_2050!CN$8/1000000</f>
        <v>0.24268564874320181</v>
      </c>
      <c r="Y237" s="525"/>
      <c r="Z237" s="525"/>
      <c r="AA237" s="538">
        <f>'Conversion factors selected IV '!L$54</f>
        <v>0.20648379649700613</v>
      </c>
      <c r="AB237" s="538"/>
      <c r="AC237" s="538"/>
      <c r="AD237" s="538"/>
      <c r="AE237" s="977">
        <f>1/'IVCs relevant in 2030'!R$18</f>
        <v>0.25</v>
      </c>
      <c r="AF237" s="963">
        <f>1/'IVCs relevant 2040-2050'!T$18</f>
        <v>0.25</v>
      </c>
      <c r="AG237" s="690">
        <f t="shared" si="288"/>
        <v>1.1582500863390282E-2</v>
      </c>
      <c r="AH237" s="691">
        <f t="shared" si="293"/>
        <v>134.70448504122899</v>
      </c>
      <c r="AI237" s="592">
        <f t="shared" si="289"/>
        <v>1.2945148023789141E-2</v>
      </c>
      <c r="AJ237" s="531">
        <f t="shared" si="290"/>
        <v>150.5520715166677</v>
      </c>
      <c r="AO237" s="525">
        <f t="shared" si="291"/>
        <v>1.2527663526958799E-2</v>
      </c>
      <c r="BG237" s="525">
        <f t="shared" si="292"/>
        <v>145.69672681853083</v>
      </c>
    </row>
    <row r="238" spans="1:59" outlineLevel="1">
      <c r="K238" s="551" t="s">
        <v>292</v>
      </c>
      <c r="L238" s="559">
        <v>4204</v>
      </c>
      <c r="M238" s="559"/>
      <c r="N238" s="525">
        <f>('Austria Medium 2030'!AD$8)/1000000</f>
        <v>0</v>
      </c>
      <c r="Q238" s="494">
        <f>Austria_High_2030_2050!AD$8/1000000</f>
        <v>0</v>
      </c>
      <c r="X238" s="494">
        <f>Austria_High_2030_2050!BY$8/1000000</f>
        <v>0</v>
      </c>
      <c r="AA238" s="538">
        <f>'Conversion factors selected IV '!L$55</f>
        <v>0.29596010831237546</v>
      </c>
      <c r="AB238" s="538"/>
      <c r="AC238" s="538"/>
      <c r="AD238" s="538"/>
      <c r="AE238" s="977">
        <f>1/'IVCs relevant in 2030'!R$13</f>
        <v>0.2</v>
      </c>
      <c r="AF238" s="963">
        <f>1/'IVCs relevant 2040-2050'!T$13</f>
        <v>0.2</v>
      </c>
      <c r="AG238" s="690">
        <f t="shared" si="288"/>
        <v>0</v>
      </c>
      <c r="AH238" s="691">
        <f t="shared" si="293"/>
        <v>0</v>
      </c>
      <c r="AI238" s="592">
        <f t="shared" si="289"/>
        <v>0</v>
      </c>
      <c r="AJ238" s="531">
        <f t="shared" si="290"/>
        <v>0</v>
      </c>
      <c r="AO238" s="525">
        <f t="shared" si="291"/>
        <v>0</v>
      </c>
      <c r="BG238" s="525">
        <f t="shared" si="292"/>
        <v>0</v>
      </c>
    </row>
    <row r="239" spans="1:59" ht="17.5" customHeight="1" outlineLevel="1">
      <c r="K239" s="551" t="s">
        <v>274</v>
      </c>
      <c r="L239" s="547" t="s">
        <v>275</v>
      </c>
      <c r="M239" s="547"/>
      <c r="N239" s="525">
        <f>('Austria Medium 2030'!E$8+'Austria Medium 2030'!G$8+'Austria Medium 2030'!H$8+'Austria Medium 2030'!J$8)/1000000</f>
        <v>4.3076209855386564E-2</v>
      </c>
      <c r="O239" s="525"/>
      <c r="P239" s="525"/>
      <c r="Q239" s="525">
        <f>SUM(Austria_High_2030_2050!E$8+Austria_High_2030_2050!G$8+Austria_High_2030_2050!H55+Austria_High_2030_2050!J$8)/1000000</f>
        <v>5.4440656935360342E-2</v>
      </c>
      <c r="R239" s="525"/>
      <c r="S239" s="525"/>
      <c r="T239" s="525"/>
      <c r="U239" s="525"/>
      <c r="V239" s="525"/>
      <c r="W239" s="525"/>
      <c r="X239" s="525">
        <f>(Austria_High_2030_2050!AZ$8+Austria_High_2030_2050!BB$8+Austria_High_2030_2050!BC$8+Austria_High_2030_2050!BE$8)/1000000</f>
        <v>0.98636944902035451</v>
      </c>
      <c r="Y239" s="525"/>
      <c r="Z239" s="525"/>
      <c r="AA239" s="538">
        <f>'Conversion factors selected IV '!L$56</f>
        <v>0.29596010831237546</v>
      </c>
      <c r="AB239" s="538"/>
      <c r="AC239" s="538"/>
      <c r="AD239" s="538"/>
      <c r="AE239" s="977">
        <f>1/'IVCs relevant in 2030'!R$2</f>
        <v>0.14285714285714285</v>
      </c>
      <c r="AF239" s="972">
        <f>1/'IVCs relevant 2040-2050'!T$2</f>
        <v>0.14285714285714285</v>
      </c>
      <c r="AG239" s="690">
        <f t="shared" si="288"/>
        <v>1.8212628192124033E-3</v>
      </c>
      <c r="AH239" s="691">
        <f t="shared" si="293"/>
        <v>21.181286587440251</v>
      </c>
      <c r="AI239" s="592">
        <f t="shared" si="289"/>
        <v>2.301751817598017E-3</v>
      </c>
      <c r="AJ239" s="531">
        <f t="shared" si="290"/>
        <v>26.769373638664938</v>
      </c>
      <c r="AO239" s="525">
        <f t="shared" si="291"/>
        <v>4.1703715566868887E-2</v>
      </c>
      <c r="BG239" s="525">
        <f t="shared" si="292"/>
        <v>485.01421204268519</v>
      </c>
    </row>
    <row r="240" spans="1:59" outlineLevel="1">
      <c r="K240" s="551" t="s">
        <v>276</v>
      </c>
      <c r="L240" s="547" t="s">
        <v>277</v>
      </c>
      <c r="M240" s="547"/>
      <c r="N240" s="525">
        <f>('Austria Medium 2030'!K$8+'Austria Medium 2030'!M$8)/1000000</f>
        <v>5.1413639238366511E-2</v>
      </c>
      <c r="O240" s="525"/>
      <c r="P240" s="525"/>
      <c r="Q240" s="525">
        <f>SUM(Austria_High_2030_2050!K$8+Austria_High_2030_2050!M$8)/1000000</f>
        <v>0.13507391098355814</v>
      </c>
      <c r="R240" s="525"/>
      <c r="S240" s="525"/>
      <c r="T240" s="525"/>
      <c r="U240" s="525"/>
      <c r="V240" s="525"/>
      <c r="W240" s="525"/>
      <c r="X240" s="525">
        <f>(Austria_High_2030_2050!BF$8+Austria_High_2030_2050!BH$8)/1000000</f>
        <v>0.31760793815025773</v>
      </c>
      <c r="Y240" s="525"/>
      <c r="Z240" s="525"/>
      <c r="AA240" s="538">
        <f>'Conversion factors selected IV '!L$57</f>
        <v>0.29596010831237546</v>
      </c>
      <c r="AB240" s="538"/>
      <c r="AC240" s="538"/>
      <c r="AD240" s="538"/>
      <c r="AE240" s="977">
        <f>1/'IVCs relevant in 2030'!R$4</f>
        <v>0.14285714285714285</v>
      </c>
      <c r="AF240" s="972">
        <f>1/'IVCs relevant 2040-2050'!T$4</f>
        <v>0.14285714285714285</v>
      </c>
      <c r="AG240" s="690">
        <f t="shared" si="288"/>
        <v>2.1737694625314783E-3</v>
      </c>
      <c r="AH240" s="691">
        <f t="shared" si="293"/>
        <v>25.280938849241092</v>
      </c>
      <c r="AI240" s="592">
        <f t="shared" si="289"/>
        <v>5.7109270464100036E-3</v>
      </c>
      <c r="AJ240" s="531">
        <f t="shared" si="290"/>
        <v>66.418081549748337</v>
      </c>
      <c r="AO240" s="525">
        <f t="shared" si="291"/>
        <v>1.3428468539402931E-2</v>
      </c>
      <c r="BG240" s="525">
        <f t="shared" si="292"/>
        <v>156.17308911325608</v>
      </c>
    </row>
    <row r="241" spans="1:59" outlineLevel="1">
      <c r="K241" s="551" t="s">
        <v>293</v>
      </c>
      <c r="L241" s="547" t="s">
        <v>294</v>
      </c>
      <c r="M241" s="526" t="s">
        <v>968</v>
      </c>
      <c r="N241" s="525">
        <f>('Austria Medium 2030'!C$8+'Austria Medium 2030'!D$8)/1000000</f>
        <v>1.4612937622</v>
      </c>
      <c r="Q241" s="494">
        <f>SUM(Austria_High_2030_2050!C$8+Austria_High_2030_2050!D$8)/1000000</f>
        <v>1.4612937622</v>
      </c>
      <c r="X241" s="494">
        <f>SUM(Austria_High_2030_2050!AX$8+Austria_High_2030_2050!AY$8)/1000000</f>
        <v>1.4618314138666668</v>
      </c>
      <c r="AA241" s="538">
        <f>'Conversion factors selected IV '!L$58</f>
        <v>0.32693267778692642</v>
      </c>
      <c r="AB241" s="538"/>
      <c r="AC241" s="538"/>
      <c r="AD241" s="538"/>
      <c r="AE241" s="977">
        <f>1/'IVCs relevant in 2030'!R$6</f>
        <v>0.2</v>
      </c>
      <c r="AF241" s="963">
        <f>1/'IVCs relevant 2040-2050'!T$6</f>
        <v>0.2</v>
      </c>
      <c r="AG241" s="690">
        <f t="shared" si="288"/>
        <v>9.5548936541875629E-2</v>
      </c>
      <c r="AH241" s="691">
        <f t="shared" si="293"/>
        <v>1111.2341319820137</v>
      </c>
      <c r="AI241" s="592">
        <f t="shared" si="289"/>
        <v>9.5548936541875629E-2</v>
      </c>
      <c r="AJ241" s="531">
        <f t="shared" si="290"/>
        <v>1111.2341319820137</v>
      </c>
      <c r="AO241" s="525">
        <f t="shared" si="291"/>
        <v>9.5584091721695616E-2</v>
      </c>
      <c r="BG241" s="525">
        <f t="shared" si="292"/>
        <v>1111.6429867233201</v>
      </c>
    </row>
    <row r="242" spans="1:59" ht="18" customHeight="1" outlineLevel="1">
      <c r="K242" s="551" t="s">
        <v>270</v>
      </c>
      <c r="L242" s="547" t="s">
        <v>271</v>
      </c>
      <c r="M242" s="526" t="s">
        <v>968</v>
      </c>
      <c r="N242" s="525">
        <f>('Austria Medium 2030'!U$8+'Austria Medium 2030'!V$8+'Austria Medium 2030'!W$8+'Austria Medium 2030'!X$8+'Austria Medium 2030'!Y$8+'Austria Medium 2030'!Z$8)/1000000</f>
        <v>1.7503165547670994</v>
      </c>
      <c r="O242" s="525"/>
      <c r="P242" s="525"/>
      <c r="Q242" s="525">
        <f>SUM(Austria_High_2030_2050!U$8+Austria_High_2030_2050!V$8+Austria_High_2030_2050!W$8+Austria_High_2030_2050!X$8+Austria_High_2030_2050!Y$8+Austria_High_2030_2050!Z$8)/1000000</f>
        <v>2.4423647173812064</v>
      </c>
      <c r="R242" s="525"/>
      <c r="S242" s="525"/>
      <c r="T242" s="525"/>
      <c r="U242" s="525"/>
      <c r="V242" s="525"/>
      <c r="W242" s="525"/>
      <c r="X242" s="525">
        <f>(Austria_High_2030_2050!BP$8+Austria_High_2030_2050!BQ$8+Austria_High_2030_2050!BR$8+Austria_High_2030_2050!BS$8+Austria_High_2030_2050!BT$8+Austria_High_2030_2050!BU$8)/1000000</f>
        <v>2.2469216754603125</v>
      </c>
      <c r="Y242" s="525"/>
      <c r="Z242" s="525"/>
      <c r="AA242" s="538">
        <f>'Conversion factors selected IV '!L$59</f>
        <v>0.32693267778692642</v>
      </c>
      <c r="AB242" s="538"/>
      <c r="AC242" s="538"/>
      <c r="AD242" s="538"/>
      <c r="AE242" s="977">
        <f>1/'IVCs relevant in 2030'!R$16</f>
        <v>0.16666666666666666</v>
      </c>
      <c r="AF242" s="972">
        <f>1/'IVCs relevant 2040-2050'!T$16</f>
        <v>0.16666666666666666</v>
      </c>
      <c r="AG242" s="690">
        <f t="shared" si="288"/>
        <v>9.5372613037465873E-2</v>
      </c>
      <c r="AH242" s="691">
        <f t="shared" si="293"/>
        <v>1109.183489625728</v>
      </c>
      <c r="AI242" s="592">
        <f t="shared" si="289"/>
        <v>0.13308147286429126</v>
      </c>
      <c r="AJ242" s="531">
        <f t="shared" si="290"/>
        <v>1547.7375294117073</v>
      </c>
      <c r="AO242" s="525">
        <f t="shared" si="291"/>
        <v>0.12243202002262119</v>
      </c>
      <c r="BG242" s="525">
        <f t="shared" si="292"/>
        <v>1423.8843928630845</v>
      </c>
    </row>
    <row r="243" spans="1:59" outlineLevel="1">
      <c r="K243" s="551" t="s">
        <v>295</v>
      </c>
      <c r="L243" s="547" t="s">
        <v>296</v>
      </c>
      <c r="M243" s="547"/>
      <c r="N243" s="525">
        <f>('Austria Medium 2030'!AT$8+'Austria Medium 2030'!AU$8)/1000000</f>
        <v>0.23254980324056534</v>
      </c>
      <c r="O243" s="525"/>
      <c r="P243" s="525"/>
      <c r="Q243" s="525">
        <f>SUM(Austria_High_2030_2050!AT$8+Austria_High_2030_2050!AU$8)/1000000</f>
        <v>0.31006640432075377</v>
      </c>
      <c r="R243" s="525"/>
      <c r="S243" s="525"/>
      <c r="T243" s="525"/>
      <c r="U243" s="525"/>
      <c r="V243" s="525"/>
      <c r="W243" s="525"/>
      <c r="X243" s="525">
        <f>SUM(Austria_High_2030_2050!CO$8+Austria_High_2030_2050!CP$8)/1000000</f>
        <v>0.34505279324583621</v>
      </c>
      <c r="Y243" s="525"/>
      <c r="Z243" s="525"/>
      <c r="AA243" s="538">
        <f>'Conversion factors selected IV '!L$60</f>
        <v>0.27531172866267484</v>
      </c>
      <c r="AB243" s="538"/>
      <c r="AC243" s="538"/>
      <c r="AD243" s="538"/>
      <c r="AE243" s="977">
        <f>1/'IVCs relevant in 2030'!R$20</f>
        <v>0.2</v>
      </c>
      <c r="AF243" s="963">
        <f>1/'IVCs relevant 2040-2050'!T$20</f>
        <v>0.2</v>
      </c>
      <c r="AG243" s="690">
        <f t="shared" si="288"/>
        <v>1.280473766606499E-2</v>
      </c>
      <c r="AH243" s="691">
        <f t="shared" si="293"/>
        <v>148.91909905633582</v>
      </c>
      <c r="AI243" s="592">
        <f t="shared" si="289"/>
        <v>1.707298355475332E-2</v>
      </c>
      <c r="AJ243" s="531">
        <f t="shared" si="290"/>
        <v>198.55879874178112</v>
      </c>
      <c r="AO243" s="525">
        <f t="shared" si="291"/>
        <v>1.8999416197679142E-2</v>
      </c>
      <c r="BG243" s="525">
        <f t="shared" si="292"/>
        <v>220.96321037900842</v>
      </c>
    </row>
    <row r="244" spans="1:59" outlineLevel="1">
      <c r="K244" s="560" t="s">
        <v>301</v>
      </c>
      <c r="L244" s="561"/>
      <c r="M244" s="561"/>
      <c r="N244" s="494">
        <v>0</v>
      </c>
      <c r="Q244" s="494">
        <v>0</v>
      </c>
      <c r="R244" s="591"/>
      <c r="S244" s="591"/>
      <c r="T244" s="591"/>
      <c r="U244" s="591"/>
      <c r="V244" s="591"/>
      <c r="W244" s="591"/>
      <c r="X244" s="591"/>
      <c r="AA244" s="591"/>
      <c r="AB244" s="591"/>
      <c r="AC244" s="591"/>
      <c r="AD244" s="591"/>
      <c r="AE244" s="977">
        <f>1/'IVCs relevant in 2030'!R22</f>
        <v>0.25</v>
      </c>
      <c r="AF244" s="963">
        <f>1/'IVCs relevant 2040-2050'!T22</f>
        <v>0.25</v>
      </c>
      <c r="AG244" s="690">
        <f t="shared" si="288"/>
        <v>0</v>
      </c>
      <c r="AH244" s="691">
        <f t="shared" si="293"/>
        <v>0</v>
      </c>
      <c r="AI244" s="592">
        <f t="shared" si="289"/>
        <v>0</v>
      </c>
      <c r="AJ244" s="531">
        <f t="shared" si="290"/>
        <v>0</v>
      </c>
      <c r="AO244" s="525">
        <f t="shared" si="291"/>
        <v>0</v>
      </c>
      <c r="BG244" s="525">
        <f t="shared" si="292"/>
        <v>0</v>
      </c>
    </row>
    <row r="245" spans="1:59" s="521" customFormat="1" hidden="1">
      <c r="A245" s="678" t="s">
        <v>17</v>
      </c>
      <c r="B245" s="562" t="s">
        <v>18</v>
      </c>
      <c r="C245" s="562" t="s">
        <v>53</v>
      </c>
      <c r="D245" s="515"/>
      <c r="E245" s="515"/>
      <c r="J245" s="519"/>
      <c r="K245" s="521" t="s">
        <v>950</v>
      </c>
      <c r="N245" s="679">
        <f>SUM(N246:N255)</f>
        <v>5.881969786548269</v>
      </c>
      <c r="O245" s="679">
        <f t="shared" ref="O245:X245" si="294">SUM(O246:O255)</f>
        <v>0</v>
      </c>
      <c r="P245" s="679">
        <f t="shared" si="294"/>
        <v>0</v>
      </c>
      <c r="Q245" s="679">
        <f t="shared" si="294"/>
        <v>8.3469358269904177</v>
      </c>
      <c r="R245" s="679">
        <f t="shared" si="294"/>
        <v>0</v>
      </c>
      <c r="S245" s="679">
        <f t="shared" si="294"/>
        <v>0</v>
      </c>
      <c r="T245" s="679">
        <f t="shared" si="294"/>
        <v>0</v>
      </c>
      <c r="U245" s="679">
        <f t="shared" si="294"/>
        <v>0</v>
      </c>
      <c r="V245" s="679">
        <f t="shared" si="294"/>
        <v>0</v>
      </c>
      <c r="W245" s="679">
        <f t="shared" si="294"/>
        <v>0</v>
      </c>
      <c r="X245" s="679">
        <f t="shared" si="294"/>
        <v>8.0797265754330194</v>
      </c>
      <c r="Y245" s="679"/>
      <c r="Z245" s="679"/>
      <c r="AA245" s="528">
        <v>0.32708139432949784</v>
      </c>
      <c r="AB245" s="528"/>
      <c r="AC245" s="528"/>
      <c r="AD245" s="528"/>
      <c r="AE245" s="969">
        <f>1/4</f>
        <v>0.25</v>
      </c>
      <c r="AF245" s="969"/>
      <c r="AI245" s="566"/>
      <c r="AJ245" s="566"/>
      <c r="AK245" s="782"/>
      <c r="AL245" s="1004"/>
      <c r="AM245" s="1005"/>
      <c r="AN245" s="1005"/>
      <c r="AS245" s="562"/>
      <c r="AT245" s="562"/>
      <c r="AU245" s="562"/>
      <c r="BD245" s="562"/>
      <c r="BE245" s="562"/>
      <c r="BF245" s="562"/>
    </row>
    <row r="246" spans="1:59" s="497" customFormat="1" ht="29" hidden="1">
      <c r="A246" s="680"/>
      <c r="B246" s="569"/>
      <c r="C246" s="569"/>
      <c r="D246" s="496"/>
      <c r="E246" s="496"/>
      <c r="J246" s="862"/>
      <c r="K246" s="551" t="s">
        <v>272</v>
      </c>
      <c r="L246" s="547" t="s">
        <v>273</v>
      </c>
      <c r="M246" s="547"/>
      <c r="N246" s="525">
        <f>('Austria Medium 2030'!N$8+'Austria Medium 2030'!O$8+'Austria Medium 2030'!P$8)/1000000</f>
        <v>2.0661873996580922</v>
      </c>
      <c r="O246" s="525"/>
      <c r="P246" s="525"/>
      <c r="Q246" s="525">
        <f>SUM(Austria_High_2030_2050!N$8+Austria_High_2030_2050!O$8+Austria_High_2030_2050!P$8)/1000000</f>
        <v>3.6127082591720723</v>
      </c>
      <c r="R246" s="525"/>
      <c r="S246" s="525"/>
      <c r="T246" s="525"/>
      <c r="U246" s="525"/>
      <c r="V246" s="525"/>
      <c r="W246" s="525"/>
      <c r="X246" s="525">
        <f>(Austria_High_2030_2050!BI$8+Austria_High_2030_2050!BJ$8+Austria_High_2030_2050!BK$8)/1000000</f>
        <v>2.4145632429759436</v>
      </c>
      <c r="Y246" s="525"/>
      <c r="Z246" s="525"/>
      <c r="AA246" s="527"/>
      <c r="AB246" s="527"/>
      <c r="AC246" s="527"/>
      <c r="AD246" s="527"/>
      <c r="AE246" s="970"/>
      <c r="AF246" s="970"/>
      <c r="AI246" s="498"/>
      <c r="AJ246" s="498"/>
      <c r="AK246" s="657"/>
      <c r="AL246" s="1002"/>
      <c r="AM246" s="1003"/>
      <c r="AN246" s="1003"/>
      <c r="AS246" s="569"/>
      <c r="AT246" s="569"/>
      <c r="AU246" s="569"/>
      <c r="BD246" s="569"/>
      <c r="BE246" s="569"/>
      <c r="BF246" s="569"/>
    </row>
    <row r="247" spans="1:59" s="497" customFormat="1" ht="29" hidden="1">
      <c r="A247" s="680"/>
      <c r="B247" s="569"/>
      <c r="C247" s="569"/>
      <c r="D247" s="496"/>
      <c r="E247" s="496"/>
      <c r="J247" s="862"/>
      <c r="K247" s="551" t="s">
        <v>1065</v>
      </c>
      <c r="L247" s="547" t="s">
        <v>291</v>
      </c>
      <c r="M247" s="547"/>
      <c r="N247" s="525">
        <f>('Austria Medium 2030'!Q$8+'Austria Medium 2030'!R$8)/1000000</f>
        <v>5.275644117051783E-2</v>
      </c>
      <c r="O247" s="525"/>
      <c r="P247" s="525"/>
      <c r="Q247" s="525">
        <f>SUM(Austria_High_2030_2050!Q$8+Austria_High_2030_2050!R$8)/1000000</f>
        <v>8.0214965882960884E-2</v>
      </c>
      <c r="R247" s="525"/>
      <c r="S247" s="525"/>
      <c r="T247" s="525"/>
      <c r="U247" s="525"/>
      <c r="V247" s="525"/>
      <c r="W247" s="525"/>
      <c r="X247" s="525">
        <f>SUM(Austria_High_2030_2050!BL$8+Austria_High_2030_2050!BM$8)/1000000</f>
        <v>6.4694413970447118E-2</v>
      </c>
      <c r="Y247" s="525"/>
      <c r="Z247" s="525"/>
      <c r="AA247" s="527"/>
      <c r="AB247" s="527"/>
      <c r="AC247" s="527"/>
      <c r="AD247" s="527"/>
      <c r="AE247" s="970"/>
      <c r="AF247" s="970"/>
      <c r="AI247" s="498"/>
      <c r="AJ247" s="498"/>
      <c r="AK247" s="657"/>
      <c r="AL247" s="1002"/>
      <c r="AM247" s="1003"/>
      <c r="AN247" s="1003"/>
      <c r="AS247" s="569"/>
      <c r="AT247" s="569"/>
      <c r="AU247" s="569"/>
      <c r="BD247" s="569"/>
      <c r="BE247" s="569"/>
      <c r="BF247" s="569"/>
    </row>
    <row r="248" spans="1:59" s="497" customFormat="1" hidden="1">
      <c r="A248" s="680"/>
      <c r="B248" s="569"/>
      <c r="C248" s="569"/>
      <c r="D248" s="496"/>
      <c r="E248" s="496"/>
      <c r="J248" s="862"/>
      <c r="K248" s="551" t="s">
        <v>285</v>
      </c>
      <c r="L248" s="555">
        <v>5108</v>
      </c>
      <c r="M248" s="555"/>
      <c r="N248" s="525">
        <f>('Austria Medium 2030'!AS$8)/1000000</f>
        <v>0.22437597641824103</v>
      </c>
      <c r="O248" s="525"/>
      <c r="P248" s="525"/>
      <c r="Q248" s="525">
        <f>SUM(Austria_High_2030_2050!AS$8)/1000000</f>
        <v>0.25077315011450474</v>
      </c>
      <c r="R248" s="525"/>
      <c r="S248" s="525"/>
      <c r="T248" s="525"/>
      <c r="U248" s="525"/>
      <c r="V248" s="525"/>
      <c r="W248" s="525"/>
      <c r="X248" s="525">
        <f>Austria_High_2030_2050!CN$8/1000000</f>
        <v>0.24268564874320181</v>
      </c>
      <c r="Y248" s="525"/>
      <c r="Z248" s="525"/>
      <c r="AA248" s="527"/>
      <c r="AB248" s="527"/>
      <c r="AC248" s="527"/>
      <c r="AD248" s="527"/>
      <c r="AE248" s="970"/>
      <c r="AF248" s="970"/>
      <c r="AI248" s="498"/>
      <c r="AJ248" s="498"/>
      <c r="AK248" s="657"/>
      <c r="AL248" s="1002"/>
      <c r="AM248" s="1003"/>
      <c r="AN248" s="1003"/>
      <c r="AS248" s="569"/>
      <c r="AT248" s="569"/>
      <c r="AU248" s="569"/>
      <c r="BD248" s="569"/>
      <c r="BE248" s="569"/>
      <c r="BF248" s="569"/>
    </row>
    <row r="249" spans="1:59" s="497" customFormat="1" hidden="1">
      <c r="A249" s="680"/>
      <c r="B249" s="569"/>
      <c r="C249" s="569"/>
      <c r="D249" s="496"/>
      <c r="E249" s="496"/>
      <c r="J249" s="862"/>
      <c r="K249" s="551" t="s">
        <v>292</v>
      </c>
      <c r="L249" s="559">
        <v>4204</v>
      </c>
      <c r="M249" s="559"/>
      <c r="N249" s="525">
        <f>('Austria Medium 2030'!AD$8)/1000000</f>
        <v>0</v>
      </c>
      <c r="O249" s="494"/>
      <c r="P249" s="494"/>
      <c r="Q249" s="494">
        <f>Austria_High_2030_2050!AD$8/1000000</f>
        <v>0</v>
      </c>
      <c r="R249" s="494"/>
      <c r="S249" s="494"/>
      <c r="T249" s="494"/>
      <c r="U249" s="494"/>
      <c r="V249" s="494"/>
      <c r="W249" s="494"/>
      <c r="X249" s="494">
        <f>Austria_High_2030_2050!BY$8/1000000</f>
        <v>0</v>
      </c>
      <c r="Y249" s="494"/>
      <c r="Z249" s="494"/>
      <c r="AA249" s="527"/>
      <c r="AB249" s="527"/>
      <c r="AC249" s="527"/>
      <c r="AD249" s="527"/>
      <c r="AE249" s="970"/>
      <c r="AF249" s="970"/>
      <c r="AI249" s="498"/>
      <c r="AJ249" s="498"/>
      <c r="AK249" s="657"/>
      <c r="AL249" s="1002"/>
      <c r="AM249" s="1003"/>
      <c r="AN249" s="1003"/>
      <c r="AS249" s="569"/>
      <c r="AT249" s="569"/>
      <c r="AU249" s="569"/>
      <c r="BD249" s="569"/>
      <c r="BE249" s="569"/>
      <c r="BF249" s="569"/>
    </row>
    <row r="250" spans="1:59" s="497" customFormat="1" ht="29" hidden="1">
      <c r="A250" s="680"/>
      <c r="B250" s="569"/>
      <c r="C250" s="569"/>
      <c r="D250" s="496"/>
      <c r="E250" s="496"/>
      <c r="J250" s="862"/>
      <c r="K250" s="551" t="s">
        <v>274</v>
      </c>
      <c r="L250" s="547" t="s">
        <v>275</v>
      </c>
      <c r="M250" s="547"/>
      <c r="N250" s="525">
        <f>('Austria Medium 2030'!E$8+'Austria Medium 2030'!G$8+'Austria Medium 2030'!H$8+'Austria Medium 2030'!J$8)/1000000</f>
        <v>4.3076209855386564E-2</v>
      </c>
      <c r="O250" s="525"/>
      <c r="P250" s="525"/>
      <c r="Q250" s="525">
        <f>SUM(Austria_High_2030_2050!E$8+Austria_High_2030_2050!G$8+Austria_High_2030_2050!H66+Austria_High_2030_2050!J$8)/1000000</f>
        <v>5.4440656935360342E-2</v>
      </c>
      <c r="R250" s="525"/>
      <c r="S250" s="525"/>
      <c r="T250" s="525"/>
      <c r="U250" s="525"/>
      <c r="V250" s="525"/>
      <c r="W250" s="525"/>
      <c r="X250" s="525">
        <f>(Austria_High_2030_2050!AZ$8+Austria_High_2030_2050!BB$8+Austria_High_2030_2050!BC$8+Austria_High_2030_2050!BE$8)/1000000</f>
        <v>0.98636944902035451</v>
      </c>
      <c r="Y250" s="525"/>
      <c r="Z250" s="525"/>
      <c r="AA250" s="527"/>
      <c r="AB250" s="527"/>
      <c r="AC250" s="527"/>
      <c r="AD250" s="527"/>
      <c r="AE250" s="970"/>
      <c r="AF250" s="970"/>
      <c r="AI250" s="498"/>
      <c r="AJ250" s="498"/>
      <c r="AK250" s="657"/>
      <c r="AL250" s="1002"/>
      <c r="AM250" s="1003"/>
      <c r="AN250" s="1003"/>
      <c r="AS250" s="569"/>
      <c r="AT250" s="569"/>
      <c r="AU250" s="569"/>
      <c r="BD250" s="569"/>
      <c r="BE250" s="569"/>
      <c r="BF250" s="569"/>
    </row>
    <row r="251" spans="1:59" s="497" customFormat="1" hidden="1">
      <c r="A251" s="680"/>
      <c r="B251" s="569"/>
      <c r="C251" s="569"/>
      <c r="D251" s="496"/>
      <c r="E251" s="496"/>
      <c r="J251" s="862"/>
      <c r="K251" s="551" t="s">
        <v>276</v>
      </c>
      <c r="L251" s="547" t="s">
        <v>277</v>
      </c>
      <c r="M251" s="547"/>
      <c r="N251" s="525">
        <f>('Austria Medium 2030'!K$8+'Austria Medium 2030'!M$8)/1000000</f>
        <v>5.1413639238366511E-2</v>
      </c>
      <c r="O251" s="525"/>
      <c r="P251" s="525"/>
      <c r="Q251" s="525">
        <f>SUM(Austria_High_2030_2050!K$8+Austria_High_2030_2050!M$8)/1000000</f>
        <v>0.13507391098355814</v>
      </c>
      <c r="R251" s="525"/>
      <c r="S251" s="525"/>
      <c r="T251" s="525"/>
      <c r="U251" s="525"/>
      <c r="V251" s="525"/>
      <c r="W251" s="525"/>
      <c r="X251" s="525">
        <f>(Austria_High_2030_2050!BF$8+Austria_High_2030_2050!BH$8)/1000000</f>
        <v>0.31760793815025773</v>
      </c>
      <c r="Y251" s="525"/>
      <c r="Z251" s="525"/>
      <c r="AA251" s="527"/>
      <c r="AB251" s="527"/>
      <c r="AC251" s="527"/>
      <c r="AD251" s="527"/>
      <c r="AE251" s="970"/>
      <c r="AF251" s="970"/>
      <c r="AI251" s="498"/>
      <c r="AJ251" s="498"/>
      <c r="AK251" s="657"/>
      <c r="AL251" s="1002"/>
      <c r="AM251" s="1003"/>
      <c r="AN251" s="1003"/>
      <c r="AS251" s="569"/>
      <c r="AT251" s="569"/>
      <c r="AU251" s="569"/>
      <c r="BD251" s="569"/>
      <c r="BE251" s="569"/>
      <c r="BF251" s="569"/>
    </row>
    <row r="252" spans="1:59" s="497" customFormat="1" hidden="1">
      <c r="A252" s="680"/>
      <c r="B252" s="569"/>
      <c r="C252" s="569"/>
      <c r="D252" s="496"/>
      <c r="E252" s="496"/>
      <c r="J252" s="862"/>
      <c r="K252" s="551" t="s">
        <v>293</v>
      </c>
      <c r="L252" s="547" t="s">
        <v>294</v>
      </c>
      <c r="M252" s="547"/>
      <c r="N252" s="681">
        <f>('Austria Medium 2030'!C$8+'Austria Medium 2030'!D$8)/1000000</f>
        <v>1.4612937622</v>
      </c>
      <c r="O252" s="681"/>
      <c r="P252" s="681"/>
      <c r="Q252" s="681">
        <f>SUM(Austria_High_2030_2050!C$8+Austria_High_2030_2050!D$8)/1000000</f>
        <v>1.4612937622</v>
      </c>
      <c r="R252" s="681"/>
      <c r="S252" s="681"/>
      <c r="T252" s="681"/>
      <c r="U252" s="681"/>
      <c r="V252" s="681"/>
      <c r="W252" s="681"/>
      <c r="X252" s="681">
        <f>SUM(Austria_High_2030_2050!AX$8+Austria_High_2030_2050!AY$8)/1000000</f>
        <v>1.4618314138666668</v>
      </c>
      <c r="Y252" s="681"/>
      <c r="Z252" s="681"/>
      <c r="AA252" s="527"/>
      <c r="AB252" s="527"/>
      <c r="AC252" s="527"/>
      <c r="AD252" s="527"/>
      <c r="AE252" s="970"/>
      <c r="AF252" s="970"/>
      <c r="AI252" s="498"/>
      <c r="AJ252" s="498"/>
      <c r="AK252" s="657"/>
      <c r="AL252" s="1002"/>
      <c r="AM252" s="1003"/>
      <c r="AN252" s="1003"/>
      <c r="AS252" s="569"/>
      <c r="AT252" s="569"/>
      <c r="AU252" s="569"/>
      <c r="BD252" s="569"/>
      <c r="BE252" s="569"/>
      <c r="BF252" s="569"/>
    </row>
    <row r="253" spans="1:59" s="497" customFormat="1" ht="43.5" hidden="1">
      <c r="A253" s="680"/>
      <c r="B253" s="569"/>
      <c r="C253" s="569"/>
      <c r="D253" s="496"/>
      <c r="E253" s="496"/>
      <c r="J253" s="862"/>
      <c r="K253" s="551" t="s">
        <v>270</v>
      </c>
      <c r="L253" s="547" t="s">
        <v>271</v>
      </c>
      <c r="M253" s="547"/>
      <c r="N253" s="525">
        <f>('Austria Medium 2030'!U$8+'Austria Medium 2030'!V$8+'Austria Medium 2030'!W$8+'Austria Medium 2030'!X$8+'Austria Medium 2030'!Y$8+'Austria Medium 2030'!Z$8)/1000000</f>
        <v>1.7503165547670994</v>
      </c>
      <c r="O253" s="525"/>
      <c r="P253" s="525"/>
      <c r="Q253" s="525">
        <f>SUM(Austria_High_2030_2050!U$8+Austria_High_2030_2050!V$8+Austria_High_2030_2050!W$8+Austria_High_2030_2050!X$8+Austria_High_2030_2050!Y$8+Austria_High_2030_2050!Z$8)/1000000</f>
        <v>2.4423647173812064</v>
      </c>
      <c r="R253" s="525"/>
      <c r="S253" s="525"/>
      <c r="T253" s="525"/>
      <c r="U253" s="525"/>
      <c r="V253" s="525"/>
      <c r="W253" s="525"/>
      <c r="X253" s="525">
        <f>(Austria_High_2030_2050!BP$8+Austria_High_2030_2050!BQ$8+Austria_High_2030_2050!BR$8+Austria_High_2030_2050!BS$8+Austria_High_2030_2050!BT$8+Austria_High_2030_2050!BU$8)/1000000</f>
        <v>2.2469216754603125</v>
      </c>
      <c r="Y253" s="525"/>
      <c r="Z253" s="525"/>
      <c r="AA253" s="527"/>
      <c r="AB253" s="527"/>
      <c r="AC253" s="527"/>
      <c r="AD253" s="527"/>
      <c r="AE253" s="970"/>
      <c r="AF253" s="970"/>
      <c r="AI253" s="498"/>
      <c r="AJ253" s="498"/>
      <c r="AK253" s="657"/>
      <c r="AL253" s="1002"/>
      <c r="AM253" s="1003"/>
      <c r="AN253" s="1003"/>
      <c r="AS253" s="569"/>
      <c r="AT253" s="569"/>
      <c r="AU253" s="569"/>
      <c r="BD253" s="569"/>
      <c r="BE253" s="569"/>
      <c r="BF253" s="569"/>
    </row>
    <row r="254" spans="1:59" s="497" customFormat="1" hidden="1">
      <c r="A254" s="680"/>
      <c r="B254" s="569"/>
      <c r="C254" s="569"/>
      <c r="D254" s="496"/>
      <c r="E254" s="496"/>
      <c r="J254" s="862"/>
      <c r="K254" s="551" t="s">
        <v>295</v>
      </c>
      <c r="L254" s="547" t="s">
        <v>296</v>
      </c>
      <c r="M254" s="547"/>
      <c r="N254" s="525">
        <f>('Austria Medium 2030'!AT$8+'Austria Medium 2030'!AU$8)/1000000</f>
        <v>0.23254980324056534</v>
      </c>
      <c r="O254" s="525"/>
      <c r="P254" s="525"/>
      <c r="Q254" s="525">
        <f>SUM(Austria_High_2030_2050!AT$8+Austria_High_2030_2050!AU$8)/1000000</f>
        <v>0.31006640432075377</v>
      </c>
      <c r="R254" s="525"/>
      <c r="S254" s="525"/>
      <c r="T254" s="525"/>
      <c r="U254" s="525"/>
      <c r="V254" s="525"/>
      <c r="W254" s="525"/>
      <c r="X254" s="525">
        <f>SUM(Austria_High_2030_2050!CO$8+Austria_High_2030_2050!CP$8)/1000000</f>
        <v>0.34505279324583621</v>
      </c>
      <c r="Y254" s="525"/>
      <c r="Z254" s="525"/>
      <c r="AA254" s="527"/>
      <c r="AB254" s="527"/>
      <c r="AC254" s="527"/>
      <c r="AD254" s="527"/>
      <c r="AE254" s="970"/>
      <c r="AF254" s="970"/>
      <c r="AI254" s="498"/>
      <c r="AJ254" s="498"/>
      <c r="AK254" s="657"/>
      <c r="AL254" s="1002"/>
      <c r="AM254" s="1003"/>
      <c r="AN254" s="1003"/>
      <c r="AS254" s="569"/>
      <c r="AT254" s="569"/>
      <c r="AU254" s="569"/>
      <c r="BD254" s="569"/>
      <c r="BE254" s="569"/>
      <c r="BF254" s="569"/>
    </row>
    <row r="255" spans="1:59" s="497" customFormat="1" hidden="1">
      <c r="A255" s="680"/>
      <c r="B255" s="569"/>
      <c r="C255" s="569"/>
      <c r="D255" s="496"/>
      <c r="E255" s="496"/>
      <c r="J255" s="862"/>
      <c r="K255" s="560" t="s">
        <v>301</v>
      </c>
      <c r="L255" s="547"/>
      <c r="M255" s="547"/>
      <c r="N255" s="525"/>
      <c r="O255" s="525"/>
      <c r="P255" s="525"/>
      <c r="Q255" s="525"/>
      <c r="R255" s="525"/>
      <c r="S255" s="525"/>
      <c r="T255" s="525"/>
      <c r="U255" s="525"/>
      <c r="V255" s="525"/>
      <c r="W255" s="525"/>
      <c r="X255" s="525"/>
      <c r="Y255" s="525"/>
      <c r="Z255" s="525"/>
      <c r="AA255" s="527"/>
      <c r="AB255" s="527"/>
      <c r="AC255" s="527"/>
      <c r="AD255" s="527"/>
      <c r="AE255" s="970"/>
      <c r="AF255" s="970"/>
      <c r="AI255" s="498"/>
      <c r="AJ255" s="498"/>
      <c r="AK255" s="657"/>
      <c r="AL255" s="1002"/>
      <c r="AM255" s="1003"/>
      <c r="AN255" s="1003"/>
      <c r="AS255" s="569"/>
      <c r="AT255" s="569"/>
      <c r="AU255" s="569"/>
      <c r="BD255" s="569"/>
      <c r="BE255" s="569"/>
      <c r="BF255" s="569"/>
    </row>
    <row r="256" spans="1:59" hidden="1">
      <c r="A256" s="534" t="s">
        <v>19</v>
      </c>
      <c r="B256" s="677" t="s">
        <v>777</v>
      </c>
      <c r="C256" s="677" t="s">
        <v>54</v>
      </c>
      <c r="AA256" s="527">
        <v>0.43461267880872345</v>
      </c>
      <c r="AB256" s="527"/>
      <c r="AC256" s="527"/>
      <c r="AD256" s="527"/>
      <c r="AE256" s="969">
        <f t="shared" ref="AE256:AE257" si="295">1/4</f>
        <v>0.25</v>
      </c>
      <c r="AF256" s="969"/>
    </row>
    <row r="257" spans="1:59" hidden="1">
      <c r="A257" s="534" t="s">
        <v>19</v>
      </c>
      <c r="B257" s="677" t="s">
        <v>777</v>
      </c>
      <c r="C257" s="677" t="s">
        <v>54</v>
      </c>
      <c r="AA257" s="527">
        <v>0.43461267880872345</v>
      </c>
      <c r="AB257" s="527"/>
      <c r="AC257" s="527"/>
      <c r="AD257" s="527"/>
      <c r="AE257" s="969">
        <f t="shared" si="295"/>
        <v>0.25</v>
      </c>
      <c r="AF257" s="969"/>
    </row>
    <row r="258" spans="1:59" s="514" customFormat="1" hidden="1">
      <c r="A258" s="514">
        <v>10</v>
      </c>
      <c r="B258" s="564" t="s">
        <v>21</v>
      </c>
      <c r="C258" s="564" t="s">
        <v>55</v>
      </c>
      <c r="D258" s="515"/>
      <c r="E258" s="515"/>
      <c r="F258" s="514" t="s">
        <v>649</v>
      </c>
      <c r="J258" s="516"/>
      <c r="N258" s="537">
        <f>SUM(N259:N268)</f>
        <v>5.881969786548269</v>
      </c>
      <c r="Q258" s="537">
        <f>SUM(Q259:Q268)</f>
        <v>8.3469358269904177</v>
      </c>
      <c r="X258" s="537">
        <f>SUM(X259:X268)</f>
        <v>8.0797265754330194</v>
      </c>
      <c r="Y258" s="537"/>
      <c r="Z258" s="537"/>
      <c r="AA258" s="579">
        <v>0.28999999999999998</v>
      </c>
      <c r="AB258" s="579"/>
      <c r="AC258" s="579"/>
      <c r="AD258" s="579"/>
      <c r="AE258" s="969">
        <f>1/4</f>
        <v>0.25</v>
      </c>
      <c r="AF258" s="969"/>
      <c r="AI258" s="566"/>
      <c r="AJ258" s="566"/>
      <c r="AK258" s="782"/>
      <c r="AL258" s="1004"/>
      <c r="AM258" s="1005"/>
      <c r="AN258" s="1005"/>
      <c r="AS258" s="564"/>
      <c r="AT258" s="564"/>
      <c r="AU258" s="564"/>
      <c r="BD258" s="564"/>
      <c r="BE258" s="564"/>
      <c r="BF258" s="564"/>
    </row>
    <row r="259" spans="1:59" ht="29" hidden="1">
      <c r="B259" s="499"/>
      <c r="C259" s="499"/>
      <c r="K259" s="551" t="s">
        <v>272</v>
      </c>
      <c r="L259" s="547" t="s">
        <v>273</v>
      </c>
      <c r="M259" s="547"/>
      <c r="N259" s="525">
        <f>('Austria Medium 2030'!N$8+'Austria Medium 2030'!O$8+'Austria Medium 2030'!P$8)/1000000</f>
        <v>2.0661873996580922</v>
      </c>
      <c r="O259" s="525"/>
      <c r="P259" s="525"/>
      <c r="Q259" s="525">
        <f>SUM(Austria_High_2030_2050!N$8+Austria_High_2030_2050!O$8+Austria_High_2030_2050!P$8)/1000000</f>
        <v>3.6127082591720723</v>
      </c>
      <c r="R259" s="525"/>
      <c r="S259" s="525"/>
      <c r="T259" s="525"/>
      <c r="U259" s="525"/>
      <c r="V259" s="525"/>
      <c r="W259" s="525"/>
      <c r="X259" s="525">
        <f>(Austria_High_2030_2050!BI$8+Austria_High_2030_2050!BJ$8+Austria_High_2030_2050!BK$8)/1000000</f>
        <v>2.4145632429759436</v>
      </c>
      <c r="Y259" s="525"/>
      <c r="Z259" s="525"/>
      <c r="AA259" s="580"/>
      <c r="AB259" s="580"/>
      <c r="AC259" s="580"/>
      <c r="AD259" s="580"/>
      <c r="AE259" s="970"/>
      <c r="AF259" s="970"/>
    </row>
    <row r="260" spans="1:59" ht="30.65" hidden="1" customHeight="1">
      <c r="B260" s="499"/>
      <c r="C260" s="499"/>
      <c r="K260" s="551" t="s">
        <v>1065</v>
      </c>
      <c r="L260" s="547" t="s">
        <v>291</v>
      </c>
      <c r="M260" s="547"/>
      <c r="N260" s="525">
        <f>('Austria Medium 2030'!Q$8+'Austria Medium 2030'!R$8)/1000000</f>
        <v>5.275644117051783E-2</v>
      </c>
      <c r="O260" s="525"/>
      <c r="P260" s="525"/>
      <c r="Q260" s="525">
        <f>SUM(Austria_High_2030_2050!Q$8+Austria_High_2030_2050!R$8)/1000000</f>
        <v>8.0214965882960884E-2</v>
      </c>
      <c r="R260" s="525"/>
      <c r="S260" s="525"/>
      <c r="T260" s="525"/>
      <c r="U260" s="525"/>
      <c r="V260" s="525"/>
      <c r="W260" s="525"/>
      <c r="X260" s="525">
        <f>SUM(Austria_High_2030_2050!BL$8+Austria_High_2030_2050!BM$8)/1000000</f>
        <v>6.4694413970447118E-2</v>
      </c>
      <c r="Y260" s="525"/>
      <c r="Z260" s="525"/>
      <c r="AA260" s="580"/>
      <c r="AB260" s="580"/>
      <c r="AC260" s="580"/>
      <c r="AD260" s="580"/>
      <c r="AE260" s="970"/>
      <c r="AF260" s="970"/>
    </row>
    <row r="261" spans="1:59" hidden="1">
      <c r="B261" s="499"/>
      <c r="C261" s="499"/>
      <c r="K261" s="551" t="s">
        <v>285</v>
      </c>
      <c r="L261" s="555">
        <v>5108</v>
      </c>
      <c r="M261" s="555"/>
      <c r="N261" s="525">
        <f>('Austria Medium 2030'!AS$8)/1000000</f>
        <v>0.22437597641824103</v>
      </c>
      <c r="O261" s="525"/>
      <c r="P261" s="525"/>
      <c r="Q261" s="525">
        <f>SUM(Austria_High_2030_2050!AS$8)/1000000</f>
        <v>0.25077315011450474</v>
      </c>
      <c r="R261" s="525"/>
      <c r="S261" s="525"/>
      <c r="T261" s="525"/>
      <c r="U261" s="525"/>
      <c r="V261" s="525"/>
      <c r="W261" s="525"/>
      <c r="X261" s="525">
        <f>Austria_High_2030_2050!CN$8/1000000</f>
        <v>0.24268564874320181</v>
      </c>
      <c r="Y261" s="525"/>
      <c r="Z261" s="525"/>
      <c r="AA261" s="580"/>
      <c r="AB261" s="580"/>
      <c r="AC261" s="580"/>
      <c r="AD261" s="580"/>
      <c r="AE261" s="970"/>
      <c r="AF261" s="970"/>
    </row>
    <row r="262" spans="1:59" hidden="1">
      <c r="B262" s="499"/>
      <c r="C262" s="499"/>
      <c r="K262" s="551" t="s">
        <v>292</v>
      </c>
      <c r="L262" s="559">
        <v>4204</v>
      </c>
      <c r="M262" s="559"/>
      <c r="N262" s="525">
        <f>('Austria Medium 2030'!AD$8)/1000000</f>
        <v>0</v>
      </c>
      <c r="Q262" s="494">
        <f>Austria_High_2030_2050!AD$8/1000000</f>
        <v>0</v>
      </c>
      <c r="X262" s="494">
        <f>Austria_High_2030_2050!BY$8/1000000</f>
        <v>0</v>
      </c>
      <c r="AA262" s="580"/>
      <c r="AB262" s="580"/>
      <c r="AC262" s="580"/>
      <c r="AD262" s="580"/>
      <c r="AE262" s="970"/>
      <c r="AF262" s="970"/>
    </row>
    <row r="263" spans="1:59" ht="29" hidden="1">
      <c r="B263" s="499"/>
      <c r="C263" s="499"/>
      <c r="K263" s="551" t="s">
        <v>274</v>
      </c>
      <c r="L263" s="547" t="s">
        <v>275</v>
      </c>
      <c r="M263" s="547"/>
      <c r="N263" s="525">
        <f>('Austria Medium 2030'!E$8+'Austria Medium 2030'!G$8+'Austria Medium 2030'!H$8+'Austria Medium 2030'!J$8)/1000000</f>
        <v>4.3076209855386564E-2</v>
      </c>
      <c r="O263" s="525"/>
      <c r="P263" s="525"/>
      <c r="Q263" s="525">
        <f>SUM(Austria_High_2030_2050!E$8+Austria_High_2030_2050!G$8+Austria_High_2030_2050!H79+Austria_High_2030_2050!J$8)/1000000</f>
        <v>5.4440656935360342E-2</v>
      </c>
      <c r="R263" s="525"/>
      <c r="S263" s="525"/>
      <c r="T263" s="525"/>
      <c r="U263" s="525"/>
      <c r="V263" s="525"/>
      <c r="W263" s="525"/>
      <c r="X263" s="525">
        <f>(Austria_High_2030_2050!AZ$8+Austria_High_2030_2050!BB$8+Austria_High_2030_2050!BC$8+Austria_High_2030_2050!BE$8)/1000000</f>
        <v>0.98636944902035451</v>
      </c>
      <c r="Y263" s="525"/>
      <c r="Z263" s="525"/>
      <c r="AA263" s="580"/>
      <c r="AB263" s="580"/>
      <c r="AC263" s="580"/>
      <c r="AD263" s="580"/>
      <c r="AE263" s="970"/>
      <c r="AF263" s="970"/>
    </row>
    <row r="264" spans="1:59" hidden="1">
      <c r="B264" s="499"/>
      <c r="C264" s="499"/>
      <c r="K264" s="551" t="s">
        <v>276</v>
      </c>
      <c r="L264" s="547" t="s">
        <v>277</v>
      </c>
      <c r="M264" s="547"/>
      <c r="N264" s="525">
        <f>('Austria Medium 2030'!K$8+'Austria Medium 2030'!M$8)/1000000</f>
        <v>5.1413639238366511E-2</v>
      </c>
      <c r="O264" s="525"/>
      <c r="P264" s="525"/>
      <c r="Q264" s="525">
        <f>SUM(Austria_High_2030_2050!K$8+Austria_High_2030_2050!M$8)/1000000</f>
        <v>0.13507391098355814</v>
      </c>
      <c r="R264" s="525"/>
      <c r="S264" s="525"/>
      <c r="T264" s="525"/>
      <c r="U264" s="525"/>
      <c r="V264" s="525"/>
      <c r="W264" s="525"/>
      <c r="X264" s="525">
        <f>(Austria_High_2030_2050!BF$8+Austria_High_2030_2050!BH$8)/1000000</f>
        <v>0.31760793815025773</v>
      </c>
      <c r="Y264" s="525"/>
      <c r="Z264" s="525"/>
      <c r="AA264" s="580"/>
      <c r="AB264" s="580"/>
      <c r="AC264" s="580"/>
      <c r="AD264" s="580"/>
      <c r="AE264" s="970"/>
      <c r="AF264" s="970"/>
    </row>
    <row r="265" spans="1:59" hidden="1">
      <c r="B265" s="499"/>
      <c r="C265" s="499"/>
      <c r="K265" s="551" t="s">
        <v>293</v>
      </c>
      <c r="L265" s="547" t="s">
        <v>294</v>
      </c>
      <c r="M265" s="547"/>
      <c r="N265" s="681">
        <f>('Austria Medium 2030'!C$8+'Austria Medium 2030'!D$8)/1000000</f>
        <v>1.4612937622</v>
      </c>
      <c r="O265" s="681"/>
      <c r="P265" s="681"/>
      <c r="Q265" s="681">
        <f>SUM(Austria_High_2030_2050!C$8+Austria_High_2030_2050!D$8)/1000000</f>
        <v>1.4612937622</v>
      </c>
      <c r="R265" s="681"/>
      <c r="S265" s="681"/>
      <c r="T265" s="681"/>
      <c r="U265" s="681"/>
      <c r="V265" s="681"/>
      <c r="W265" s="681"/>
      <c r="X265" s="681">
        <f>SUM(Austria_High_2030_2050!AX$8+Austria_High_2030_2050!AY$8)/1000000</f>
        <v>1.4618314138666668</v>
      </c>
      <c r="Y265" s="681"/>
      <c r="Z265" s="681"/>
      <c r="AA265" s="580"/>
      <c r="AB265" s="580"/>
      <c r="AC265" s="580"/>
      <c r="AD265" s="580"/>
      <c r="AE265" s="970"/>
      <c r="AF265" s="970"/>
    </row>
    <row r="266" spans="1:59" ht="43.5" hidden="1">
      <c r="B266" s="499"/>
      <c r="C266" s="499"/>
      <c r="K266" s="551" t="s">
        <v>270</v>
      </c>
      <c r="L266" s="547" t="s">
        <v>271</v>
      </c>
      <c r="M266" s="547"/>
      <c r="N266" s="525">
        <f>('Austria Medium 2030'!U$8+'Austria Medium 2030'!V$8+'Austria Medium 2030'!W$8+'Austria Medium 2030'!X$8+'Austria Medium 2030'!Y$8+'Austria Medium 2030'!Z$8)/1000000</f>
        <v>1.7503165547670994</v>
      </c>
      <c r="O266" s="525"/>
      <c r="P266" s="525"/>
      <c r="Q266" s="525">
        <f>SUM(Austria_High_2030_2050!U$8+Austria_High_2030_2050!V$8+Austria_High_2030_2050!W$8+Austria_High_2030_2050!X$8+Austria_High_2030_2050!Y$8+Austria_High_2030_2050!Z$8)/1000000</f>
        <v>2.4423647173812064</v>
      </c>
      <c r="R266" s="525"/>
      <c r="S266" s="525"/>
      <c r="T266" s="525"/>
      <c r="U266" s="525"/>
      <c r="V266" s="525"/>
      <c r="W266" s="525"/>
      <c r="X266" s="525">
        <f>(Austria_High_2030_2050!BP$8+Austria_High_2030_2050!BQ$8+Austria_High_2030_2050!BR$8+Austria_High_2030_2050!BS$8+Austria_High_2030_2050!BT$8+Austria_High_2030_2050!BU$8)/1000000</f>
        <v>2.2469216754603125</v>
      </c>
      <c r="Y266" s="525"/>
      <c r="Z266" s="525"/>
      <c r="AA266" s="580"/>
      <c r="AB266" s="580"/>
      <c r="AC266" s="580"/>
      <c r="AD266" s="580"/>
      <c r="AE266" s="970"/>
      <c r="AF266" s="970"/>
    </row>
    <row r="267" spans="1:59" hidden="1">
      <c r="B267" s="499"/>
      <c r="C267" s="499"/>
      <c r="K267" s="551" t="s">
        <v>295</v>
      </c>
      <c r="L267" s="547" t="s">
        <v>296</v>
      </c>
      <c r="M267" s="547"/>
      <c r="N267" s="525">
        <f>('Austria Medium 2030'!AT$8+'Austria Medium 2030'!AU$8)/1000000</f>
        <v>0.23254980324056534</v>
      </c>
      <c r="O267" s="525"/>
      <c r="P267" s="525"/>
      <c r="Q267" s="525">
        <f>SUM(Austria_High_2030_2050!AT$8+Austria_High_2030_2050!AU$8)/1000000</f>
        <v>0.31006640432075377</v>
      </c>
      <c r="R267" s="525"/>
      <c r="S267" s="525"/>
      <c r="T267" s="525"/>
      <c r="U267" s="525"/>
      <c r="V267" s="525"/>
      <c r="W267" s="525"/>
      <c r="X267" s="525">
        <f>SUM(Austria_High_2030_2050!CO$8+Austria_High_2030_2050!CP$8)/1000000</f>
        <v>0.34505279324583621</v>
      </c>
      <c r="Y267" s="525"/>
      <c r="Z267" s="525"/>
      <c r="AA267" s="580"/>
      <c r="AB267" s="580"/>
      <c r="AC267" s="580"/>
      <c r="AD267" s="580"/>
      <c r="AE267" s="970"/>
      <c r="AF267" s="970"/>
    </row>
    <row r="268" spans="1:59" hidden="1">
      <c r="B268" s="499"/>
      <c r="C268" s="499"/>
      <c r="K268" s="560" t="s">
        <v>301</v>
      </c>
      <c r="L268" s="561"/>
      <c r="M268" s="561"/>
      <c r="N268" s="525"/>
      <c r="O268" s="525"/>
      <c r="P268" s="525"/>
      <c r="Q268" s="525"/>
      <c r="R268" s="525"/>
      <c r="S268" s="525"/>
      <c r="T268" s="525"/>
      <c r="U268" s="525"/>
      <c r="V268" s="525"/>
      <c r="W268" s="525"/>
      <c r="X268" s="525"/>
      <c r="Y268" s="525"/>
      <c r="Z268" s="525"/>
      <c r="AA268" s="580"/>
      <c r="AB268" s="580"/>
      <c r="AC268" s="580"/>
      <c r="AD268" s="580"/>
      <c r="AE268" s="970"/>
      <c r="AF268" s="970"/>
    </row>
    <row r="269" spans="1:59" s="496" customFormat="1">
      <c r="A269" s="515" t="s">
        <v>19</v>
      </c>
      <c r="B269" s="515" t="s">
        <v>959</v>
      </c>
      <c r="C269" s="611" t="s">
        <v>54</v>
      </c>
      <c r="D269" s="515" t="s">
        <v>559</v>
      </c>
      <c r="E269" s="515" t="s">
        <v>1188</v>
      </c>
      <c r="F269" s="515" t="s">
        <v>964</v>
      </c>
      <c r="G269" s="515"/>
      <c r="H269" s="515"/>
      <c r="I269" s="515"/>
      <c r="J269" s="859"/>
      <c r="K269" s="612"/>
      <c r="L269" s="610"/>
      <c r="M269" s="610"/>
      <c r="N269" s="515"/>
      <c r="O269" s="515"/>
      <c r="P269" s="515"/>
      <c r="Q269" s="515"/>
      <c r="R269" s="515"/>
      <c r="S269" s="515"/>
      <c r="T269" s="515"/>
      <c r="U269" s="515"/>
      <c r="V269" s="515"/>
      <c r="W269" s="515"/>
      <c r="X269" s="515"/>
      <c r="Y269" s="515"/>
      <c r="Z269" s="515"/>
      <c r="AA269" s="515"/>
      <c r="AB269" s="515"/>
      <c r="AC269" s="515"/>
      <c r="AD269" s="515"/>
      <c r="AE269" s="981"/>
      <c r="AF269" s="965"/>
      <c r="AK269" s="524"/>
      <c r="AL269" s="1002"/>
      <c r="AM269" s="1003"/>
      <c r="AN269" s="1003"/>
      <c r="AS269" s="524"/>
      <c r="AT269" s="524"/>
      <c r="AU269" s="524"/>
      <c r="BD269" s="524"/>
      <c r="BE269" s="524"/>
      <c r="BF269" s="524"/>
    </row>
    <row r="270" spans="1:59">
      <c r="K270" s="567" t="s">
        <v>299</v>
      </c>
      <c r="L270" s="561"/>
      <c r="M270" s="561"/>
      <c r="N270" s="494">
        <v>7.3999999999999996E-2</v>
      </c>
      <c r="Q270" s="494">
        <v>7.3999999999999996E-2</v>
      </c>
      <c r="X270" s="591"/>
      <c r="AA270" s="591">
        <v>0.43</v>
      </c>
      <c r="AB270" s="591"/>
      <c r="AC270" s="591"/>
      <c r="AD270" s="591"/>
      <c r="AE270" s="977"/>
      <c r="AF270" s="963">
        <f>1/'IVCs relevant 2040-2050'!T28</f>
        <v>0.5</v>
      </c>
    </row>
    <row r="271" spans="1:59" s="515" customFormat="1">
      <c r="A271" s="598" t="s">
        <v>22</v>
      </c>
      <c r="B271" s="563" t="s">
        <v>23</v>
      </c>
      <c r="C271" s="563" t="s">
        <v>57</v>
      </c>
      <c r="D271" s="563" t="s">
        <v>1185</v>
      </c>
      <c r="E271" s="563" t="s">
        <v>90</v>
      </c>
      <c r="F271" s="563" t="s">
        <v>643</v>
      </c>
      <c r="J271" s="859"/>
      <c r="K271" s="515" t="s">
        <v>950</v>
      </c>
      <c r="N271" s="593">
        <f>SUM(N272:N281)</f>
        <v>5.881969786548269</v>
      </c>
      <c r="O271" s="593">
        <f t="shared" ref="O271:X271" si="296">SUM(O272:O281)</f>
        <v>0</v>
      </c>
      <c r="P271" s="593">
        <f t="shared" si="296"/>
        <v>0</v>
      </c>
      <c r="Q271" s="593">
        <f t="shared" si="296"/>
        <v>8.3469358269904177</v>
      </c>
      <c r="R271" s="593">
        <f t="shared" si="296"/>
        <v>0</v>
      </c>
      <c r="S271" s="593">
        <f t="shared" si="296"/>
        <v>0</v>
      </c>
      <c r="T271" s="593">
        <f t="shared" si="296"/>
        <v>0</v>
      </c>
      <c r="U271" s="593">
        <f t="shared" si="296"/>
        <v>0</v>
      </c>
      <c r="V271" s="593">
        <f t="shared" si="296"/>
        <v>0</v>
      </c>
      <c r="W271" s="593">
        <f t="shared" si="296"/>
        <v>0</v>
      </c>
      <c r="X271" s="593">
        <f t="shared" si="296"/>
        <v>8.0797265754330194</v>
      </c>
      <c r="Y271" s="593"/>
      <c r="Z271" s="593"/>
      <c r="AA271" s="594"/>
      <c r="AB271" s="594"/>
      <c r="AC271" s="594"/>
      <c r="AD271" s="594"/>
      <c r="AE271" s="969"/>
      <c r="AF271" s="969"/>
      <c r="AG271" s="593">
        <f>SUM(AG272:AG281)</f>
        <v>9.8145989850809884E-2</v>
      </c>
      <c r="AH271" s="668">
        <f>SUM(AH272:AH281)</f>
        <v>1141.4378619649192</v>
      </c>
      <c r="AI271" s="668">
        <f t="shared" ref="AI271:AJ271" si="297">SUM(AI272:AI281)</f>
        <v>0.13396169239762845</v>
      </c>
      <c r="AJ271" s="668">
        <f t="shared" si="297"/>
        <v>1557.9744825844186</v>
      </c>
      <c r="AK271" s="563"/>
      <c r="AL271" s="1004"/>
      <c r="AM271" s="1005"/>
      <c r="AN271" s="1005"/>
      <c r="AO271" s="593">
        <f>SUM(AO272:AO281)</f>
        <v>0.12971776709859395</v>
      </c>
      <c r="AP271" s="593">
        <f t="shared" ref="AP271:BG271" si="298">SUM(AP272:AP281)</f>
        <v>0</v>
      </c>
      <c r="AQ271" s="593">
        <f t="shared" si="298"/>
        <v>0</v>
      </c>
      <c r="AR271" s="593">
        <f t="shared" si="298"/>
        <v>0</v>
      </c>
      <c r="AS271" s="593">
        <f t="shared" si="298"/>
        <v>0</v>
      </c>
      <c r="AT271" s="593">
        <f t="shared" si="298"/>
        <v>0</v>
      </c>
      <c r="AU271" s="593">
        <f t="shared" si="298"/>
        <v>0</v>
      </c>
      <c r="AV271" s="593">
        <f t="shared" si="298"/>
        <v>0</v>
      </c>
      <c r="AW271" s="593">
        <f t="shared" si="298"/>
        <v>0</v>
      </c>
      <c r="AX271" s="593">
        <f t="shared" si="298"/>
        <v>0</v>
      </c>
      <c r="AY271" s="593">
        <f t="shared" si="298"/>
        <v>0</v>
      </c>
      <c r="AZ271" s="593">
        <f t="shared" si="298"/>
        <v>0</v>
      </c>
      <c r="BA271" s="593">
        <f t="shared" si="298"/>
        <v>0</v>
      </c>
      <c r="BB271" s="593">
        <f t="shared" si="298"/>
        <v>0</v>
      </c>
      <c r="BC271" s="593">
        <f t="shared" si="298"/>
        <v>0</v>
      </c>
      <c r="BD271" s="593">
        <f t="shared" si="298"/>
        <v>0</v>
      </c>
      <c r="BE271" s="593">
        <f t="shared" si="298"/>
        <v>0</v>
      </c>
      <c r="BF271" s="593">
        <f t="shared" si="298"/>
        <v>0</v>
      </c>
      <c r="BG271" s="593">
        <f t="shared" si="298"/>
        <v>1508.6176313566475</v>
      </c>
    </row>
    <row r="272" spans="1:59" ht="15.65" customHeight="1">
      <c r="A272" s="534"/>
      <c r="B272" s="499"/>
      <c r="C272" s="499"/>
      <c r="K272" s="551" t="s">
        <v>272</v>
      </c>
      <c r="L272" s="547" t="s">
        <v>273</v>
      </c>
      <c r="M272" s="547"/>
      <c r="N272" s="525">
        <f>('Austria Medium 2030'!N$8+'Austria Medium 2030'!O$8+'Austria Medium 2030'!P$8)/1000000</f>
        <v>2.0661873996580922</v>
      </c>
      <c r="O272" s="525"/>
      <c r="P272" s="525"/>
      <c r="Q272" s="525">
        <f>SUM(Austria_High_2030_2050!N$8+Austria_High_2030_2050!O$8+Austria_High_2030_2050!P$8)/1000000</f>
        <v>3.6127082591720723</v>
      </c>
      <c r="R272" s="525"/>
      <c r="S272" s="525"/>
      <c r="T272" s="525"/>
      <c r="U272" s="525"/>
      <c r="V272" s="525"/>
      <c r="W272" s="525"/>
      <c r="X272" s="525">
        <f>(Austria_High_2030_2050!BI$8+Austria_High_2030_2050!BJ$8+Austria_High_2030_2050!BK$8)/1000000</f>
        <v>2.4145632429759436</v>
      </c>
      <c r="Y272" s="525"/>
      <c r="Z272" s="525"/>
      <c r="AA272" s="527">
        <f>'Conversion factors selected IV '!L$75</f>
        <v>9.2423830325648368E-2</v>
      </c>
      <c r="AB272" s="527"/>
      <c r="AC272" s="527"/>
      <c r="AD272" s="527"/>
      <c r="AE272" s="977">
        <f>1/'IVCs relevant in 2030'!R$8</f>
        <v>0.14285714285714285</v>
      </c>
      <c r="AF272" s="972">
        <f>1/'IVCs relevant 2040-2050'!T$8</f>
        <v>0.14285714285714285</v>
      </c>
      <c r="AG272" s="683">
        <f t="shared" ref="AG272:AG280" si="299">N272*AA272*AE272</f>
        <v>2.7280707663856017E-2</v>
      </c>
      <c r="AH272" s="691">
        <f t="shared" ref="AH272:AH281" si="300">AG272*11630</f>
        <v>317.27463013064545</v>
      </c>
      <c r="AI272" s="592">
        <f t="shared" ref="AI272:AI281" si="301">Q272*AA272*AE272</f>
        <v>4.7700047880255433E-2</v>
      </c>
      <c r="AJ272" s="531">
        <f t="shared" ref="AJ272:AJ280" si="302">AI272*11630</f>
        <v>554.75155684737069</v>
      </c>
      <c r="AO272" s="525">
        <f t="shared" ref="AO272:AO281" si="303">X272*AA272*AF272</f>
        <v>3.1880454782765126E-2</v>
      </c>
      <c r="BG272" s="525">
        <f t="shared" ref="BG272:BG281" si="304">AO272*11630</f>
        <v>370.76968912355841</v>
      </c>
    </row>
    <row r="273" spans="1:59" ht="22.5" customHeight="1">
      <c r="A273" s="534"/>
      <c r="B273" s="499"/>
      <c r="C273" s="499"/>
      <c r="K273" s="551" t="s">
        <v>1065</v>
      </c>
      <c r="L273" s="547" t="s">
        <v>291</v>
      </c>
      <c r="M273" s="547"/>
      <c r="N273" s="525">
        <f>('Austria Medium 2030'!Q$8+'Austria Medium 2030'!R$8)/1000000</f>
        <v>5.275644117051783E-2</v>
      </c>
      <c r="O273" s="525"/>
      <c r="P273" s="525"/>
      <c r="Q273" s="525">
        <f>SUM(Austria_High_2030_2050!Q$8+Austria_High_2030_2050!R$8)/1000000</f>
        <v>8.0214965882960884E-2</v>
      </c>
      <c r="R273" s="525"/>
      <c r="S273" s="525"/>
      <c r="T273" s="525"/>
      <c r="U273" s="525"/>
      <c r="V273" s="525"/>
      <c r="W273" s="525"/>
      <c r="X273" s="525">
        <f>SUM(Austria_High_2030_2050!BL$8+Austria_High_2030_2050!BM$8)/1000000</f>
        <v>6.4694413970447118E-2</v>
      </c>
      <c r="Y273" s="525"/>
      <c r="Z273" s="525"/>
      <c r="AA273" s="527">
        <f>'Conversion factors selected IV '!L$76</f>
        <v>9.2423830325648368E-2</v>
      </c>
      <c r="AB273" s="527"/>
      <c r="AC273" s="527"/>
      <c r="AD273" s="527"/>
      <c r="AE273" s="977">
        <f>1/'IVCs relevant in 2030'!R$9</f>
        <v>0.16666666666666666</v>
      </c>
      <c r="AF273" s="977">
        <f>1/'IVCs relevant 2040-2050'!T$9</f>
        <v>0.16666666666666666</v>
      </c>
      <c r="AG273" s="683">
        <f t="shared" si="299"/>
        <v>8.1265872788816485E-4</v>
      </c>
      <c r="AH273" s="691">
        <f t="shared" si="300"/>
        <v>9.4512210053393577</v>
      </c>
      <c r="AI273" s="592">
        <f t="shared" si="301"/>
        <v>1.235629066057408E-3</v>
      </c>
      <c r="AJ273" s="531">
        <f t="shared" si="302"/>
        <v>14.370366038247656</v>
      </c>
      <c r="AO273" s="525">
        <f t="shared" si="303"/>
        <v>9.965509233036433E-4</v>
      </c>
      <c r="BG273" s="525">
        <f t="shared" si="304"/>
        <v>11.589887238021372</v>
      </c>
    </row>
    <row r="274" spans="1:59">
      <c r="A274" s="534"/>
      <c r="B274" s="499"/>
      <c r="C274" s="499"/>
      <c r="K274" s="551" t="s">
        <v>285</v>
      </c>
      <c r="L274" s="555">
        <v>5108</v>
      </c>
      <c r="M274" s="555"/>
      <c r="N274" s="525">
        <f>('Austria Medium 2030'!AS$8)/1000000</f>
        <v>0.22437597641824103</v>
      </c>
      <c r="O274" s="525"/>
      <c r="P274" s="525"/>
      <c r="Q274" s="525">
        <f>SUM(Austria_High_2030_2050!AS$8)/1000000</f>
        <v>0.25077315011450474</v>
      </c>
      <c r="R274" s="525"/>
      <c r="S274" s="525"/>
      <c r="T274" s="525"/>
      <c r="U274" s="525"/>
      <c r="V274" s="525"/>
      <c r="W274" s="525"/>
      <c r="X274" s="525">
        <f>Austria_High_2030_2050!CN$8/1000000</f>
        <v>0.24268564874320181</v>
      </c>
      <c r="Y274" s="525"/>
      <c r="Z274" s="525"/>
      <c r="AA274" s="527">
        <f>'Conversion factors selected IV '!L$77</f>
        <v>9.2423830325648368E-2</v>
      </c>
      <c r="AB274" s="527"/>
      <c r="AC274" s="527"/>
      <c r="AD274" s="527"/>
      <c r="AE274" s="977">
        <f>1/'IVCs relevant in 2030'!R$18</f>
        <v>0.25</v>
      </c>
      <c r="AF274" s="963">
        <f>1/'IVCs relevant 2040-2050'!T$18</f>
        <v>0.25</v>
      </c>
      <c r="AG274" s="683">
        <f t="shared" si="299"/>
        <v>5.1844217934077967E-3</v>
      </c>
      <c r="AH274" s="691">
        <f t="shared" si="300"/>
        <v>60.294825457332678</v>
      </c>
      <c r="AI274" s="592">
        <f t="shared" si="301"/>
        <v>5.794353769102833E-3</v>
      </c>
      <c r="AJ274" s="531">
        <f t="shared" si="302"/>
        <v>67.388334334665942</v>
      </c>
      <c r="AO274" s="525">
        <f t="shared" si="303"/>
        <v>5.6074843054778958E-3</v>
      </c>
      <c r="BG274" s="525">
        <f t="shared" si="304"/>
        <v>65.215042472707935</v>
      </c>
    </row>
    <row r="275" spans="1:59">
      <c r="A275" s="534"/>
      <c r="B275" s="499"/>
      <c r="C275" s="499"/>
      <c r="K275" s="551" t="s">
        <v>292</v>
      </c>
      <c r="L275" s="559">
        <v>4204</v>
      </c>
      <c r="M275" s="559"/>
      <c r="N275" s="525">
        <f>('Austria Medium 2030'!AD$8)/1000000</f>
        <v>0</v>
      </c>
      <c r="Q275" s="494">
        <f>Austria_High_2030_2050!AD$8/1000000</f>
        <v>0</v>
      </c>
      <c r="X275" s="494">
        <f>Austria_High_2030_2050!BY$8/1000000</f>
        <v>0</v>
      </c>
      <c r="AA275" s="527">
        <f>'Conversion factors selected IV '!L$78</f>
        <v>9.2423830325648368E-2</v>
      </c>
      <c r="AB275" s="527"/>
      <c r="AC275" s="527"/>
      <c r="AD275" s="527"/>
      <c r="AE275" s="977">
        <f>1/'IVCs relevant in 2030'!R$13</f>
        <v>0.2</v>
      </c>
      <c r="AF275" s="963">
        <f>1/'IVCs relevant 2040-2050'!T$13</f>
        <v>0.2</v>
      </c>
      <c r="AG275" s="683">
        <f t="shared" si="299"/>
        <v>0</v>
      </c>
      <c r="AH275" s="691">
        <f t="shared" si="300"/>
        <v>0</v>
      </c>
      <c r="AI275" s="592">
        <f t="shared" si="301"/>
        <v>0</v>
      </c>
      <c r="AJ275" s="531">
        <f t="shared" si="302"/>
        <v>0</v>
      </c>
      <c r="AO275" s="525">
        <f t="shared" si="303"/>
        <v>0</v>
      </c>
      <c r="BG275" s="525">
        <f t="shared" si="304"/>
        <v>0</v>
      </c>
    </row>
    <row r="276" spans="1:59" ht="18" customHeight="1">
      <c r="A276" s="534"/>
      <c r="B276" s="499"/>
      <c r="C276" s="499"/>
      <c r="K276" s="551" t="s">
        <v>274</v>
      </c>
      <c r="L276" s="547" t="s">
        <v>275</v>
      </c>
      <c r="M276" s="547"/>
      <c r="N276" s="525">
        <f>('Austria Medium 2030'!E$8+'Austria Medium 2030'!G$8+'Austria Medium 2030'!H$8+'Austria Medium 2030'!J$8)/1000000</f>
        <v>4.3076209855386564E-2</v>
      </c>
      <c r="O276" s="525"/>
      <c r="P276" s="525"/>
      <c r="Q276" s="525">
        <f>SUM(Austria_High_2030_2050!E$8+Austria_High_2030_2050!G$8+Austria_High_2030_2050!H90+Austria_High_2030_2050!J$8)/1000000</f>
        <v>5.4440656935360342E-2</v>
      </c>
      <c r="R276" s="525"/>
      <c r="S276" s="525"/>
      <c r="T276" s="525"/>
      <c r="U276" s="525"/>
      <c r="V276" s="525"/>
      <c r="W276" s="525"/>
      <c r="X276" s="525">
        <f>(Austria_High_2030_2050!AZ$8+Austria_High_2030_2050!BB$8+Austria_High_2030_2050!BC$8+Austria_High_2030_2050!BE$8)/1000000</f>
        <v>0.98636944902035451</v>
      </c>
      <c r="Y276" s="525"/>
      <c r="Z276" s="525"/>
      <c r="AA276" s="527">
        <f>'Conversion factors selected IV '!L$79</f>
        <v>9.2423830325648368E-2</v>
      </c>
      <c r="AB276" s="527"/>
      <c r="AC276" s="527"/>
      <c r="AD276" s="527"/>
      <c r="AE276" s="977">
        <f>1/'IVCs relevant in 2030'!R$2</f>
        <v>0.14285714285714285</v>
      </c>
      <c r="AF276" s="972">
        <f>1/'IVCs relevant 2040-2050'!T$2</f>
        <v>0.14285714285714285</v>
      </c>
      <c r="AG276" s="683">
        <f t="shared" si="299"/>
        <v>5.6875261582089564E-4</v>
      </c>
      <c r="AH276" s="691">
        <f t="shared" si="300"/>
        <v>6.6145929219970165</v>
      </c>
      <c r="AI276" s="592">
        <f t="shared" si="301"/>
        <v>7.1880200563008228E-4</v>
      </c>
      <c r="AJ276" s="531">
        <f t="shared" si="302"/>
        <v>8.3596673254778562</v>
      </c>
      <c r="AO276" s="525">
        <f t="shared" si="303"/>
        <v>1.3023434656380072E-2</v>
      </c>
      <c r="BG276" s="525">
        <f t="shared" si="304"/>
        <v>151.46254505370024</v>
      </c>
    </row>
    <row r="277" spans="1:59">
      <c r="A277" s="534"/>
      <c r="B277" s="499"/>
      <c r="C277" s="499"/>
      <c r="K277" s="551" t="s">
        <v>276</v>
      </c>
      <c r="L277" s="547" t="s">
        <v>277</v>
      </c>
      <c r="M277" s="547"/>
      <c r="N277" s="525">
        <f>('Austria Medium 2030'!K$8+'Austria Medium 2030'!M$8)/1000000</f>
        <v>5.1413639238366511E-2</v>
      </c>
      <c r="O277" s="525"/>
      <c r="P277" s="525"/>
      <c r="Q277" s="525">
        <f>SUM(Austria_High_2030_2050!K$8+Austria_High_2030_2050!M$8)/1000000</f>
        <v>0.13507391098355814</v>
      </c>
      <c r="R277" s="525"/>
      <c r="S277" s="525"/>
      <c r="T277" s="525"/>
      <c r="U277" s="525"/>
      <c r="V277" s="525"/>
      <c r="W277" s="525"/>
      <c r="X277" s="525">
        <f>(Austria_High_2030_2050!BF$8+Austria_High_2030_2050!BH$8)/1000000</f>
        <v>0.31760793815025773</v>
      </c>
      <c r="Y277" s="525"/>
      <c r="Z277" s="525"/>
      <c r="AA277" s="527">
        <f>'Conversion factors selected IV '!L$80</f>
        <v>9.2423830325648368E-2</v>
      </c>
      <c r="AB277" s="527"/>
      <c r="AC277" s="527"/>
      <c r="AD277" s="527"/>
      <c r="AE277" s="977">
        <f>1/'IVCs relevant in 2030'!R$4</f>
        <v>0.14285714285714285</v>
      </c>
      <c r="AF277" s="972">
        <f>1/'IVCs relevant 2040-2050'!T$4</f>
        <v>0.14285714285714285</v>
      </c>
      <c r="AG277" s="683">
        <f t="shared" si="299"/>
        <v>6.7883506705584051E-4</v>
      </c>
      <c r="AH277" s="691">
        <f t="shared" si="300"/>
        <v>7.8948518298594248</v>
      </c>
      <c r="AI277" s="592">
        <f t="shared" si="301"/>
        <v>1.7834354614523012E-3</v>
      </c>
      <c r="AJ277" s="531">
        <f t="shared" si="302"/>
        <v>20.741354416690264</v>
      </c>
      <c r="AO277" s="525">
        <f t="shared" si="303"/>
        <v>4.1935060265254915E-3</v>
      </c>
      <c r="BG277" s="525">
        <f t="shared" si="304"/>
        <v>48.770475088491466</v>
      </c>
    </row>
    <row r="278" spans="1:59">
      <c r="A278" s="534"/>
      <c r="B278" s="499"/>
      <c r="C278" s="499"/>
      <c r="K278" s="551" t="s">
        <v>293</v>
      </c>
      <c r="L278" s="547" t="s">
        <v>294</v>
      </c>
      <c r="M278" s="526" t="s">
        <v>968</v>
      </c>
      <c r="N278" s="681">
        <f>('Austria Medium 2030'!C$8+'Austria Medium 2030'!D$8)/1000000</f>
        <v>1.4612937622</v>
      </c>
      <c r="O278" s="681"/>
      <c r="P278" s="681"/>
      <c r="Q278" s="681">
        <f>SUM(Austria_High_2030_2050!C$8+Austria_High_2030_2050!D$8)/1000000</f>
        <v>1.4612937622</v>
      </c>
      <c r="R278" s="681"/>
      <c r="S278" s="681"/>
      <c r="T278" s="681"/>
      <c r="U278" s="681"/>
      <c r="V278" s="681"/>
      <c r="W278" s="681"/>
      <c r="X278" s="681">
        <f>SUM(Austria_High_2030_2050!AX$8+Austria_High_2030_2050!AY$8)/1000000</f>
        <v>1.4618314138666668</v>
      </c>
      <c r="Y278" s="681"/>
      <c r="Z278" s="681"/>
      <c r="AA278" s="527">
        <f>'Conversion factors selected IV '!L$81</f>
        <v>0.10209609163879761</v>
      </c>
      <c r="AB278" s="527"/>
      <c r="AC278" s="527"/>
      <c r="AD278" s="527"/>
      <c r="AE278" s="977">
        <f>1/'IVCs relevant in 2030'!R$6</f>
        <v>0.2</v>
      </c>
      <c r="AF278" s="963">
        <f>1/'IVCs relevant 2040-2050'!T$6</f>
        <v>0.2</v>
      </c>
      <c r="AG278" s="683">
        <f t="shared" si="299"/>
        <v>2.9838476371354908E-2</v>
      </c>
      <c r="AH278" s="691">
        <f t="shared" si="300"/>
        <v>347.0214801988576</v>
      </c>
      <c r="AI278" s="592">
        <f t="shared" si="301"/>
        <v>2.9838476371354908E-2</v>
      </c>
      <c r="AJ278" s="531">
        <f t="shared" si="302"/>
        <v>347.0214801988576</v>
      </c>
      <c r="AO278" s="525">
        <f t="shared" si="303"/>
        <v>2.9849454798120862E-2</v>
      </c>
      <c r="BG278" s="525">
        <f t="shared" si="304"/>
        <v>347.14915930214562</v>
      </c>
    </row>
    <row r="279" spans="1:59" ht="18" customHeight="1">
      <c r="A279" s="534"/>
      <c r="B279" s="499"/>
      <c r="C279" s="499"/>
      <c r="K279" s="551" t="s">
        <v>270</v>
      </c>
      <c r="L279" s="547" t="s">
        <v>271</v>
      </c>
      <c r="M279" s="526" t="s">
        <v>968</v>
      </c>
      <c r="N279" s="525">
        <f>('Austria Medium 2030'!U$8+'Austria Medium 2030'!V$8+'Austria Medium 2030'!W$8+'Austria Medium 2030'!X$8+'Austria Medium 2030'!Y$8+'Austria Medium 2030'!Z$8)/1000000</f>
        <v>1.7503165547670994</v>
      </c>
      <c r="O279" s="525"/>
      <c r="P279" s="525"/>
      <c r="Q279" s="525">
        <f>SUM(Austria_High_2030_2050!U$8+Austria_High_2030_2050!V$8+Austria_High_2030_2050!W$8+Austria_High_2030_2050!X$8+Austria_High_2030_2050!Y$8+Austria_High_2030_2050!Z$8)/1000000</f>
        <v>2.4423647173812064</v>
      </c>
      <c r="R279" s="525"/>
      <c r="S279" s="525"/>
      <c r="T279" s="525"/>
      <c r="U279" s="525"/>
      <c r="V279" s="525"/>
      <c r="W279" s="525"/>
      <c r="X279" s="525">
        <f>(Austria_High_2030_2050!BP$8+Austria_High_2030_2050!BQ$8+Austria_High_2030_2050!BR$8+Austria_High_2030_2050!BS$8+Austria_High_2030_2050!BT$8+Austria_High_2030_2050!BU$8)/1000000</f>
        <v>2.2469216754603125</v>
      </c>
      <c r="Y279" s="525"/>
      <c r="Z279" s="525"/>
      <c r="AA279" s="527">
        <f>'Conversion factors selected IV '!L$82</f>
        <v>0.10209609163879761</v>
      </c>
      <c r="AB279" s="527"/>
      <c r="AC279" s="527"/>
      <c r="AD279" s="527"/>
      <c r="AE279" s="977">
        <f>1/'IVCs relevant in 2030'!R$16</f>
        <v>0.16666666666666666</v>
      </c>
      <c r="AF279" s="972">
        <f>1/'IVCs relevant 2040-2050'!T$16</f>
        <v>0.16666666666666666</v>
      </c>
      <c r="AG279" s="683">
        <f t="shared" si="299"/>
        <v>2.978341322873438E-2</v>
      </c>
      <c r="AH279" s="691">
        <f t="shared" si="300"/>
        <v>346.38109585018083</v>
      </c>
      <c r="AI279" s="592">
        <f t="shared" si="301"/>
        <v>4.1559315333519614E-2</v>
      </c>
      <c r="AJ279" s="531">
        <f t="shared" si="302"/>
        <v>483.33483732883309</v>
      </c>
      <c r="AO279" s="525">
        <f t="shared" si="303"/>
        <v>3.8233653547166124E-2</v>
      </c>
      <c r="BG279" s="525">
        <f t="shared" si="304"/>
        <v>444.65739075354202</v>
      </c>
    </row>
    <row r="280" spans="1:59">
      <c r="A280" s="534"/>
      <c r="B280" s="499"/>
      <c r="C280" s="499"/>
      <c r="K280" s="551" t="s">
        <v>295</v>
      </c>
      <c r="L280" s="547" t="s">
        <v>296</v>
      </c>
      <c r="M280" s="547"/>
      <c r="N280" s="525">
        <f>('Austria Medium 2030'!AT$8+'Austria Medium 2030'!AU$8)/1000000</f>
        <v>0.23254980324056534</v>
      </c>
      <c r="O280" s="525"/>
      <c r="P280" s="525"/>
      <c r="Q280" s="525">
        <f>SUM(Austria_High_2030_2050!AT$8+Austria_High_2030_2050!AU$8)/1000000</f>
        <v>0.31006640432075377</v>
      </c>
      <c r="R280" s="525"/>
      <c r="S280" s="525"/>
      <c r="T280" s="525"/>
      <c r="U280" s="525"/>
      <c r="V280" s="525"/>
      <c r="W280" s="525"/>
      <c r="X280" s="525">
        <f>SUM(Austria_High_2030_2050!CO$8+Austria_High_2030_2050!CP$8)/1000000</f>
        <v>0.34505279324583621</v>
      </c>
      <c r="Y280" s="525"/>
      <c r="Z280" s="525"/>
      <c r="AA280" s="527">
        <f>'Conversion factors selected IV '!L$83</f>
        <v>8.5975656116882196E-2</v>
      </c>
      <c r="AB280" s="527"/>
      <c r="AC280" s="527"/>
      <c r="AD280" s="527"/>
      <c r="AE280" s="977">
        <f>1/'IVCs relevant in 2030'!R$20</f>
        <v>0.2</v>
      </c>
      <c r="AF280" s="963">
        <f>1/'IVCs relevant 2040-2050'!T$20</f>
        <v>0.2</v>
      </c>
      <c r="AG280" s="683">
        <f t="shared" si="299"/>
        <v>3.9987243826918933E-3</v>
      </c>
      <c r="AH280" s="691">
        <f t="shared" si="300"/>
        <v>46.505164570706718</v>
      </c>
      <c r="AI280" s="592">
        <f t="shared" si="301"/>
        <v>5.3316325102558569E-3</v>
      </c>
      <c r="AJ280" s="531">
        <f t="shared" si="302"/>
        <v>62.006886094275615</v>
      </c>
      <c r="AO280" s="525">
        <f t="shared" si="303"/>
        <v>5.9332280588547332E-3</v>
      </c>
      <c r="BG280" s="525">
        <f t="shared" si="304"/>
        <v>69.003442324480545</v>
      </c>
    </row>
    <row r="281" spans="1:59">
      <c r="A281" s="534"/>
      <c r="B281" s="499"/>
      <c r="C281" s="499"/>
      <c r="K281" s="560" t="s">
        <v>301</v>
      </c>
      <c r="L281" s="561"/>
      <c r="M281" s="561"/>
      <c r="N281" s="525">
        <v>0</v>
      </c>
      <c r="O281" s="525"/>
      <c r="P281" s="525"/>
      <c r="Q281" s="525">
        <v>0</v>
      </c>
      <c r="R281" s="670"/>
      <c r="S281" s="670"/>
      <c r="T281" s="670"/>
      <c r="U281" s="670"/>
      <c r="V281" s="670"/>
      <c r="W281" s="670"/>
      <c r="X281" s="670"/>
      <c r="Y281" s="525"/>
      <c r="Z281" s="525"/>
      <c r="AA281" s="658"/>
      <c r="AB281" s="658"/>
      <c r="AC281" s="658"/>
      <c r="AD281" s="658"/>
      <c r="AE281" s="970">
        <f>1/'IVCs relevant in 2030'!R22</f>
        <v>0.25</v>
      </c>
      <c r="AF281" s="963">
        <f>1/'IVCs relevant 2040-2050'!T22</f>
        <v>0.25</v>
      </c>
      <c r="AG281" s="525"/>
      <c r="AH281" s="691">
        <f t="shared" si="300"/>
        <v>0</v>
      </c>
      <c r="AI281" s="592">
        <f t="shared" si="301"/>
        <v>0</v>
      </c>
      <c r="AO281" s="525">
        <f t="shared" si="303"/>
        <v>0</v>
      </c>
      <c r="BG281" s="525">
        <f t="shared" si="304"/>
        <v>0</v>
      </c>
    </row>
    <row r="282" spans="1:59" s="515" customFormat="1">
      <c r="A282" s="515">
        <v>12</v>
      </c>
      <c r="B282" s="606" t="s">
        <v>26</v>
      </c>
      <c r="C282" s="606" t="s">
        <v>49</v>
      </c>
      <c r="D282" s="563" t="s">
        <v>1185</v>
      </c>
      <c r="E282" s="563" t="s">
        <v>90</v>
      </c>
      <c r="F282" s="606" t="s">
        <v>643</v>
      </c>
      <c r="J282" s="859"/>
      <c r="AA282" s="594"/>
      <c r="AB282" s="594"/>
      <c r="AC282" s="594"/>
      <c r="AD282" s="594"/>
      <c r="AE282" s="969"/>
      <c r="AF282" s="969"/>
      <c r="AG282" s="593"/>
      <c r="AK282" s="563"/>
      <c r="AL282" s="1004"/>
      <c r="AM282" s="1005"/>
      <c r="AN282" s="1005"/>
      <c r="AS282" s="563"/>
      <c r="AT282" s="563"/>
      <c r="AU282" s="563"/>
      <c r="BD282" s="563"/>
      <c r="BE282" s="563"/>
      <c r="BF282" s="563"/>
    </row>
    <row r="283" spans="1:59">
      <c r="B283" s="548"/>
      <c r="C283" s="548"/>
      <c r="F283" s="550"/>
      <c r="K283" s="574" t="s">
        <v>302</v>
      </c>
      <c r="N283" s="494">
        <v>7.3999999999999996E-2</v>
      </c>
      <c r="Q283" s="494">
        <v>7.3999999999999996E-2</v>
      </c>
      <c r="R283" s="591"/>
      <c r="S283" s="591"/>
      <c r="T283" s="591"/>
      <c r="U283" s="591"/>
      <c r="V283" s="591"/>
      <c r="W283" s="591"/>
      <c r="X283" s="591"/>
      <c r="AA283" s="527">
        <v>0.18</v>
      </c>
      <c r="AB283" s="527"/>
      <c r="AC283" s="527"/>
      <c r="AD283" s="527"/>
      <c r="AE283" s="970"/>
      <c r="AF283" s="970">
        <f>1/'IVCs relevant 2040-2050'!T27</f>
        <v>1</v>
      </c>
      <c r="AG283" s="836"/>
      <c r="AO283" s="689"/>
    </row>
    <row r="284" spans="1:59" s="515" customFormat="1">
      <c r="A284" s="598" t="s">
        <v>27</v>
      </c>
      <c r="B284" s="563" t="s">
        <v>28</v>
      </c>
      <c r="C284" s="563" t="s">
        <v>99</v>
      </c>
      <c r="D284" s="577" t="s">
        <v>1186</v>
      </c>
      <c r="E284" s="577" t="s">
        <v>1187</v>
      </c>
      <c r="F284" s="515" t="s">
        <v>642</v>
      </c>
      <c r="J284" s="859"/>
      <c r="K284" s="515" t="s">
        <v>950</v>
      </c>
      <c r="N284" s="593">
        <f>SUM(N285:N292)</f>
        <v>5.6575938101300274</v>
      </c>
      <c r="O284" s="593">
        <f t="shared" ref="O284:X284" si="305">SUM(O285:O292)</f>
        <v>0</v>
      </c>
      <c r="P284" s="593">
        <f t="shared" si="305"/>
        <v>0</v>
      </c>
      <c r="Q284" s="593">
        <f t="shared" si="305"/>
        <v>8.0961626768759114</v>
      </c>
      <c r="R284" s="593">
        <f t="shared" si="305"/>
        <v>0</v>
      </c>
      <c r="S284" s="593">
        <f t="shared" si="305"/>
        <v>0</v>
      </c>
      <c r="T284" s="593">
        <f t="shared" si="305"/>
        <v>0</v>
      </c>
      <c r="U284" s="593">
        <f t="shared" si="305"/>
        <v>0</v>
      </c>
      <c r="V284" s="593">
        <f t="shared" si="305"/>
        <v>0</v>
      </c>
      <c r="W284" s="593">
        <f t="shared" si="305"/>
        <v>0</v>
      </c>
      <c r="X284" s="593">
        <f t="shared" si="305"/>
        <v>7.8370409266898182</v>
      </c>
      <c r="Y284" s="593"/>
      <c r="Z284" s="593"/>
      <c r="AA284" s="594"/>
      <c r="AB284" s="594"/>
      <c r="AC284" s="594"/>
      <c r="AD284" s="594"/>
      <c r="AE284" s="973"/>
      <c r="AF284" s="973"/>
      <c r="AG284" s="593">
        <f>SUM(AG285:AG292)</f>
        <v>0.25712157053623808</v>
      </c>
      <c r="AH284" s="668">
        <f>SUM(AH285:AH292)</f>
        <v>2990.3238653364488</v>
      </c>
      <c r="AI284" s="668">
        <f>SUM(AI285:AI292)</f>
        <v>0.35746068474720477</v>
      </c>
      <c r="AJ284" s="668">
        <f>SUM(AJ285:AJ292)</f>
        <v>4157.2677636099916</v>
      </c>
      <c r="AK284" s="563"/>
      <c r="AL284" s="1004"/>
      <c r="AM284" s="1005"/>
      <c r="AN284" s="1005"/>
      <c r="AS284" s="563"/>
      <c r="AT284" s="563"/>
      <c r="AU284" s="563"/>
      <c r="BD284" s="563"/>
      <c r="BE284" s="563"/>
      <c r="BF284" s="563"/>
    </row>
    <row r="285" spans="1:59" ht="17.5" customHeight="1">
      <c r="A285" s="534"/>
      <c r="B285" s="499"/>
      <c r="C285" s="499"/>
      <c r="K285" s="551" t="s">
        <v>272</v>
      </c>
      <c r="L285" s="547" t="s">
        <v>273</v>
      </c>
      <c r="M285" s="547"/>
      <c r="N285" s="525">
        <f>('Austria Medium 2030'!N$8+'Austria Medium 2030'!O$8+'Austria Medium 2030'!P$8)/1000000</f>
        <v>2.0661873996580922</v>
      </c>
      <c r="O285" s="525"/>
      <c r="P285" s="525"/>
      <c r="Q285" s="525">
        <f>SUM(Austria_High_2030_2050!N$8+Austria_High_2030_2050!O$8+Austria_High_2030_2050!P$8)/1000000</f>
        <v>3.6127082591720723</v>
      </c>
      <c r="R285" s="525"/>
      <c r="S285" s="525"/>
      <c r="T285" s="525"/>
      <c r="U285" s="525"/>
      <c r="V285" s="525"/>
      <c r="W285" s="525"/>
      <c r="X285" s="525">
        <f>(Austria_High_2030_2050!BI$8+Austria_High_2030_2050!BJ$8+Austria_High_2030_2050!BK$8)/1000000</f>
        <v>2.4145632429759436</v>
      </c>
      <c r="Y285" s="525"/>
      <c r="Z285" s="525"/>
      <c r="AA285" s="538">
        <f>'Conversion factors selected IV '!L$89</f>
        <v>0.27123986095017383</v>
      </c>
      <c r="AB285" s="538"/>
      <c r="AC285" s="538"/>
      <c r="AD285" s="538"/>
      <c r="AE285" s="977">
        <f>1/'IVCs relevant in 2030'!R$8</f>
        <v>0.14285714285714285</v>
      </c>
      <c r="AF285" s="972"/>
      <c r="AG285" s="683">
        <f t="shared" ref="AG285:AG292" si="306">N285*AA285*AE285</f>
        <v>8.0061768997180316E-2</v>
      </c>
      <c r="AH285" s="691">
        <f t="shared" ref="AH285:AH292" si="307">AG285*11630</f>
        <v>931.11837343720708</v>
      </c>
      <c r="AI285" s="592">
        <f t="shared" ref="AI285:AI292" si="308">Q285*AA285*AE285</f>
        <v>0.13998721226733962</v>
      </c>
      <c r="AJ285" s="531">
        <f t="shared" ref="AJ285:AJ292" si="309">AI285*11630</f>
        <v>1628.0512786691597</v>
      </c>
    </row>
    <row r="286" spans="1:59" ht="16.5" customHeight="1">
      <c r="A286" s="534"/>
      <c r="B286" s="499"/>
      <c r="C286" s="499"/>
      <c r="K286" s="551" t="s">
        <v>1065</v>
      </c>
      <c r="L286" s="547" t="s">
        <v>291</v>
      </c>
      <c r="M286" s="547"/>
      <c r="N286" s="525">
        <f>('Austria Medium 2030'!Q$8+'Austria Medium 2030'!R$8)/1000000</f>
        <v>5.275644117051783E-2</v>
      </c>
      <c r="O286" s="525"/>
      <c r="P286" s="525"/>
      <c r="Q286" s="525">
        <f>SUM(Austria_High_2030_2050!Q$8+Austria_High_2030_2050!R$8)/1000000</f>
        <v>8.0214965882960884E-2</v>
      </c>
      <c r="R286" s="525"/>
      <c r="S286" s="525"/>
      <c r="T286" s="525"/>
      <c r="U286" s="525"/>
      <c r="V286" s="525"/>
      <c r="W286" s="525"/>
      <c r="X286" s="525">
        <f>SUM(Austria_High_2030_2050!BL$8+Austria_High_2030_2050!BM$8)/1000000</f>
        <v>6.4694413970447118E-2</v>
      </c>
      <c r="Y286" s="525"/>
      <c r="Z286" s="525"/>
      <c r="AA286" s="527">
        <f>'Conversion factors selected IV '!L$90</f>
        <v>0.27123986095017383</v>
      </c>
      <c r="AB286" s="527"/>
      <c r="AC286" s="527"/>
      <c r="AD286" s="527"/>
      <c r="AE286" s="977">
        <f>1/'IVCs relevant in 2030'!R$9</f>
        <v>0.16666666666666666</v>
      </c>
      <c r="AF286" s="977"/>
      <c r="AG286" s="683">
        <f t="shared" si="306"/>
        <v>2.3849416278862133E-3</v>
      </c>
      <c r="AH286" s="691">
        <f t="shared" si="307"/>
        <v>27.736871132316661</v>
      </c>
      <c r="AI286" s="592">
        <f t="shared" si="308"/>
        <v>3.6262493653695408E-3</v>
      </c>
      <c r="AJ286" s="531">
        <f t="shared" si="309"/>
        <v>42.173280119247757</v>
      </c>
    </row>
    <row r="287" spans="1:59">
      <c r="A287" s="534"/>
      <c r="B287" s="499"/>
      <c r="C287" s="499"/>
      <c r="K287" s="551" t="s">
        <v>292</v>
      </c>
      <c r="L287" s="559">
        <v>4204</v>
      </c>
      <c r="M287" s="559"/>
      <c r="N287" s="525">
        <f>('Austria Medium 2030'!AD$8)/1000000</f>
        <v>0</v>
      </c>
      <c r="Q287" s="494">
        <f>Austria_High_2030_2050!AD$8/1000000</f>
        <v>0</v>
      </c>
      <c r="X287" s="494">
        <f>Austria_High_2030_2050!BY$8/1000000</f>
        <v>0</v>
      </c>
      <c r="AA287" s="527">
        <f>'Conversion factors selected IV '!L$91</f>
        <v>0.27123986095017383</v>
      </c>
      <c r="AB287" s="527"/>
      <c r="AC287" s="527"/>
      <c r="AD287" s="527"/>
      <c r="AE287" s="977">
        <f>1/'IVCs relevant in 2030'!R$13</f>
        <v>0.2</v>
      </c>
      <c r="AG287" s="683">
        <f t="shared" si="306"/>
        <v>0</v>
      </c>
      <c r="AH287" s="691">
        <f t="shared" si="307"/>
        <v>0</v>
      </c>
      <c r="AI287" s="592">
        <f t="shared" si="308"/>
        <v>0</v>
      </c>
      <c r="AJ287" s="531">
        <f t="shared" si="309"/>
        <v>0</v>
      </c>
    </row>
    <row r="288" spans="1:59" ht="17.5" customHeight="1">
      <c r="A288" s="534"/>
      <c r="B288" s="499"/>
      <c r="C288" s="499"/>
      <c r="K288" s="551" t="s">
        <v>274</v>
      </c>
      <c r="L288" s="547" t="s">
        <v>275</v>
      </c>
      <c r="M288" s="547"/>
      <c r="N288" s="525">
        <f>('Austria Medium 2030'!E$8+'Austria Medium 2030'!G$8+'Austria Medium 2030'!H$8+'Austria Medium 2030'!J$8)/1000000</f>
        <v>4.3076209855386564E-2</v>
      </c>
      <c r="O288" s="525"/>
      <c r="P288" s="525"/>
      <c r="Q288" s="525">
        <f>SUM(Austria_High_2030_2050!E$8+Austria_High_2030_2050!G$8+Austria_High_2030_2050!H102+Austria_High_2030_2050!J$8)/1000000</f>
        <v>5.4440656935360342E-2</v>
      </c>
      <c r="R288" s="525"/>
      <c r="S288" s="525"/>
      <c r="T288" s="525"/>
      <c r="U288" s="525"/>
      <c r="V288" s="525"/>
      <c r="W288" s="525"/>
      <c r="X288" s="525">
        <f>(Austria_High_2030_2050!AZ$8+Austria_High_2030_2050!BB$8+Austria_High_2030_2050!BC$8+Austria_High_2030_2050!BE$8)/1000000</f>
        <v>0.98636944902035451</v>
      </c>
      <c r="Y288" s="525"/>
      <c r="Z288" s="525"/>
      <c r="AA288" s="527">
        <f>'Conversion factors selected IV '!L$92</f>
        <v>0.27123986095017383</v>
      </c>
      <c r="AB288" s="527"/>
      <c r="AC288" s="527"/>
      <c r="AD288" s="527"/>
      <c r="AE288" s="977">
        <f>1/'IVCs relevant in 2030'!R$2</f>
        <v>0.14285714285714285</v>
      </c>
      <c r="AF288" s="972"/>
      <c r="AG288" s="683">
        <f t="shared" si="306"/>
        <v>1.6691407387765084E-3</v>
      </c>
      <c r="AH288" s="691">
        <f t="shared" si="307"/>
        <v>19.412106791970793</v>
      </c>
      <c r="AI288" s="592">
        <f t="shared" si="308"/>
        <v>2.1094966024547508E-3</v>
      </c>
      <c r="AJ288" s="531">
        <f t="shared" si="309"/>
        <v>24.53344548654875</v>
      </c>
    </row>
    <row r="289" spans="1:59">
      <c r="A289" s="534"/>
      <c r="B289" s="499"/>
      <c r="C289" s="499"/>
      <c r="K289" s="551" t="s">
        <v>276</v>
      </c>
      <c r="L289" s="547" t="s">
        <v>277</v>
      </c>
      <c r="M289" s="547"/>
      <c r="N289" s="525">
        <f>('Austria Medium 2030'!K$8+'Austria Medium 2030'!M$8)/1000000</f>
        <v>5.1413639238366511E-2</v>
      </c>
      <c r="O289" s="525"/>
      <c r="P289" s="525"/>
      <c r="Q289" s="525">
        <f>SUM(Austria_High_2030_2050!K$8+Austria_High_2030_2050!M$8)/1000000</f>
        <v>0.13507391098355814</v>
      </c>
      <c r="R289" s="525"/>
      <c r="S289" s="525"/>
      <c r="T289" s="525"/>
      <c r="U289" s="525"/>
      <c r="V289" s="525"/>
      <c r="W289" s="525"/>
      <c r="X289" s="525">
        <f>(Austria_High_2030_2050!BF$8+Austria_High_2030_2050!BH$8)/1000000</f>
        <v>0.31760793815025773</v>
      </c>
      <c r="Y289" s="525"/>
      <c r="Z289" s="525"/>
      <c r="AA289" s="527">
        <f>'Conversion factors selected IV '!L$93</f>
        <v>0.27123986095017383</v>
      </c>
      <c r="AB289" s="527"/>
      <c r="AC289" s="527"/>
      <c r="AD289" s="527"/>
      <c r="AE289" s="977">
        <f>1/'IVCs relevant in 2030'!R$4</f>
        <v>0.14285714285714285</v>
      </c>
      <c r="AF289" s="972"/>
      <c r="AG289" s="683">
        <f t="shared" si="306"/>
        <v>1.9922040511367047E-3</v>
      </c>
      <c r="AH289" s="691">
        <f t="shared" si="307"/>
        <v>23.169333114719876</v>
      </c>
      <c r="AI289" s="592">
        <f t="shared" si="308"/>
        <v>5.2339184047394951E-3</v>
      </c>
      <c r="AJ289" s="531">
        <f t="shared" si="309"/>
        <v>60.870471047120326</v>
      </c>
    </row>
    <row r="290" spans="1:59">
      <c r="A290" s="534"/>
      <c r="B290" s="499"/>
      <c r="C290" s="499"/>
      <c r="K290" s="551" t="s">
        <v>293</v>
      </c>
      <c r="L290" s="547" t="s">
        <v>294</v>
      </c>
      <c r="M290" s="526" t="s">
        <v>968</v>
      </c>
      <c r="N290" s="681">
        <f>('Austria Medium 2030'!C$8+'Austria Medium 2030'!D$8)/1000000</f>
        <v>1.4612937622</v>
      </c>
      <c r="O290" s="681"/>
      <c r="P290" s="681"/>
      <c r="Q290" s="681">
        <f>SUM(Austria_High_2030_2050!C$8+Austria_High_2030_2050!D$8)/1000000</f>
        <v>1.4612937622</v>
      </c>
      <c r="R290" s="681"/>
      <c r="S290" s="681"/>
      <c r="T290" s="681"/>
      <c r="U290" s="681"/>
      <c r="V290" s="681"/>
      <c r="W290" s="681"/>
      <c r="X290" s="681">
        <f>SUM(Austria_High_2030_2050!AX$8+Austria_High_2030_2050!AY$8)/1000000</f>
        <v>1.4618314138666668</v>
      </c>
      <c r="Y290" s="681"/>
      <c r="Z290" s="681"/>
      <c r="AA290" s="527">
        <f>'Conversion factors selected IV '!L$94</f>
        <v>0.27123986095017383</v>
      </c>
      <c r="AB290" s="527"/>
      <c r="AC290" s="527"/>
      <c r="AD290" s="527"/>
      <c r="AE290" s="977">
        <f>1/'IVCs relevant in 2030'!R$6</f>
        <v>0.2</v>
      </c>
      <c r="AG290" s="683">
        <f t="shared" si="306"/>
        <v>7.9272223373296868E-2</v>
      </c>
      <c r="AH290" s="691">
        <f t="shared" si="307"/>
        <v>921.93595783144258</v>
      </c>
      <c r="AI290" s="592">
        <f t="shared" si="308"/>
        <v>7.9272223373296868E-2</v>
      </c>
      <c r="AJ290" s="531">
        <f t="shared" si="309"/>
        <v>921.93595783144258</v>
      </c>
    </row>
    <row r="291" spans="1:59" ht="18.649999999999999" customHeight="1">
      <c r="A291" s="534"/>
      <c r="B291" s="499"/>
      <c r="C291" s="499"/>
      <c r="K291" s="551" t="s">
        <v>270</v>
      </c>
      <c r="L291" s="547" t="s">
        <v>271</v>
      </c>
      <c r="M291" s="526" t="s">
        <v>968</v>
      </c>
      <c r="N291" s="525">
        <f>('Austria Medium 2030'!U$8+'Austria Medium 2030'!V$8+'Austria Medium 2030'!W$8+'Austria Medium 2030'!X$8+'Austria Medium 2030'!Y$8+'Austria Medium 2030'!Z$8)/1000000</f>
        <v>1.7503165547670994</v>
      </c>
      <c r="O291" s="525"/>
      <c r="P291" s="525"/>
      <c r="Q291" s="525">
        <f>SUM(Austria_High_2030_2050!U$8+Austria_High_2030_2050!V$8+Austria_High_2030_2050!W$8+Austria_High_2030_2050!X$8+Austria_High_2030_2050!Y$8+Austria_High_2030_2050!Z$8)/1000000</f>
        <v>2.4423647173812064</v>
      </c>
      <c r="R291" s="525"/>
      <c r="S291" s="525"/>
      <c r="T291" s="525"/>
      <c r="U291" s="525"/>
      <c r="V291" s="525"/>
      <c r="W291" s="525"/>
      <c r="X291" s="525">
        <f>(Austria_High_2030_2050!BP$8+Austria_High_2030_2050!BQ$8+Austria_High_2030_2050!BR$8+Austria_High_2030_2050!BS$8+Austria_High_2030_2050!BT$8+Austria_High_2030_2050!BU$8)/1000000</f>
        <v>2.2469216754603125</v>
      </c>
      <c r="Y291" s="525"/>
      <c r="Z291" s="525"/>
      <c r="AA291" s="527">
        <f>'Conversion factors selected IV '!L$95</f>
        <v>0.27123986095017383</v>
      </c>
      <c r="AB291" s="527"/>
      <c r="AC291" s="527"/>
      <c r="AD291" s="527"/>
      <c r="AE291" s="977">
        <f>1/'IVCs relevant in 2030'!R$16</f>
        <v>0.16666666666666666</v>
      </c>
      <c r="AF291" s="972"/>
      <c r="AG291" s="683">
        <f t="shared" si="306"/>
        <v>7.912593648896922E-2</v>
      </c>
      <c r="AH291" s="691">
        <f t="shared" si="307"/>
        <v>920.23464136671203</v>
      </c>
      <c r="AI291" s="592">
        <f t="shared" si="308"/>
        <v>0.11041111105534818</v>
      </c>
      <c r="AJ291" s="531">
        <f t="shared" si="309"/>
        <v>1284.0812215736994</v>
      </c>
    </row>
    <row r="292" spans="1:59">
      <c r="A292" s="534"/>
      <c r="B292" s="499"/>
      <c r="C292" s="499"/>
      <c r="K292" s="551" t="s">
        <v>295</v>
      </c>
      <c r="L292" s="547" t="s">
        <v>296</v>
      </c>
      <c r="M292" s="547"/>
      <c r="N292" s="525">
        <f>('Austria Medium 2030'!AT$8+'Austria Medium 2030'!AU$8)/1000000</f>
        <v>0.23254980324056534</v>
      </c>
      <c r="O292" s="525"/>
      <c r="P292" s="525"/>
      <c r="Q292" s="525">
        <f>SUM(Austria_High_2030_2050!AT$8+Austria_High_2030_2050!AU$8)/1000000</f>
        <v>0.31006640432075377</v>
      </c>
      <c r="R292" s="525"/>
      <c r="S292" s="525"/>
      <c r="T292" s="525"/>
      <c r="U292" s="525"/>
      <c r="V292" s="525"/>
      <c r="W292" s="525"/>
      <c r="X292" s="525">
        <f>SUM(Austria_High_2030_2050!CO$8+Austria_High_2030_2050!CP$8)/1000000</f>
        <v>0.34505279324583621</v>
      </c>
      <c r="Y292" s="525"/>
      <c r="Z292" s="525"/>
      <c r="AA292" s="527">
        <f>'Conversion factors selected IV '!L$96</f>
        <v>0.27123986095017383</v>
      </c>
      <c r="AB292" s="527"/>
      <c r="AC292" s="527"/>
      <c r="AD292" s="527"/>
      <c r="AE292" s="977">
        <f>1/'IVCs relevant in 2030'!R$20</f>
        <v>0.2</v>
      </c>
      <c r="AG292" s="683">
        <f t="shared" si="306"/>
        <v>1.2615355258992246E-2</v>
      </c>
      <c r="AH292" s="691">
        <f t="shared" si="307"/>
        <v>146.71658166207982</v>
      </c>
      <c r="AI292" s="592">
        <f t="shared" si="308"/>
        <v>1.6820473678656325E-2</v>
      </c>
      <c r="AJ292" s="531">
        <f t="shared" si="309"/>
        <v>195.62210888277306</v>
      </c>
    </row>
    <row r="293" spans="1:59" s="515" customFormat="1">
      <c r="A293" s="598" t="s">
        <v>27</v>
      </c>
      <c r="B293" s="563" t="s">
        <v>28</v>
      </c>
      <c r="C293" s="577" t="s">
        <v>100</v>
      </c>
      <c r="D293" s="577" t="s">
        <v>1185</v>
      </c>
      <c r="E293" s="577" t="s">
        <v>90</v>
      </c>
      <c r="F293" s="515" t="s">
        <v>643</v>
      </c>
      <c r="J293" s="859"/>
      <c r="N293" s="593">
        <f>SUM(N294:N301)</f>
        <v>5.6575938101300274</v>
      </c>
      <c r="O293" s="593">
        <f t="shared" ref="O293:X293" si="310">SUM(O294:O301)</f>
        <v>0</v>
      </c>
      <c r="P293" s="593">
        <f t="shared" si="310"/>
        <v>0</v>
      </c>
      <c r="Q293" s="593">
        <f t="shared" si="310"/>
        <v>8.0961626768759114</v>
      </c>
      <c r="R293" s="593">
        <f t="shared" si="310"/>
        <v>0</v>
      </c>
      <c r="S293" s="593">
        <f t="shared" si="310"/>
        <v>0</v>
      </c>
      <c r="T293" s="593">
        <f t="shared" si="310"/>
        <v>0</v>
      </c>
      <c r="U293" s="593">
        <f t="shared" si="310"/>
        <v>0</v>
      </c>
      <c r="V293" s="593">
        <f t="shared" si="310"/>
        <v>0</v>
      </c>
      <c r="W293" s="593">
        <f t="shared" si="310"/>
        <v>0</v>
      </c>
      <c r="X293" s="593">
        <f t="shared" si="310"/>
        <v>7.8370409266898182</v>
      </c>
      <c r="Y293" s="593"/>
      <c r="Z293" s="593"/>
      <c r="AA293" s="594"/>
      <c r="AB293" s="594"/>
      <c r="AC293" s="594"/>
      <c r="AD293" s="594"/>
      <c r="AE293" s="973"/>
      <c r="AF293" s="973"/>
      <c r="AK293" s="563"/>
      <c r="AL293" s="1004"/>
      <c r="AM293" s="1005"/>
      <c r="AN293" s="1005"/>
      <c r="AO293" s="593">
        <f>SUM(AO294:AO301)</f>
        <v>0.11174315539977477</v>
      </c>
      <c r="AP293" s="593">
        <f t="shared" ref="AP293:BG293" si="311">SUM(AP294:AP301)</f>
        <v>0</v>
      </c>
      <c r="AQ293" s="593">
        <f t="shared" si="311"/>
        <v>0</v>
      </c>
      <c r="AR293" s="593">
        <f t="shared" si="311"/>
        <v>0</v>
      </c>
      <c r="AS293" s="593">
        <f t="shared" si="311"/>
        <v>0</v>
      </c>
      <c r="AT293" s="593">
        <f t="shared" si="311"/>
        <v>0</v>
      </c>
      <c r="AU293" s="593">
        <f t="shared" si="311"/>
        <v>0</v>
      </c>
      <c r="AV293" s="593">
        <f t="shared" si="311"/>
        <v>0</v>
      </c>
      <c r="AW293" s="593">
        <f t="shared" si="311"/>
        <v>0</v>
      </c>
      <c r="AX293" s="593">
        <f t="shared" si="311"/>
        <v>0</v>
      </c>
      <c r="AY293" s="593">
        <f t="shared" si="311"/>
        <v>0</v>
      </c>
      <c r="AZ293" s="593">
        <f t="shared" si="311"/>
        <v>0</v>
      </c>
      <c r="BA293" s="593">
        <f t="shared" si="311"/>
        <v>0</v>
      </c>
      <c r="BB293" s="593">
        <f t="shared" si="311"/>
        <v>0</v>
      </c>
      <c r="BC293" s="593">
        <f t="shared" si="311"/>
        <v>0</v>
      </c>
      <c r="BD293" s="593">
        <f t="shared" si="311"/>
        <v>0</v>
      </c>
      <c r="BE293" s="593">
        <f t="shared" si="311"/>
        <v>0</v>
      </c>
      <c r="BF293" s="593">
        <f t="shared" si="311"/>
        <v>0</v>
      </c>
      <c r="BG293" s="593">
        <f t="shared" si="311"/>
        <v>1299.5728972993804</v>
      </c>
    </row>
    <row r="294" spans="1:59" ht="29">
      <c r="A294" s="534"/>
      <c r="B294" s="499"/>
      <c r="C294" s="575"/>
      <c r="K294" s="551" t="s">
        <v>272</v>
      </c>
      <c r="L294" s="547" t="s">
        <v>273</v>
      </c>
      <c r="M294" s="547"/>
      <c r="N294" s="525">
        <f>('Austria Medium 2030'!N$8+'Austria Medium 2030'!O$8+'Austria Medium 2030'!P$8)/1000000</f>
        <v>2.0661873996580922</v>
      </c>
      <c r="O294" s="525"/>
      <c r="P294" s="525"/>
      <c r="Q294" s="525">
        <f>SUM(Austria_High_2030_2050!N$8+Austria_High_2030_2050!O$8+Austria_High_2030_2050!P$8)/1000000</f>
        <v>3.6127082591720723</v>
      </c>
      <c r="R294" s="525"/>
      <c r="S294" s="525"/>
      <c r="T294" s="525"/>
      <c r="U294" s="525"/>
      <c r="V294" s="525"/>
      <c r="W294" s="525"/>
      <c r="X294" s="525">
        <f>(Austria_High_2030_2050!BI$8+Austria_High_2030_2050!BJ$8+Austria_High_2030_2050!BK$8)/1000000</f>
        <v>2.4145632429759436</v>
      </c>
      <c r="Y294" s="525"/>
      <c r="Z294" s="525"/>
      <c r="AA294" s="527">
        <f>'Conversion factors selected IV '!L$107</f>
        <v>8.2474864655839128E-2</v>
      </c>
      <c r="AB294" s="527"/>
      <c r="AC294" s="527"/>
      <c r="AD294" s="527"/>
      <c r="AE294" s="972"/>
      <c r="AF294" s="972">
        <f>1/'IVCs relevant 2040-2050'!T$8</f>
        <v>0.14285714285714285</v>
      </c>
      <c r="AO294" s="525">
        <f t="shared" ref="AO294:AO301" si="312">X294*AA294*AF294</f>
        <v>2.8448682381057848E-2</v>
      </c>
      <c r="BG294" s="525">
        <f t="shared" ref="BG294:BG310" si="313">AO294*11630</f>
        <v>330.85817609170277</v>
      </c>
    </row>
    <row r="295" spans="1:59" ht="29">
      <c r="A295" s="534"/>
      <c r="B295" s="499"/>
      <c r="C295" s="575"/>
      <c r="K295" s="551" t="s">
        <v>1065</v>
      </c>
      <c r="L295" s="547" t="s">
        <v>291</v>
      </c>
      <c r="M295" s="547"/>
      <c r="N295" s="525">
        <f>('Austria Medium 2030'!Q$8+'Austria Medium 2030'!R$8)/1000000</f>
        <v>5.275644117051783E-2</v>
      </c>
      <c r="O295" s="525"/>
      <c r="P295" s="525"/>
      <c r="Q295" s="525">
        <f>SUM(Austria_High_2030_2050!Q$8+Austria_High_2030_2050!R$8)/1000000</f>
        <v>8.0214965882960884E-2</v>
      </c>
      <c r="R295" s="525"/>
      <c r="S295" s="525"/>
      <c r="T295" s="525"/>
      <c r="U295" s="525"/>
      <c r="V295" s="525"/>
      <c r="W295" s="525"/>
      <c r="X295" s="525">
        <f>SUM(Austria_High_2030_2050!BL$8+Austria_High_2030_2050!BM$8)/1000000</f>
        <v>6.4694413970447118E-2</v>
      </c>
      <c r="Y295" s="525"/>
      <c r="Z295" s="525"/>
      <c r="AA295" s="527">
        <f>'Conversion factors selected IV '!L$108</f>
        <v>8.2474864655839128E-2</v>
      </c>
      <c r="AB295" s="527"/>
      <c r="AC295" s="527"/>
      <c r="AD295" s="527"/>
      <c r="AE295" s="972"/>
      <c r="AF295" s="977">
        <f>1/'IVCs relevant 2040-2050'!T$9</f>
        <v>0.16666666666666666</v>
      </c>
      <c r="AO295" s="525">
        <f t="shared" si="312"/>
        <v>8.8927717270024229E-4</v>
      </c>
      <c r="BG295" s="525">
        <f t="shared" si="313"/>
        <v>10.342293518503817</v>
      </c>
    </row>
    <row r="296" spans="1:59">
      <c r="A296" s="534"/>
      <c r="B296" s="499"/>
      <c r="C296" s="575"/>
      <c r="K296" s="551" t="s">
        <v>292</v>
      </c>
      <c r="L296" s="559">
        <v>4204</v>
      </c>
      <c r="M296" s="559"/>
      <c r="N296" s="525">
        <f>('Austria Medium 2030'!AD$8)/1000000</f>
        <v>0</v>
      </c>
      <c r="Q296" s="494">
        <f>Austria_High_2030_2050!AD$8/1000000</f>
        <v>0</v>
      </c>
      <c r="X296" s="494">
        <f>Austria_High_2030_2050!BY$8/1000000</f>
        <v>0</v>
      </c>
      <c r="AA296" s="527">
        <f>'Conversion factors selected IV '!L$109</f>
        <v>8.2474864655839128E-2</v>
      </c>
      <c r="AB296" s="527"/>
      <c r="AC296" s="527"/>
      <c r="AD296" s="527"/>
      <c r="AE296" s="972"/>
      <c r="AF296" s="963">
        <f>1/'IVCs relevant 2040-2050'!T$13</f>
        <v>0.2</v>
      </c>
      <c r="AO296" s="525">
        <f t="shared" si="312"/>
        <v>0</v>
      </c>
      <c r="BG296" s="525">
        <f t="shared" si="313"/>
        <v>0</v>
      </c>
    </row>
    <row r="297" spans="1:59" ht="29">
      <c r="A297" s="534"/>
      <c r="B297" s="499"/>
      <c r="C297" s="575"/>
      <c r="K297" s="551" t="s">
        <v>274</v>
      </c>
      <c r="L297" s="547" t="s">
        <v>275</v>
      </c>
      <c r="M297" s="547"/>
      <c r="N297" s="525">
        <f>('Austria Medium 2030'!E$8+'Austria Medium 2030'!G$8+'Austria Medium 2030'!H$8+'Austria Medium 2030'!J$8)/1000000</f>
        <v>4.3076209855386564E-2</v>
      </c>
      <c r="O297" s="525"/>
      <c r="P297" s="525"/>
      <c r="Q297" s="525">
        <f>SUM(Austria_High_2030_2050!E$8+Austria_High_2030_2050!G$8+Austria_High_2030_2050!H111+Austria_High_2030_2050!J$8)/1000000</f>
        <v>5.4440656935360342E-2</v>
      </c>
      <c r="R297" s="525"/>
      <c r="S297" s="525"/>
      <c r="T297" s="525"/>
      <c r="U297" s="525"/>
      <c r="V297" s="525"/>
      <c r="W297" s="525"/>
      <c r="X297" s="525">
        <f>(Austria_High_2030_2050!AZ$8+Austria_High_2030_2050!BB$8+Austria_High_2030_2050!BC$8+Austria_High_2030_2050!BE$8)/1000000</f>
        <v>0.98636944902035451</v>
      </c>
      <c r="Y297" s="525"/>
      <c r="Z297" s="525"/>
      <c r="AA297" s="527">
        <f>'Conversion factors selected IV '!L$110</f>
        <v>8.2474864655839128E-2</v>
      </c>
      <c r="AB297" s="527"/>
      <c r="AC297" s="527"/>
      <c r="AD297" s="527"/>
      <c r="AE297" s="972"/>
      <c r="AF297" s="972">
        <f>1/'IVCs relevant 2040-2050'!T$2</f>
        <v>0.14285714285714285</v>
      </c>
      <c r="AO297" s="525">
        <f t="shared" si="312"/>
        <v>1.162152668694405E-2</v>
      </c>
      <c r="BG297" s="525">
        <f t="shared" si="313"/>
        <v>135.1583553691593</v>
      </c>
    </row>
    <row r="298" spans="1:59">
      <c r="A298" s="534"/>
      <c r="B298" s="499"/>
      <c r="C298" s="575"/>
      <c r="K298" s="551" t="s">
        <v>276</v>
      </c>
      <c r="L298" s="547" t="s">
        <v>277</v>
      </c>
      <c r="M298" s="547"/>
      <c r="N298" s="525">
        <f>('Austria Medium 2030'!K$8+'Austria Medium 2030'!M$8)/1000000</f>
        <v>5.1413639238366511E-2</v>
      </c>
      <c r="O298" s="525"/>
      <c r="P298" s="525"/>
      <c r="Q298" s="525">
        <f>SUM(Austria_High_2030_2050!K$8+Austria_High_2030_2050!M$8)/1000000</f>
        <v>0.13507391098355814</v>
      </c>
      <c r="R298" s="525"/>
      <c r="S298" s="525"/>
      <c r="T298" s="525"/>
      <c r="U298" s="525"/>
      <c r="V298" s="525"/>
      <c r="W298" s="525"/>
      <c r="X298" s="525">
        <f>(Austria_High_2030_2050!BF$8+Austria_High_2030_2050!BH$8)/1000000</f>
        <v>0.31760793815025773</v>
      </c>
      <c r="Y298" s="525"/>
      <c r="Z298" s="525"/>
      <c r="AA298" s="527">
        <f>'Conversion factors selected IV '!L$111</f>
        <v>8.2474864655839128E-2</v>
      </c>
      <c r="AB298" s="527"/>
      <c r="AC298" s="527"/>
      <c r="AD298" s="527"/>
      <c r="AE298" s="972"/>
      <c r="AF298" s="972">
        <f>1/'IVCs relevant 2040-2050'!T$4</f>
        <v>0.14285714285714285</v>
      </c>
      <c r="AO298" s="525">
        <f t="shared" si="312"/>
        <v>3.7420959589375183E-3</v>
      </c>
      <c r="BG298" s="525">
        <f t="shared" si="313"/>
        <v>43.520576002443342</v>
      </c>
    </row>
    <row r="299" spans="1:59">
      <c r="A299" s="534"/>
      <c r="B299" s="499"/>
      <c r="C299" s="575"/>
      <c r="K299" s="551" t="s">
        <v>293</v>
      </c>
      <c r="L299" s="547" t="s">
        <v>294</v>
      </c>
      <c r="M299" s="526" t="s">
        <v>968</v>
      </c>
      <c r="N299" s="681">
        <f>('Austria Medium 2030'!C$8+'Austria Medium 2030'!D$8)/1000000</f>
        <v>1.4612937622</v>
      </c>
      <c r="O299" s="681"/>
      <c r="P299" s="681"/>
      <c r="Q299" s="681">
        <f>SUM(Austria_High_2030_2050!C$8+Austria_High_2030_2050!D$8)/1000000</f>
        <v>1.4612937622</v>
      </c>
      <c r="R299" s="681"/>
      <c r="S299" s="681"/>
      <c r="T299" s="681"/>
      <c r="U299" s="681"/>
      <c r="V299" s="681"/>
      <c r="W299" s="681"/>
      <c r="X299" s="681">
        <f>SUM(Austria_High_2030_2050!AX$8+Austria_High_2030_2050!AY$8)/1000000</f>
        <v>1.4618314138666668</v>
      </c>
      <c r="Y299" s="681"/>
      <c r="Z299" s="681"/>
      <c r="AA299" s="527">
        <f>'Conversion factors selected IV '!L$112</f>
        <v>9.1105955143078107E-2</v>
      </c>
      <c r="AB299" s="527"/>
      <c r="AC299" s="527"/>
      <c r="AD299" s="527"/>
      <c r="AE299" s="972"/>
      <c r="AF299" s="963">
        <f>1/'IVCs relevant 2040-2050'!T$6</f>
        <v>0.2</v>
      </c>
      <c r="AO299" s="525">
        <f t="shared" si="312"/>
        <v>2.6636309443695799E-2</v>
      </c>
      <c r="BG299" s="525">
        <f t="shared" si="313"/>
        <v>309.78027883018217</v>
      </c>
    </row>
    <row r="300" spans="1:59" ht="45.65" customHeight="1">
      <c r="A300" s="534"/>
      <c r="B300" s="499"/>
      <c r="C300" s="575"/>
      <c r="K300" s="551" t="s">
        <v>270</v>
      </c>
      <c r="L300" s="547" t="s">
        <v>271</v>
      </c>
      <c r="M300" s="526" t="s">
        <v>968</v>
      </c>
      <c r="N300" s="525">
        <f>('Austria Medium 2030'!U$8+'Austria Medium 2030'!V$8+'Austria Medium 2030'!W$8+'Austria Medium 2030'!X$8+'Austria Medium 2030'!Y$8+'Austria Medium 2030'!Z$8)/1000000</f>
        <v>1.7503165547670994</v>
      </c>
      <c r="O300" s="525"/>
      <c r="P300" s="525"/>
      <c r="Q300" s="525">
        <f>SUM(Austria_High_2030_2050!U$8+Austria_High_2030_2050!V$8+Austria_High_2030_2050!W$8+Austria_High_2030_2050!X$8+Austria_High_2030_2050!Y$8+Austria_High_2030_2050!Z$8)/1000000</f>
        <v>2.4423647173812064</v>
      </c>
      <c r="R300" s="525"/>
      <c r="S300" s="525"/>
      <c r="T300" s="525"/>
      <c r="U300" s="525"/>
      <c r="V300" s="525"/>
      <c r="W300" s="525"/>
      <c r="X300" s="525">
        <f>(Austria_High_2030_2050!BP$8+Austria_High_2030_2050!BQ$8+Austria_High_2030_2050!BR$8+Austria_High_2030_2050!BS$8+Austria_High_2030_2050!BT$8+Austria_High_2030_2050!BU$8)/1000000</f>
        <v>2.2469216754603125</v>
      </c>
      <c r="Y300" s="525"/>
      <c r="Z300" s="525"/>
      <c r="AA300" s="527">
        <f>'Conversion factors selected IV '!L$113</f>
        <v>9.1105955143078107E-2</v>
      </c>
      <c r="AB300" s="527"/>
      <c r="AC300" s="527"/>
      <c r="AD300" s="527"/>
      <c r="AE300" s="972"/>
      <c r="AF300" s="972">
        <f>1/'IVCs relevant 2040-2050'!T$16</f>
        <v>0.16666666666666666</v>
      </c>
      <c r="AO300" s="525">
        <f t="shared" si="312"/>
        <v>3.4117990895749517E-2</v>
      </c>
      <c r="BG300" s="525">
        <f t="shared" si="313"/>
        <v>396.79223411756686</v>
      </c>
    </row>
    <row r="301" spans="1:59">
      <c r="A301" s="534"/>
      <c r="B301" s="499"/>
      <c r="C301" s="575"/>
      <c r="K301" s="551" t="s">
        <v>295</v>
      </c>
      <c r="L301" s="547" t="s">
        <v>296</v>
      </c>
      <c r="M301" s="547"/>
      <c r="N301" s="525">
        <f>('Austria Medium 2030'!AT$8+'Austria Medium 2030'!AU$8)/1000000</f>
        <v>0.23254980324056534</v>
      </c>
      <c r="O301" s="525"/>
      <c r="P301" s="525"/>
      <c r="Q301" s="525">
        <f>SUM(Austria_High_2030_2050!AT$8+Austria_High_2030_2050!AU$8)/1000000</f>
        <v>0.31006640432075377</v>
      </c>
      <c r="R301" s="525"/>
      <c r="S301" s="525"/>
      <c r="T301" s="525"/>
      <c r="U301" s="525"/>
      <c r="V301" s="525"/>
      <c r="W301" s="525"/>
      <c r="X301" s="525">
        <f>SUM(Austria_High_2030_2050!CO$8+Austria_High_2030_2050!CP$8)/1000000</f>
        <v>0.34505279324583621</v>
      </c>
      <c r="Y301" s="525"/>
      <c r="Z301" s="525"/>
      <c r="AA301" s="527">
        <f>'Conversion factors selected IV '!L$114</f>
        <v>9.1105955143078107E-2</v>
      </c>
      <c r="AB301" s="527"/>
      <c r="AC301" s="527"/>
      <c r="AD301" s="527"/>
      <c r="AE301" s="972"/>
      <c r="AF301" s="963">
        <f>1/'IVCs relevant 2040-2050'!T$20</f>
        <v>0.2</v>
      </c>
      <c r="AO301" s="525">
        <f t="shared" si="312"/>
        <v>6.2872728606897911E-3</v>
      </c>
      <c r="BG301" s="525">
        <f t="shared" si="313"/>
        <v>73.12098336982227</v>
      </c>
    </row>
    <row r="302" spans="1:59" s="515" customFormat="1">
      <c r="A302" s="598" t="s">
        <v>29</v>
      </c>
      <c r="B302" s="563" t="s">
        <v>30</v>
      </c>
      <c r="C302" s="563" t="s">
        <v>99</v>
      </c>
      <c r="D302" s="515" t="s">
        <v>1184</v>
      </c>
      <c r="E302" s="515" t="s">
        <v>1178</v>
      </c>
      <c r="F302" s="515" t="s">
        <v>644</v>
      </c>
      <c r="J302" s="859"/>
      <c r="N302" s="593">
        <f>SUM(N303:N310)</f>
        <v>5.6575938101300274</v>
      </c>
      <c r="O302" s="593">
        <f t="shared" ref="O302:X302" si="314">SUM(O303:O310)</f>
        <v>0</v>
      </c>
      <c r="P302" s="593">
        <f t="shared" si="314"/>
        <v>0</v>
      </c>
      <c r="Q302" s="593">
        <f t="shared" si="314"/>
        <v>8.0961626768759114</v>
      </c>
      <c r="R302" s="593">
        <f t="shared" si="314"/>
        <v>0</v>
      </c>
      <c r="S302" s="593">
        <f t="shared" si="314"/>
        <v>0</v>
      </c>
      <c r="T302" s="593">
        <f t="shared" si="314"/>
        <v>0</v>
      </c>
      <c r="U302" s="593">
        <f t="shared" si="314"/>
        <v>0</v>
      </c>
      <c r="V302" s="593">
        <f t="shared" si="314"/>
        <v>0</v>
      </c>
      <c r="W302" s="593">
        <f t="shared" si="314"/>
        <v>0</v>
      </c>
      <c r="X302" s="593">
        <f t="shared" si="314"/>
        <v>7.8370409266898182</v>
      </c>
      <c r="Y302" s="593"/>
      <c r="Z302" s="593"/>
      <c r="AA302" s="594"/>
      <c r="AB302" s="594"/>
      <c r="AC302" s="594"/>
      <c r="AD302" s="594"/>
      <c r="AE302" s="973"/>
      <c r="AF302" s="973"/>
      <c r="AK302" s="563"/>
      <c r="AL302" s="1004"/>
      <c r="AM302" s="1005"/>
      <c r="AN302" s="1005"/>
      <c r="AS302" s="563"/>
      <c r="AT302" s="563"/>
      <c r="AU302" s="563"/>
      <c r="BD302" s="563"/>
      <c r="BE302" s="563"/>
      <c r="BF302" s="563"/>
    </row>
    <row r="303" spans="1:59" ht="21.65" customHeight="1">
      <c r="A303" s="534"/>
      <c r="B303" s="499"/>
      <c r="C303" s="499"/>
      <c r="K303" s="551" t="s">
        <v>272</v>
      </c>
      <c r="L303" s="547" t="s">
        <v>273</v>
      </c>
      <c r="M303" s="547"/>
      <c r="N303" s="525">
        <f>('Austria Medium 2030'!N$8+'Austria Medium 2030'!O$8+'Austria Medium 2030'!P$8)/1000000</f>
        <v>2.0661873996580922</v>
      </c>
      <c r="O303" s="525"/>
      <c r="P303" s="525"/>
      <c r="Q303" s="525">
        <f>SUM(Austria_High_2030_2050!N$8+Austria_High_2030_2050!O$8+Austria_High_2030_2050!P$8)/1000000</f>
        <v>3.6127082591720723</v>
      </c>
      <c r="R303" s="525"/>
      <c r="S303" s="525"/>
      <c r="T303" s="525"/>
      <c r="U303" s="525"/>
      <c r="V303" s="525"/>
      <c r="W303" s="525"/>
      <c r="X303" s="525">
        <f>(Austria_High_2030_2050!BI$8+Austria_High_2030_2050!BJ$8+Austria_High_2030_2050!BK$8)/1000000</f>
        <v>2.4145632429759436</v>
      </c>
      <c r="Y303" s="525"/>
      <c r="Z303" s="525"/>
      <c r="AA303" s="527">
        <f>'Conversion factors selected IV '!L$125</f>
        <v>8.7338247338247313E-2</v>
      </c>
      <c r="AB303" s="527"/>
      <c r="AC303" s="527"/>
      <c r="AD303" s="527"/>
      <c r="AE303" s="972"/>
      <c r="AF303" s="972">
        <f>1/'IVCs relevant 2040-2050'!T$8</f>
        <v>0.14285714285714285</v>
      </c>
      <c r="AO303" s="525">
        <f t="shared" ref="AO303:AO310" si="315">X303*AA303*AF303</f>
        <v>3.0126245961267645E-2</v>
      </c>
      <c r="BG303" s="525">
        <f t="shared" si="313"/>
        <v>350.36824052954273</v>
      </c>
    </row>
    <row r="304" spans="1:59" ht="18" customHeight="1">
      <c r="A304" s="534"/>
      <c r="B304" s="499"/>
      <c r="C304" s="499"/>
      <c r="K304" s="551" t="s">
        <v>1065</v>
      </c>
      <c r="L304" s="547" t="s">
        <v>291</v>
      </c>
      <c r="M304" s="547"/>
      <c r="N304" s="525">
        <f>('Austria Medium 2030'!Q$8+'Austria Medium 2030'!R$8)/1000000</f>
        <v>5.275644117051783E-2</v>
      </c>
      <c r="O304" s="525"/>
      <c r="P304" s="525"/>
      <c r="Q304" s="525">
        <f>SUM(Austria_High_2030_2050!Q$8+Austria_High_2030_2050!R$8)/1000000</f>
        <v>8.0214965882960884E-2</v>
      </c>
      <c r="R304" s="525"/>
      <c r="S304" s="525"/>
      <c r="T304" s="525"/>
      <c r="U304" s="525"/>
      <c r="V304" s="525"/>
      <c r="W304" s="525"/>
      <c r="X304" s="525">
        <f>SUM(Austria_High_2030_2050!BL$8+Austria_High_2030_2050!BM$8)/1000000</f>
        <v>6.4694413970447118E-2</v>
      </c>
      <c r="Y304" s="525"/>
      <c r="Z304" s="525"/>
      <c r="AA304" s="527">
        <f>'Conversion factors selected IV '!L$126</f>
        <v>8.7338247338247313E-2</v>
      </c>
      <c r="AB304" s="527"/>
      <c r="AC304" s="527"/>
      <c r="AD304" s="527"/>
      <c r="AE304" s="972"/>
      <c r="AF304" s="977">
        <f>1/'IVCs relevant 2040-2050'!T$9</f>
        <v>0.16666666666666666</v>
      </c>
      <c r="AO304" s="525">
        <f t="shared" si="315"/>
        <v>9.4171612145897883E-4</v>
      </c>
      <c r="BG304" s="525">
        <f t="shared" si="313"/>
        <v>10.952158492567923</v>
      </c>
    </row>
    <row r="305" spans="1:59">
      <c r="A305" s="534"/>
      <c r="B305" s="499"/>
      <c r="C305" s="499"/>
      <c r="K305" s="551" t="s">
        <v>292</v>
      </c>
      <c r="L305" s="559">
        <v>4204</v>
      </c>
      <c r="M305" s="559"/>
      <c r="N305" s="525">
        <f>('Austria Medium 2030'!AD$8)/1000000</f>
        <v>0</v>
      </c>
      <c r="Q305" s="494">
        <f>Austria_High_2030_2050!AD$8/1000000</f>
        <v>0</v>
      </c>
      <c r="X305" s="494">
        <f>Austria_High_2030_2050!BY$8/1000000</f>
        <v>0</v>
      </c>
      <c r="AA305" s="527">
        <f>'Conversion factors selected IV '!L$127</f>
        <v>8.7338247338247313E-2</v>
      </c>
      <c r="AB305" s="527"/>
      <c r="AC305" s="527"/>
      <c r="AD305" s="527"/>
      <c r="AE305" s="972"/>
      <c r="AF305" s="963">
        <f>1/'IVCs relevant 2040-2050'!T$13</f>
        <v>0.2</v>
      </c>
      <c r="AO305" s="525">
        <f t="shared" si="315"/>
        <v>0</v>
      </c>
      <c r="BG305" s="525">
        <f t="shared" si="313"/>
        <v>0</v>
      </c>
    </row>
    <row r="306" spans="1:59" ht="14.5" customHeight="1">
      <c r="A306" s="534"/>
      <c r="B306" s="499"/>
      <c r="C306" s="499"/>
      <c r="K306" s="551" t="s">
        <v>274</v>
      </c>
      <c r="L306" s="547" t="s">
        <v>275</v>
      </c>
      <c r="M306" s="547"/>
      <c r="N306" s="525">
        <f>('Austria Medium 2030'!E$8+'Austria Medium 2030'!G$8+'Austria Medium 2030'!H$8+'Austria Medium 2030'!J$8)/1000000</f>
        <v>4.3076209855386564E-2</v>
      </c>
      <c r="O306" s="525"/>
      <c r="P306" s="525"/>
      <c r="Q306" s="525">
        <f>SUM(Austria_High_2030_2050!E$8+Austria_High_2030_2050!G$8+Austria_High_2030_2050!H120+Austria_High_2030_2050!J$8)/1000000</f>
        <v>5.4440656935360342E-2</v>
      </c>
      <c r="R306" s="525"/>
      <c r="S306" s="525"/>
      <c r="T306" s="525"/>
      <c r="U306" s="525"/>
      <c r="V306" s="525"/>
      <c r="W306" s="525"/>
      <c r="X306" s="525">
        <f>(Austria_High_2030_2050!AZ$8+Austria_High_2030_2050!BB$8+Austria_High_2030_2050!BC$8+Austria_High_2030_2050!BE$8)/1000000</f>
        <v>0.98636944902035451</v>
      </c>
      <c r="Y306" s="525"/>
      <c r="Z306" s="525"/>
      <c r="AA306" s="527">
        <f>'Conversion factors selected IV '!L$128</f>
        <v>8.7338247338247313E-2</v>
      </c>
      <c r="AB306" s="527"/>
      <c r="AC306" s="527"/>
      <c r="AD306" s="527"/>
      <c r="AE306" s="972"/>
      <c r="AF306" s="972">
        <f>1/'IVCs relevant 2040-2050'!T$2</f>
        <v>0.14285714285714285</v>
      </c>
      <c r="AO306" s="525">
        <f t="shared" si="315"/>
        <v>1.2306825557918635E-2</v>
      </c>
      <c r="BG306" s="525">
        <f t="shared" si="313"/>
        <v>143.12838123859373</v>
      </c>
    </row>
    <row r="307" spans="1:59">
      <c r="A307" s="534"/>
      <c r="B307" s="499"/>
      <c r="C307" s="499"/>
      <c r="K307" s="551" t="s">
        <v>276</v>
      </c>
      <c r="L307" s="547" t="s">
        <v>277</v>
      </c>
      <c r="M307" s="547"/>
      <c r="N307" s="525">
        <f>('Austria Medium 2030'!K$8+'Austria Medium 2030'!M$8)/1000000</f>
        <v>5.1413639238366511E-2</v>
      </c>
      <c r="O307" s="525"/>
      <c r="P307" s="525"/>
      <c r="Q307" s="525">
        <f>SUM(Austria_High_2030_2050!K$8+Austria_High_2030_2050!M$8)/1000000</f>
        <v>0.13507391098355814</v>
      </c>
      <c r="R307" s="525"/>
      <c r="S307" s="525"/>
      <c r="T307" s="525"/>
      <c r="U307" s="525"/>
      <c r="V307" s="525"/>
      <c r="W307" s="525"/>
      <c r="X307" s="525">
        <f>(Austria_High_2030_2050!BF$8+Austria_High_2030_2050!BH$8)/1000000</f>
        <v>0.31760793815025773</v>
      </c>
      <c r="Y307" s="525"/>
      <c r="Z307" s="525"/>
      <c r="AA307" s="527">
        <f>'Conversion factors selected IV '!L$129</f>
        <v>8.7338247338247313E-2</v>
      </c>
      <c r="AB307" s="527"/>
      <c r="AC307" s="527"/>
      <c r="AD307" s="527"/>
      <c r="AE307" s="972"/>
      <c r="AF307" s="972">
        <f>1/'IVCs relevant 2040-2050'!T$4</f>
        <v>0.14285714285714285</v>
      </c>
      <c r="AO307" s="525">
        <f t="shared" si="315"/>
        <v>3.9627600941082803E-3</v>
      </c>
      <c r="BG307" s="525">
        <f t="shared" si="313"/>
        <v>46.086899894479302</v>
      </c>
    </row>
    <row r="308" spans="1:59">
      <c r="A308" s="534"/>
      <c r="B308" s="499"/>
      <c r="C308" s="499"/>
      <c r="K308" s="551" t="s">
        <v>293</v>
      </c>
      <c r="L308" s="547" t="s">
        <v>294</v>
      </c>
      <c r="M308" s="526" t="s">
        <v>968</v>
      </c>
      <c r="N308" s="681">
        <f>('Austria Medium 2030'!C$8+'Austria Medium 2030'!D$8)/1000000</f>
        <v>1.4612937622</v>
      </c>
      <c r="O308" s="681"/>
      <c r="P308" s="681"/>
      <c r="Q308" s="681">
        <f>SUM(Austria_High_2030_2050!C$8+Austria_High_2030_2050!D$8)/1000000</f>
        <v>1.4612937622</v>
      </c>
      <c r="R308" s="681"/>
      <c r="S308" s="681"/>
      <c r="T308" s="681"/>
      <c r="U308" s="681"/>
      <c r="V308" s="681"/>
      <c r="W308" s="681"/>
      <c r="X308" s="681">
        <f>SUM(Austria_High_2030_2050!AX$8+Austria_High_2030_2050!AY$8)/1000000</f>
        <v>1.4618314138666668</v>
      </c>
      <c r="Y308" s="681"/>
      <c r="Z308" s="681"/>
      <c r="AA308" s="527">
        <f>'Conversion factors selected IV '!L$130</f>
        <v>9.6478296478296463E-2</v>
      </c>
      <c r="AB308" s="527"/>
      <c r="AC308" s="527"/>
      <c r="AD308" s="527"/>
      <c r="AE308" s="972"/>
      <c r="AF308" s="963">
        <f>1/'IVCs relevant 2040-2050'!T$6</f>
        <v>0.2</v>
      </c>
      <c r="AO308" s="525">
        <f t="shared" si="315"/>
        <v>2.8207000909663119E-2</v>
      </c>
      <c r="BG308" s="525">
        <f t="shared" si="313"/>
        <v>328.04742057938205</v>
      </c>
    </row>
    <row r="309" spans="1:59" ht="15" customHeight="1">
      <c r="A309" s="534"/>
      <c r="B309" s="499"/>
      <c r="C309" s="499"/>
      <c r="K309" s="551" t="s">
        <v>270</v>
      </c>
      <c r="L309" s="547" t="s">
        <v>271</v>
      </c>
      <c r="M309" s="526" t="s">
        <v>968</v>
      </c>
      <c r="N309" s="525">
        <f>('Austria Medium 2030'!U$8+'Austria Medium 2030'!V$8+'Austria Medium 2030'!W$8+'Austria Medium 2030'!X$8+'Austria Medium 2030'!Y$8+'Austria Medium 2030'!Z$8)/1000000</f>
        <v>1.7503165547670994</v>
      </c>
      <c r="O309" s="525"/>
      <c r="P309" s="525"/>
      <c r="Q309" s="525">
        <f>SUM(Austria_High_2030_2050!U$8+Austria_High_2030_2050!V$8+Austria_High_2030_2050!W$8+Austria_High_2030_2050!X$8+Austria_High_2030_2050!Y$8+Austria_High_2030_2050!Z$8)/1000000</f>
        <v>2.4423647173812064</v>
      </c>
      <c r="R309" s="525"/>
      <c r="S309" s="525"/>
      <c r="T309" s="525"/>
      <c r="U309" s="525"/>
      <c r="V309" s="525"/>
      <c r="W309" s="525"/>
      <c r="X309" s="525">
        <f>(Austria_High_2030_2050!BP$8+Austria_High_2030_2050!BQ$8+Austria_High_2030_2050!BR$8+Austria_High_2030_2050!BS$8+Austria_High_2030_2050!BT$8+Austria_High_2030_2050!BU$8)/1000000</f>
        <v>2.2469216754603125</v>
      </c>
      <c r="Y309" s="525"/>
      <c r="Z309" s="525"/>
      <c r="AA309" s="527">
        <f>'Conversion factors selected IV '!L$131</f>
        <v>9.6478296478296463E-2</v>
      </c>
      <c r="AB309" s="527"/>
      <c r="AC309" s="527"/>
      <c r="AD309" s="527"/>
      <c r="AE309" s="972"/>
      <c r="AF309" s="972">
        <f>1/'IVCs relevant 2040-2050'!T$16</f>
        <v>0.16666666666666666</v>
      </c>
      <c r="AO309" s="525">
        <f t="shared" si="315"/>
        <v>3.6129862594761773E-2</v>
      </c>
      <c r="BG309" s="525">
        <f t="shared" si="313"/>
        <v>420.1903019770794</v>
      </c>
    </row>
    <row r="310" spans="1:59">
      <c r="A310" s="534"/>
      <c r="B310" s="499"/>
      <c r="C310" s="499"/>
      <c r="K310" s="551" t="s">
        <v>295</v>
      </c>
      <c r="L310" s="547" t="s">
        <v>296</v>
      </c>
      <c r="M310" s="547"/>
      <c r="N310" s="525">
        <f>('Austria Medium 2030'!AT$8+'Austria Medium 2030'!AU$8)/1000000</f>
        <v>0.23254980324056534</v>
      </c>
      <c r="O310" s="525"/>
      <c r="P310" s="525"/>
      <c r="Q310" s="525">
        <f>SUM(Austria_High_2030_2050!AT$8+Austria_High_2030_2050!AU$8)/1000000</f>
        <v>0.31006640432075377</v>
      </c>
      <c r="R310" s="525"/>
      <c r="S310" s="525"/>
      <c r="T310" s="525"/>
      <c r="U310" s="525"/>
      <c r="V310" s="525"/>
      <c r="W310" s="525"/>
      <c r="X310" s="525">
        <f>SUM(Austria_High_2030_2050!CO$8+Austria_High_2030_2050!CP$8)/1000000</f>
        <v>0.34505279324583621</v>
      </c>
      <c r="Y310" s="525"/>
      <c r="Z310" s="525"/>
      <c r="AA310" s="527">
        <f>'Conversion factors selected IV '!L$132</f>
        <v>9.6478296478296463E-2</v>
      </c>
      <c r="AB310" s="527"/>
      <c r="AC310" s="527"/>
      <c r="AD310" s="527"/>
      <c r="AE310" s="972"/>
      <c r="AF310" s="963">
        <f>1/'IVCs relevant 2040-2050'!T$20</f>
        <v>0.2</v>
      </c>
      <c r="AO310" s="525">
        <f t="shared" si="315"/>
        <v>6.6580211374872231E-3</v>
      </c>
      <c r="BG310" s="525">
        <f t="shared" si="313"/>
        <v>77.432785828976407</v>
      </c>
    </row>
    <row r="311" spans="1:59">
      <c r="A311" s="512"/>
      <c r="B311" s="512" t="s">
        <v>1180</v>
      </c>
      <c r="C311" s="773"/>
      <c r="D311" s="773"/>
      <c r="E311" s="773"/>
      <c r="F311" s="774"/>
      <c r="G311" s="775"/>
      <c r="H311" s="512"/>
      <c r="I311" s="776"/>
      <c r="J311" s="864"/>
      <c r="K311" s="776"/>
      <c r="L311" s="776"/>
      <c r="M311" s="776"/>
      <c r="N311" s="776"/>
      <c r="O311" s="776"/>
      <c r="P311" s="776"/>
      <c r="Q311" s="776"/>
      <c r="R311" s="776">
        <f>SUM(R175:R299)</f>
        <v>9.463750000000001</v>
      </c>
      <c r="S311" s="776"/>
      <c r="T311" s="776">
        <f>SUM(T175:T299)</f>
        <v>18.927500000000002</v>
      </c>
      <c r="U311" s="776"/>
      <c r="V311" s="776"/>
      <c r="W311" s="776">
        <f>SUM(W175:W299)</f>
        <v>9.463750000000001</v>
      </c>
      <c r="X311" s="776"/>
      <c r="Y311" s="776"/>
      <c r="Z311" s="776"/>
      <c r="AA311" s="777"/>
      <c r="AB311" s="777"/>
      <c r="AC311" s="777"/>
      <c r="AD311" s="777"/>
      <c r="AE311" s="970"/>
      <c r="AF311" s="969"/>
      <c r="AG311" s="523"/>
      <c r="AH311" s="523"/>
      <c r="AI311" s="523"/>
      <c r="AJ311" s="523"/>
    </row>
    <row r="312" spans="1:59">
      <c r="A312" s="512"/>
      <c r="B312" s="512"/>
      <c r="C312" s="773" t="s">
        <v>120</v>
      </c>
      <c r="D312" s="773"/>
      <c r="E312" s="773"/>
      <c r="F312" s="774"/>
      <c r="G312" s="775"/>
      <c r="H312" s="512"/>
      <c r="I312" s="776"/>
      <c r="J312" s="864"/>
      <c r="K312" s="776"/>
      <c r="L312" s="776"/>
      <c r="M312" s="776"/>
      <c r="N312" s="776"/>
      <c r="O312" s="776"/>
      <c r="P312" s="776"/>
      <c r="Q312" s="776"/>
      <c r="R312" s="776"/>
      <c r="S312" s="776"/>
      <c r="T312" s="776"/>
      <c r="U312" s="776"/>
      <c r="V312" s="776"/>
      <c r="W312" s="776"/>
      <c r="X312" s="776"/>
      <c r="Y312" s="776"/>
      <c r="Z312" s="776"/>
      <c r="AA312" s="777"/>
      <c r="AB312" s="777"/>
      <c r="AC312" s="777"/>
      <c r="AD312" s="777"/>
      <c r="AE312" s="970"/>
      <c r="AF312" s="969"/>
      <c r="AG312" s="802">
        <f>AG165+AG168+AG284/2</f>
        <v>0.12993839650710565</v>
      </c>
      <c r="AH312" s="523">
        <f>AH165+AH168+AH284/2</f>
        <v>1495.1619326682244</v>
      </c>
      <c r="AI312" s="812">
        <f>AI165+AI168+AI284/2</f>
        <v>0.17873034237360239</v>
      </c>
      <c r="AJ312" s="793">
        <f>AJ165+AJ168+AJ284/2</f>
        <v>2078.6338818049958</v>
      </c>
    </row>
    <row r="313" spans="1:59">
      <c r="A313" s="512"/>
      <c r="B313" s="512"/>
      <c r="C313" s="773" t="s">
        <v>239</v>
      </c>
      <c r="D313" s="773"/>
      <c r="E313" s="773"/>
      <c r="F313" s="774"/>
      <c r="G313" s="775"/>
      <c r="H313" s="512"/>
      <c r="I313" s="776"/>
      <c r="J313" s="864"/>
      <c r="K313" s="776"/>
      <c r="L313" s="776"/>
      <c r="M313" s="776"/>
      <c r="N313" s="776"/>
      <c r="O313" s="776"/>
      <c r="P313" s="776"/>
      <c r="Q313" s="776"/>
      <c r="R313" s="776"/>
      <c r="S313" s="776"/>
      <c r="T313" s="776"/>
      <c r="U313" s="776"/>
      <c r="V313" s="776"/>
      <c r="W313" s="776"/>
      <c r="X313" s="776"/>
      <c r="Y313" s="776"/>
      <c r="Z313" s="776"/>
      <c r="AA313" s="777"/>
      <c r="AB313" s="777"/>
      <c r="AC313" s="777"/>
      <c r="AD313" s="777"/>
      <c r="AE313" s="970"/>
      <c r="AF313" s="969"/>
      <c r="AG313" s="802">
        <f>AG284/2+AG181</f>
        <v>0.2089205697210417</v>
      </c>
      <c r="AH313" s="784">
        <f>AH284/2+AH181</f>
        <v>2429.7462258557148</v>
      </c>
      <c r="AI313" s="813">
        <f>AI284/2+AI181</f>
        <v>0.30395447475897042</v>
      </c>
      <c r="AJ313" s="814">
        <f>AJ284/2+AJ181</f>
        <v>3534.9905414468258</v>
      </c>
    </row>
    <row r="314" spans="1:59">
      <c r="A314" s="512"/>
      <c r="B314" s="512"/>
      <c r="C314" s="773" t="s">
        <v>559</v>
      </c>
      <c r="D314" s="773"/>
      <c r="E314" s="773"/>
      <c r="F314" s="774"/>
      <c r="G314" s="775"/>
      <c r="H314" s="512"/>
      <c r="I314" s="776"/>
      <c r="J314" s="864"/>
      <c r="K314" s="776"/>
      <c r="L314" s="776"/>
      <c r="M314" s="776"/>
      <c r="N314" s="776"/>
      <c r="O314" s="776"/>
      <c r="P314" s="776"/>
      <c r="Q314" s="776"/>
      <c r="R314" s="776"/>
      <c r="S314" s="776"/>
      <c r="T314" s="776"/>
      <c r="U314" s="776"/>
      <c r="V314" s="776"/>
      <c r="W314" s="776"/>
      <c r="X314" s="776"/>
      <c r="Y314" s="776"/>
      <c r="Z314" s="776"/>
      <c r="AA314" s="777"/>
      <c r="AB314" s="777"/>
      <c r="AC314" s="777"/>
      <c r="AD314" s="777"/>
      <c r="AE314" s="970"/>
      <c r="AF314" s="969"/>
      <c r="AG314" s="802">
        <f>AG194+AG234</f>
        <v>0.92590370504654584</v>
      </c>
      <c r="AH314" s="801">
        <f>AH194+AH234</f>
        <v>10768.260089691328</v>
      </c>
      <c r="AI314" s="815">
        <f t="shared" ref="AI314" si="316">AI194+AI234</f>
        <v>1.3372538506152507</v>
      </c>
      <c r="AJ314" s="816">
        <f>AJ194+AJ234</f>
        <v>15552.262282655363</v>
      </c>
    </row>
    <row r="315" spans="1:59">
      <c r="A315" s="512"/>
      <c r="B315" s="512"/>
      <c r="C315" s="773" t="s">
        <v>1185</v>
      </c>
      <c r="D315" s="773"/>
      <c r="E315" s="773"/>
      <c r="F315" s="774"/>
      <c r="G315" s="775"/>
      <c r="H315" s="512"/>
      <c r="I315" s="776"/>
      <c r="J315" s="864"/>
      <c r="K315" s="776"/>
      <c r="L315" s="776"/>
      <c r="M315" s="776"/>
      <c r="N315" s="776"/>
      <c r="O315" s="776"/>
      <c r="P315" s="776"/>
      <c r="Q315" s="776"/>
      <c r="R315" s="776"/>
      <c r="S315" s="776"/>
      <c r="T315" s="776"/>
      <c r="U315" s="776"/>
      <c r="V315" s="776"/>
      <c r="W315" s="776"/>
      <c r="X315" s="776"/>
      <c r="Y315" s="776"/>
      <c r="Z315" s="776"/>
      <c r="AA315" s="777"/>
      <c r="AB315" s="777"/>
      <c r="AC315" s="777"/>
      <c r="AD315" s="777"/>
      <c r="AE315" s="970"/>
      <c r="AF315" s="969"/>
      <c r="AG315" s="802">
        <f>AG173</f>
        <v>1.3776112389866136E-3</v>
      </c>
      <c r="AH315" s="801">
        <f>AH173</f>
        <v>16.021618709414316</v>
      </c>
      <c r="AI315" s="815">
        <f>AI173+AI192</f>
        <v>3.0580080819747849E-2</v>
      </c>
      <c r="AJ315" s="813">
        <f>AJ173+AJ192</f>
        <v>355.64633993366749</v>
      </c>
    </row>
    <row r="316" spans="1:59">
      <c r="A316" s="512"/>
      <c r="B316" s="512"/>
      <c r="C316" s="773" t="s">
        <v>1184</v>
      </c>
      <c r="D316" s="773"/>
      <c r="E316" s="773"/>
      <c r="F316" s="774"/>
      <c r="G316" s="775"/>
      <c r="H316" s="512"/>
      <c r="I316" s="776"/>
      <c r="J316" s="864"/>
      <c r="K316" s="776"/>
      <c r="L316" s="776"/>
      <c r="M316" s="776"/>
      <c r="N316" s="776"/>
      <c r="O316" s="776"/>
      <c r="P316" s="776"/>
      <c r="Q316" s="776"/>
      <c r="R316" s="776"/>
      <c r="S316" s="776"/>
      <c r="T316" s="776"/>
      <c r="U316" s="776"/>
      <c r="V316" s="776"/>
      <c r="W316" s="776"/>
      <c r="X316" s="776"/>
      <c r="Y316" s="776"/>
      <c r="Z316" s="776"/>
      <c r="AA316" s="777"/>
      <c r="AB316" s="777"/>
      <c r="AC316" s="777"/>
      <c r="AD316" s="777"/>
      <c r="AE316" s="970"/>
      <c r="AF316" s="969"/>
      <c r="AG316" s="531">
        <f>AG217+AG228+AG230</f>
        <v>0.19982866340087085</v>
      </c>
      <c r="AH316" s="523">
        <f t="shared" ref="AH316" si="317">AH217+AH228+AH230</f>
        <v>2324.0073553521283</v>
      </c>
      <c r="AI316" s="812">
        <f>AI217+AI228+AI230</f>
        <v>0.25526069051520706</v>
      </c>
      <c r="AJ316" s="793">
        <f>AJ217+AJ228+AJ230</f>
        <v>2968.6818306918585</v>
      </c>
    </row>
    <row r="317" spans="1:59">
      <c r="A317" s="512"/>
      <c r="B317" s="512"/>
      <c r="C317" s="773" t="s">
        <v>1149</v>
      </c>
      <c r="D317" s="773"/>
      <c r="E317" s="773"/>
      <c r="F317" s="774"/>
      <c r="G317" s="775"/>
      <c r="H317" s="512"/>
      <c r="I317" s="776"/>
      <c r="J317" s="864"/>
      <c r="K317" s="776"/>
      <c r="L317" s="776"/>
      <c r="M317" s="776"/>
      <c r="N317" s="776"/>
      <c r="O317" s="776"/>
      <c r="P317" s="776"/>
      <c r="Q317" s="776"/>
      <c r="R317" s="776"/>
      <c r="S317" s="776"/>
      <c r="T317" s="776"/>
      <c r="U317" s="776"/>
      <c r="V317" s="776"/>
      <c r="W317" s="776"/>
      <c r="X317" s="776"/>
      <c r="Y317" s="776"/>
      <c r="Z317" s="776"/>
      <c r="AA317" s="777"/>
      <c r="AB317" s="777"/>
      <c r="AC317" s="777"/>
      <c r="AD317" s="777"/>
      <c r="AE317" s="970"/>
      <c r="AF317" s="969"/>
      <c r="AG317" s="531"/>
      <c r="AH317" s="523"/>
      <c r="AI317" s="658">
        <f>SUM(AI312:AI316)</f>
        <v>2.1057794390827782</v>
      </c>
      <c r="AJ317" s="812">
        <f>SUM(AJ312:AJ316)</f>
        <v>24490.214876532711</v>
      </c>
    </row>
    <row r="318" spans="1:59">
      <c r="A318" s="512"/>
      <c r="B318" s="512" t="s">
        <v>1179</v>
      </c>
      <c r="C318" s="773"/>
      <c r="D318" s="773"/>
      <c r="E318" s="773"/>
      <c r="F318" s="774"/>
      <c r="G318" s="775"/>
      <c r="H318" s="512"/>
      <c r="I318" s="776"/>
      <c r="J318" s="864"/>
      <c r="K318" s="776"/>
      <c r="L318" s="776"/>
      <c r="M318" s="776"/>
      <c r="N318" s="776"/>
      <c r="O318" s="776"/>
      <c r="P318" s="776"/>
      <c r="Q318" s="776"/>
      <c r="R318" s="776"/>
      <c r="S318" s="776"/>
      <c r="T318" s="776"/>
      <c r="U318" s="776"/>
      <c r="V318" s="776"/>
      <c r="W318" s="776"/>
      <c r="X318" s="776"/>
      <c r="Y318" s="776"/>
      <c r="Z318" s="776"/>
      <c r="AA318" s="777"/>
      <c r="AB318" s="777"/>
      <c r="AC318" s="777"/>
      <c r="AD318" s="777"/>
      <c r="AE318" s="970"/>
      <c r="AF318" s="969"/>
      <c r="AG318" s="523"/>
      <c r="AH318" s="523"/>
      <c r="AI318" s="523"/>
      <c r="AJ318" s="523"/>
    </row>
    <row r="319" spans="1:59">
      <c r="A319" s="512"/>
      <c r="B319" s="512"/>
      <c r="C319" s="773" t="s">
        <v>120</v>
      </c>
      <c r="D319" s="773"/>
      <c r="E319" s="773"/>
      <c r="F319" s="774"/>
      <c r="G319" s="775"/>
      <c r="H319" s="512"/>
      <c r="I319" s="776"/>
      <c r="J319" s="864"/>
      <c r="K319" s="776"/>
      <c r="L319" s="776"/>
      <c r="M319" s="776"/>
      <c r="N319" s="776"/>
      <c r="O319" s="776"/>
      <c r="P319" s="776"/>
      <c r="Q319" s="776"/>
      <c r="R319" s="776"/>
      <c r="S319" s="776"/>
      <c r="T319" s="776"/>
      <c r="U319" s="776"/>
      <c r="V319" s="776"/>
      <c r="W319" s="776"/>
      <c r="X319" s="776"/>
      <c r="Y319" s="776"/>
      <c r="Z319" s="776"/>
      <c r="AA319" s="777"/>
      <c r="AB319" s="777"/>
      <c r="AC319" s="777"/>
      <c r="AD319" s="777"/>
      <c r="AE319" s="970"/>
      <c r="AF319" s="969"/>
      <c r="AG319" s="523"/>
      <c r="AH319" s="523"/>
      <c r="AI319" s="523"/>
      <c r="AJ319" s="523"/>
    </row>
    <row r="320" spans="1:59">
      <c r="A320" s="512"/>
      <c r="B320" s="512"/>
      <c r="C320" s="773" t="s">
        <v>239</v>
      </c>
      <c r="D320" s="773"/>
      <c r="E320" s="773"/>
      <c r="F320" s="774"/>
      <c r="G320" s="775"/>
      <c r="H320" s="512"/>
      <c r="I320" s="776"/>
      <c r="J320" s="864"/>
      <c r="K320" s="776"/>
      <c r="L320" s="776"/>
      <c r="M320" s="776"/>
      <c r="N320" s="776"/>
      <c r="O320" s="776"/>
      <c r="P320" s="776"/>
      <c r="Q320" s="776"/>
      <c r="R320" s="776"/>
      <c r="S320" s="776"/>
      <c r="T320" s="776"/>
      <c r="U320" s="776"/>
      <c r="V320" s="776"/>
      <c r="W320" s="776"/>
      <c r="X320" s="776"/>
      <c r="Y320" s="776"/>
      <c r="Z320" s="776"/>
      <c r="AA320" s="777"/>
      <c r="AB320" s="777"/>
      <c r="AC320" s="777"/>
      <c r="AD320" s="777"/>
      <c r="AE320" s="970"/>
      <c r="AF320" s="969"/>
      <c r="AG320" s="523"/>
      <c r="AH320" s="523"/>
      <c r="AI320" s="523"/>
      <c r="AJ320" s="523"/>
    </row>
    <row r="321" spans="1:58">
      <c r="A321" s="512"/>
      <c r="B321" s="512"/>
      <c r="C321" s="773" t="s">
        <v>559</v>
      </c>
      <c r="D321" s="773"/>
      <c r="E321" s="773"/>
      <c r="F321" s="774"/>
      <c r="G321" s="775"/>
      <c r="H321" s="512"/>
      <c r="I321" s="776"/>
      <c r="J321" s="864"/>
      <c r="K321" s="776"/>
      <c r="L321" s="776"/>
      <c r="M321" s="776"/>
      <c r="N321" s="776"/>
      <c r="O321" s="776"/>
      <c r="P321" s="776"/>
      <c r="Q321" s="776"/>
      <c r="R321" s="776"/>
      <c r="S321" s="776"/>
      <c r="T321" s="776"/>
      <c r="U321" s="776"/>
      <c r="V321" s="776"/>
      <c r="W321" s="776"/>
      <c r="X321" s="776"/>
      <c r="Y321" s="776"/>
      <c r="Z321" s="776"/>
      <c r="AA321" s="777"/>
      <c r="AB321" s="777"/>
      <c r="AC321" s="777"/>
      <c r="AD321" s="777"/>
      <c r="AE321" s="970"/>
      <c r="AF321" s="969"/>
      <c r="AG321" s="523"/>
      <c r="AH321" s="523"/>
      <c r="AI321" s="523"/>
      <c r="AJ321" s="523"/>
    </row>
    <row r="322" spans="1:58">
      <c r="A322" s="512"/>
      <c r="B322" s="512"/>
      <c r="C322" s="773" t="s">
        <v>1185</v>
      </c>
      <c r="D322" s="773"/>
      <c r="E322" s="773"/>
      <c r="F322" s="774"/>
      <c r="G322" s="775"/>
      <c r="H322" s="512"/>
      <c r="I322" s="776"/>
      <c r="J322" s="864"/>
      <c r="K322" s="776"/>
      <c r="L322" s="776"/>
      <c r="M322" s="776"/>
      <c r="N322" s="776"/>
      <c r="O322" s="776"/>
      <c r="P322" s="776"/>
      <c r="Q322" s="776"/>
      <c r="R322" s="776"/>
      <c r="S322" s="776"/>
      <c r="T322" s="776"/>
      <c r="U322" s="776"/>
      <c r="V322" s="776"/>
      <c r="W322" s="776"/>
      <c r="X322" s="776"/>
      <c r="Y322" s="776"/>
      <c r="Z322" s="776"/>
      <c r="AA322" s="777"/>
      <c r="AB322" s="777"/>
      <c r="AC322" s="777"/>
      <c r="AD322" s="777"/>
      <c r="AE322" s="970"/>
      <c r="AF322" s="969"/>
      <c r="AG322" s="523"/>
      <c r="AH322" s="523"/>
      <c r="AI322" s="523"/>
      <c r="AJ322" s="523"/>
    </row>
    <row r="323" spans="1:58" s="799" customFormat="1">
      <c r="C323" s="773" t="s">
        <v>1184</v>
      </c>
      <c r="J323" s="869"/>
      <c r="AE323" s="977"/>
      <c r="AF323" s="963"/>
      <c r="AK323" s="800"/>
      <c r="AL323" s="1002"/>
      <c r="AM323" s="1003"/>
      <c r="AN323" s="1003"/>
      <c r="AS323" s="800"/>
      <c r="AT323" s="800"/>
      <c r="AU323" s="800"/>
      <c r="BD323" s="800"/>
      <c r="BE323" s="800"/>
      <c r="BF323" s="800"/>
    </row>
    <row r="324" spans="1:58">
      <c r="AE324" s="977"/>
    </row>
    <row r="325" spans="1:58">
      <c r="AE325" s="977"/>
    </row>
    <row r="326" spans="1:58">
      <c r="B326" s="682"/>
      <c r="AE326" s="977"/>
    </row>
    <row r="327" spans="1:58">
      <c r="AE327" s="977"/>
    </row>
    <row r="328" spans="1:58">
      <c r="AE328" s="977"/>
    </row>
    <row r="329" spans="1:58">
      <c r="AE329" s="977"/>
    </row>
    <row r="330" spans="1:58">
      <c r="AE330" s="977"/>
    </row>
    <row r="331" spans="1:58">
      <c r="AE331" s="977"/>
    </row>
    <row r="332" spans="1:58">
      <c r="AE332" s="977"/>
    </row>
    <row r="333" spans="1:58">
      <c r="AE333" s="977"/>
    </row>
    <row r="334" spans="1:58">
      <c r="AE334" s="977"/>
    </row>
    <row r="335" spans="1:58">
      <c r="AE335" s="977"/>
    </row>
    <row r="338" spans="2:2">
      <c r="B338" s="682">
        <f>1/4</f>
        <v>0.25</v>
      </c>
    </row>
    <row r="340" spans="2:2">
      <c r="B340" s="682">
        <f>1/4</f>
        <v>0.25</v>
      </c>
    </row>
    <row r="342" spans="2:2">
      <c r="B342" s="682">
        <f>1/3</f>
        <v>0.33333333333333331</v>
      </c>
    </row>
    <row r="351" spans="2:2">
      <c r="B351" s="682">
        <f>1/3</f>
        <v>0.33333333333333331</v>
      </c>
    </row>
    <row r="360" spans="2:2">
      <c r="B360" s="682">
        <f>1/2</f>
        <v>0.5</v>
      </c>
    </row>
  </sheetData>
  <mergeCells count="1">
    <mergeCell ref="G1:H4"/>
  </mergeCells>
  <phoneticPr fontId="44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82F6-AE9B-4BA9-BE22-0DB83435633E}">
  <dimension ref="A1:K1008"/>
  <sheetViews>
    <sheetView topLeftCell="A20" workbookViewId="0">
      <selection activeCell="B30" sqref="B30:G36"/>
    </sheetView>
  </sheetViews>
  <sheetFormatPr baseColWidth="10" defaultRowHeight="14.5"/>
  <cols>
    <col min="6" max="6" width="32.7265625" customWidth="1"/>
    <col min="7" max="9" width="22.7265625" customWidth="1"/>
  </cols>
  <sheetData>
    <row r="1" spans="1:11" ht="18.5">
      <c r="A1" s="1038"/>
      <c r="B1" s="1067"/>
      <c r="C1" s="1068"/>
      <c r="D1" s="1068"/>
      <c r="E1" s="1068"/>
      <c r="F1" s="1039"/>
      <c r="G1" s="1040"/>
      <c r="H1" s="1040"/>
      <c r="I1" s="1040"/>
      <c r="J1" s="1040"/>
      <c r="K1" s="1040"/>
    </row>
    <row r="2" spans="1:11">
      <c r="A2" s="1038"/>
      <c r="B2" s="1069"/>
      <c r="C2" s="1070"/>
      <c r="D2" s="1070"/>
      <c r="E2" s="1070"/>
      <c r="F2" s="1038"/>
      <c r="G2" s="1040"/>
      <c r="H2" s="1040"/>
      <c r="I2" s="1040"/>
      <c r="J2" s="1040"/>
      <c r="K2" s="1040"/>
    </row>
    <row r="3" spans="1:11" ht="42" customHeight="1">
      <c r="A3" s="1041"/>
      <c r="B3" s="1042" t="s">
        <v>1490</v>
      </c>
      <c r="C3" s="1042" t="s">
        <v>1491</v>
      </c>
      <c r="D3" s="1042" t="s">
        <v>1493</v>
      </c>
      <c r="E3" s="1042" t="s">
        <v>1494</v>
      </c>
      <c r="F3" s="1043" t="s">
        <v>1529</v>
      </c>
      <c r="G3" s="1043" t="s">
        <v>1530</v>
      </c>
      <c r="H3" s="1043" t="s">
        <v>1531</v>
      </c>
      <c r="I3" s="1043" t="s">
        <v>1532</v>
      </c>
      <c r="J3" s="1042" t="s">
        <v>1533</v>
      </c>
      <c r="K3" s="1042" t="s">
        <v>1534</v>
      </c>
    </row>
    <row r="4" spans="1:11" ht="24" customHeight="1">
      <c r="A4" s="1044" t="s">
        <v>1535</v>
      </c>
      <c r="B4" s="1045">
        <v>1</v>
      </c>
      <c r="C4" s="1045" t="s">
        <v>2</v>
      </c>
      <c r="D4" s="1045" t="s">
        <v>43</v>
      </c>
      <c r="E4" s="1045" t="s">
        <v>640</v>
      </c>
      <c r="F4" s="1046" t="s">
        <v>193</v>
      </c>
      <c r="G4" s="1047">
        <v>8.3000000000000007</v>
      </c>
      <c r="H4" s="1047">
        <v>11.2</v>
      </c>
      <c r="I4" s="1047">
        <f>IF(G4="","",IF(H4="",G4,AVERAGE(G4,H4)))</f>
        <v>9.75</v>
      </c>
      <c r="J4" s="1045" t="s">
        <v>1536</v>
      </c>
      <c r="K4" s="1045" t="s">
        <v>1537</v>
      </c>
    </row>
    <row r="5" spans="1:11" ht="24" customHeight="1">
      <c r="A5" s="1044" t="s">
        <v>1535</v>
      </c>
      <c r="B5" s="1045">
        <v>1</v>
      </c>
      <c r="C5" s="1045" t="s">
        <v>2</v>
      </c>
      <c r="D5" s="1045" t="s">
        <v>43</v>
      </c>
      <c r="E5" s="1045" t="s">
        <v>640</v>
      </c>
      <c r="F5" s="1046" t="s">
        <v>1538</v>
      </c>
      <c r="G5" s="1047">
        <v>13.8</v>
      </c>
      <c r="H5" s="1047">
        <v>15.3</v>
      </c>
      <c r="I5" s="1047">
        <f t="shared" ref="I5:I36" si="0">IF(G5="","",IF(H5="",G5,AVERAGE(G5,H5)))</f>
        <v>14.55</v>
      </c>
      <c r="J5" s="1045" t="s">
        <v>1536</v>
      </c>
      <c r="K5" s="1045" t="s">
        <v>1537</v>
      </c>
    </row>
    <row r="6" spans="1:11" ht="24" customHeight="1">
      <c r="A6" s="1044" t="s">
        <v>1539</v>
      </c>
      <c r="B6" s="1045">
        <v>1</v>
      </c>
      <c r="C6" s="1045"/>
      <c r="D6" s="1045" t="s">
        <v>43</v>
      </c>
      <c r="E6" s="1045"/>
      <c r="F6" s="1048" t="s">
        <v>1540</v>
      </c>
      <c r="G6" s="1049">
        <v>15.39</v>
      </c>
      <c r="H6" s="1050"/>
      <c r="I6" s="1047">
        <f t="shared" si="0"/>
        <v>15.39</v>
      </c>
      <c r="J6" s="1045"/>
      <c r="K6" s="1045"/>
    </row>
    <row r="7" spans="1:11" ht="24" customHeight="1">
      <c r="A7" s="1051" t="s">
        <v>1535</v>
      </c>
      <c r="B7" s="1045">
        <v>2</v>
      </c>
      <c r="C7" s="1045" t="s">
        <v>3</v>
      </c>
      <c r="D7" s="1045" t="s">
        <v>44</v>
      </c>
      <c r="E7" s="1045" t="s">
        <v>640</v>
      </c>
      <c r="F7" s="1046" t="s">
        <v>1541</v>
      </c>
      <c r="G7" s="1047">
        <v>13.775</v>
      </c>
      <c r="H7" s="1047"/>
      <c r="I7" s="1047">
        <v>13.775</v>
      </c>
      <c r="J7" s="1045" t="s">
        <v>1542</v>
      </c>
      <c r="K7" s="1045" t="s">
        <v>1543</v>
      </c>
    </row>
    <row r="8" spans="1:11" ht="24" customHeight="1">
      <c r="A8" s="1051"/>
      <c r="B8" s="1045">
        <v>2</v>
      </c>
      <c r="C8" s="1045"/>
      <c r="D8" s="1045"/>
      <c r="E8" s="1045"/>
      <c r="F8" s="1046" t="s">
        <v>1540</v>
      </c>
      <c r="G8" s="1047">
        <v>10.8</v>
      </c>
      <c r="H8" s="1047"/>
      <c r="I8" s="1047">
        <f t="shared" si="0"/>
        <v>10.8</v>
      </c>
      <c r="J8" s="1045"/>
      <c r="K8" s="1045"/>
    </row>
    <row r="9" spans="1:11" ht="24" customHeight="1">
      <c r="A9" s="1051" t="s">
        <v>1535</v>
      </c>
      <c r="B9" s="1045">
        <v>2</v>
      </c>
      <c r="C9" s="1045"/>
      <c r="D9" s="1045" t="s">
        <v>45</v>
      </c>
      <c r="E9" s="1045" t="s">
        <v>1196</v>
      </c>
      <c r="F9" s="1046" t="s">
        <v>1544</v>
      </c>
      <c r="G9" s="1047">
        <v>21.4</v>
      </c>
      <c r="H9" s="1047"/>
      <c r="I9" s="1047">
        <v>21.4</v>
      </c>
      <c r="J9" s="1045" t="s">
        <v>1542</v>
      </c>
      <c r="K9" s="1045" t="s">
        <v>1545</v>
      </c>
    </row>
    <row r="10" spans="1:11" ht="24" customHeight="1">
      <c r="A10" s="1051"/>
      <c r="B10" s="1045"/>
      <c r="C10" s="1045"/>
      <c r="D10" s="1045"/>
      <c r="E10" s="1045"/>
      <c r="F10" s="1046" t="s">
        <v>1546</v>
      </c>
      <c r="G10" s="1047">
        <v>14</v>
      </c>
      <c r="H10" s="1047">
        <v>21</v>
      </c>
      <c r="I10" s="1047">
        <f t="shared" si="0"/>
        <v>17.5</v>
      </c>
      <c r="J10" s="1045"/>
      <c r="K10" s="1045"/>
    </row>
    <row r="11" spans="1:11" ht="24" customHeight="1">
      <c r="A11" s="1051"/>
      <c r="B11" s="1045">
        <v>5</v>
      </c>
      <c r="C11" s="1045" t="s">
        <v>6</v>
      </c>
      <c r="D11" s="1045" t="s">
        <v>48</v>
      </c>
      <c r="E11" s="1045" t="s">
        <v>1547</v>
      </c>
      <c r="F11" s="1046" t="s">
        <v>1548</v>
      </c>
      <c r="G11" s="1047">
        <v>19.899999999999999</v>
      </c>
      <c r="H11" s="1047">
        <v>28.9</v>
      </c>
      <c r="I11" s="1047">
        <f t="shared" si="0"/>
        <v>24.4</v>
      </c>
      <c r="J11" s="1045" t="s">
        <v>1549</v>
      </c>
      <c r="K11" s="1045" t="s">
        <v>1550</v>
      </c>
    </row>
    <row r="12" spans="1:11" ht="24" customHeight="1">
      <c r="A12" s="1051"/>
      <c r="B12" s="1045">
        <v>6</v>
      </c>
      <c r="C12" s="1045" t="s">
        <v>7</v>
      </c>
      <c r="D12" s="1045" t="s">
        <v>49</v>
      </c>
      <c r="E12" s="1045" t="s">
        <v>641</v>
      </c>
      <c r="F12" s="1046" t="s">
        <v>1551</v>
      </c>
      <c r="G12" s="1047">
        <v>10</v>
      </c>
      <c r="H12" s="1047">
        <v>16.2</v>
      </c>
      <c r="I12" s="1047">
        <f t="shared" si="0"/>
        <v>13.1</v>
      </c>
      <c r="J12" s="1045" t="s">
        <v>1549</v>
      </c>
      <c r="K12" s="1045" t="s">
        <v>1552</v>
      </c>
    </row>
    <row r="13" spans="1:11" ht="24" customHeight="1">
      <c r="A13" s="1051"/>
      <c r="B13" s="1045">
        <v>7</v>
      </c>
      <c r="C13" s="1045" t="s">
        <v>8</v>
      </c>
      <c r="D13" s="1045" t="s">
        <v>50</v>
      </c>
      <c r="E13" s="1045" t="s">
        <v>642</v>
      </c>
      <c r="F13" s="1046" t="s">
        <v>1553</v>
      </c>
      <c r="G13" s="1047">
        <v>9.5</v>
      </c>
      <c r="H13" s="1052" t="s">
        <v>1554</v>
      </c>
      <c r="I13" s="1047">
        <f>IF(G13="","",IF(H13="",G13,AVERAGE(G13,H13)))</f>
        <v>9.5</v>
      </c>
      <c r="J13" s="1045" t="s">
        <v>1555</v>
      </c>
      <c r="K13" s="1045" t="s">
        <v>1556</v>
      </c>
    </row>
    <row r="14" spans="1:11" ht="24" customHeight="1">
      <c r="A14" s="1051"/>
      <c r="B14" s="1045">
        <v>7</v>
      </c>
      <c r="C14" s="1045"/>
      <c r="D14" s="1045"/>
      <c r="E14" s="1045"/>
      <c r="F14" s="1046" t="s">
        <v>497</v>
      </c>
      <c r="G14" s="1047">
        <v>-103</v>
      </c>
      <c r="H14" s="1047"/>
      <c r="I14" s="1047">
        <f t="shared" si="0"/>
        <v>-103</v>
      </c>
      <c r="J14" s="1045"/>
      <c r="K14" s="1045"/>
    </row>
    <row r="15" spans="1:11" ht="24" customHeight="1">
      <c r="A15" s="1051"/>
      <c r="B15" s="1045" t="s">
        <v>9</v>
      </c>
      <c r="C15" s="1045" t="s">
        <v>774</v>
      </c>
      <c r="D15" s="1045" t="s">
        <v>51</v>
      </c>
      <c r="E15" s="1045" t="s">
        <v>645</v>
      </c>
      <c r="F15" s="1046" t="s">
        <v>1557</v>
      </c>
      <c r="G15" s="1047">
        <v>12.5</v>
      </c>
      <c r="H15" s="1047"/>
      <c r="I15" s="1047">
        <f t="shared" si="0"/>
        <v>12.5</v>
      </c>
      <c r="J15" s="1045" t="s">
        <v>1558</v>
      </c>
      <c r="K15" s="1045" t="s">
        <v>1559</v>
      </c>
    </row>
    <row r="16" spans="1:11" ht="24" customHeight="1">
      <c r="A16" s="1051"/>
      <c r="B16" s="1045" t="s">
        <v>11</v>
      </c>
      <c r="C16" s="1045" t="s">
        <v>12</v>
      </c>
      <c r="D16" s="1045" t="s">
        <v>51</v>
      </c>
      <c r="E16" s="1045" t="s">
        <v>645</v>
      </c>
      <c r="F16" s="1053" t="s">
        <v>50</v>
      </c>
      <c r="G16" s="1054">
        <v>10</v>
      </c>
      <c r="H16" s="1054">
        <v>14</v>
      </c>
      <c r="I16" s="1047">
        <f t="shared" si="0"/>
        <v>12</v>
      </c>
      <c r="J16" s="1045" t="s">
        <v>1560</v>
      </c>
      <c r="K16" s="1045" t="s">
        <v>1561</v>
      </c>
    </row>
    <row r="17" spans="1:11" ht="24" customHeight="1">
      <c r="A17" s="1051" t="s">
        <v>1131</v>
      </c>
      <c r="B17" s="1045" t="s">
        <v>13</v>
      </c>
      <c r="C17" s="1045" t="s">
        <v>957</v>
      </c>
      <c r="D17" s="1045" t="s">
        <v>1342</v>
      </c>
      <c r="E17" s="1045" t="s">
        <v>646</v>
      </c>
      <c r="F17" s="1046" t="s">
        <v>1562</v>
      </c>
      <c r="G17" s="1047">
        <v>1.8</v>
      </c>
      <c r="H17" s="1047"/>
      <c r="I17" s="1047">
        <f t="shared" si="0"/>
        <v>1.8</v>
      </c>
      <c r="J17" s="1045" t="s">
        <v>1563</v>
      </c>
      <c r="K17" s="1045" t="s">
        <v>1564</v>
      </c>
    </row>
    <row r="18" spans="1:11" ht="24" customHeight="1">
      <c r="A18" s="1051"/>
      <c r="B18" s="1045" t="s">
        <v>17</v>
      </c>
      <c r="C18" s="1045" t="s">
        <v>18</v>
      </c>
      <c r="D18" s="1045" t="s">
        <v>53</v>
      </c>
      <c r="E18" s="1045" t="s">
        <v>1023</v>
      </c>
      <c r="F18" s="1046" t="s">
        <v>1565</v>
      </c>
      <c r="G18" s="1047">
        <v>21</v>
      </c>
      <c r="H18" s="1047"/>
      <c r="I18" s="1047">
        <f t="shared" si="0"/>
        <v>21</v>
      </c>
      <c r="J18" s="1045" t="s">
        <v>1566</v>
      </c>
      <c r="K18" s="1045" t="s">
        <v>1567</v>
      </c>
    </row>
    <row r="19" spans="1:11" ht="24" customHeight="1">
      <c r="A19" s="1051"/>
      <c r="B19" s="1045" t="s">
        <v>17</v>
      </c>
      <c r="C19" s="1045" t="s">
        <v>18</v>
      </c>
      <c r="D19" s="1045" t="s">
        <v>53</v>
      </c>
      <c r="E19" s="1045" t="s">
        <v>1023</v>
      </c>
      <c r="F19" s="1046" t="s">
        <v>1568</v>
      </c>
      <c r="G19" s="1047">
        <v>24.4</v>
      </c>
      <c r="H19" s="1047"/>
      <c r="I19" s="1047">
        <f t="shared" si="0"/>
        <v>24.4</v>
      </c>
      <c r="J19" s="1045" t="s">
        <v>1566</v>
      </c>
      <c r="K19" s="1045" t="s">
        <v>1567</v>
      </c>
    </row>
    <row r="20" spans="1:11" ht="24" customHeight="1">
      <c r="A20" s="1051" t="s">
        <v>1131</v>
      </c>
      <c r="B20" s="1045" t="s">
        <v>19</v>
      </c>
      <c r="C20" s="1045" t="s">
        <v>959</v>
      </c>
      <c r="D20" s="1045" t="s">
        <v>1341</v>
      </c>
      <c r="E20" s="1045" t="s">
        <v>964</v>
      </c>
      <c r="F20" s="1046" t="s">
        <v>1562</v>
      </c>
      <c r="G20" s="1047">
        <v>2.4</v>
      </c>
      <c r="H20" s="1047"/>
      <c r="I20" s="1047">
        <f t="shared" si="0"/>
        <v>2.4</v>
      </c>
      <c r="J20" s="1045" t="s">
        <v>1569</v>
      </c>
      <c r="K20" s="1045" t="s">
        <v>1570</v>
      </c>
    </row>
    <row r="21" spans="1:11" ht="24" customHeight="1">
      <c r="A21" s="1051"/>
      <c r="B21" s="1045" t="s">
        <v>22</v>
      </c>
      <c r="C21" s="1045" t="s">
        <v>23</v>
      </c>
      <c r="D21" s="1045" t="s">
        <v>120</v>
      </c>
      <c r="E21" s="1045" t="s">
        <v>640</v>
      </c>
      <c r="F21" s="1046" t="s">
        <v>990</v>
      </c>
      <c r="G21" s="1047">
        <v>7.7</v>
      </c>
      <c r="H21" s="1047"/>
      <c r="I21" s="1047">
        <f t="shared" si="0"/>
        <v>7.7</v>
      </c>
      <c r="J21" s="1045" t="s">
        <v>1571</v>
      </c>
      <c r="K21" s="1045" t="s">
        <v>1572</v>
      </c>
    </row>
    <row r="22" spans="1:11" ht="24" customHeight="1">
      <c r="A22" s="1051"/>
      <c r="B22" s="1045" t="s">
        <v>22</v>
      </c>
      <c r="C22" s="1045" t="s">
        <v>23</v>
      </c>
      <c r="D22" s="1045" t="s">
        <v>120</v>
      </c>
      <c r="E22" s="1045" t="s">
        <v>640</v>
      </c>
      <c r="F22" s="1046" t="s">
        <v>1573</v>
      </c>
      <c r="G22" s="1047">
        <v>12.2</v>
      </c>
      <c r="H22" s="1047"/>
      <c r="I22" s="1047">
        <f t="shared" si="0"/>
        <v>12.2</v>
      </c>
      <c r="J22" s="1045" t="s">
        <v>1571</v>
      </c>
      <c r="K22" s="1045" t="s">
        <v>1572</v>
      </c>
    </row>
    <row r="23" spans="1:11" ht="24" customHeight="1">
      <c r="A23" s="1051"/>
      <c r="B23" s="1045" t="s">
        <v>22</v>
      </c>
      <c r="C23" s="1045" t="s">
        <v>23</v>
      </c>
      <c r="D23" s="1045" t="s">
        <v>57</v>
      </c>
      <c r="E23" s="1045" t="s">
        <v>641</v>
      </c>
      <c r="F23" s="1046" t="s">
        <v>990</v>
      </c>
      <c r="G23" s="1047">
        <v>7.7</v>
      </c>
      <c r="H23" s="1047"/>
      <c r="I23" s="1047">
        <f t="shared" si="0"/>
        <v>7.7</v>
      </c>
      <c r="J23" s="1045" t="s">
        <v>1571</v>
      </c>
      <c r="K23" s="1045" t="s">
        <v>1574</v>
      </c>
    </row>
    <row r="24" spans="1:11" ht="24" customHeight="1">
      <c r="A24" s="1051"/>
      <c r="B24" s="1045" t="s">
        <v>22</v>
      </c>
      <c r="C24" s="1045" t="s">
        <v>23</v>
      </c>
      <c r="D24" s="1045" t="s">
        <v>57</v>
      </c>
      <c r="E24" s="1045" t="s">
        <v>641</v>
      </c>
      <c r="F24" s="1046" t="s">
        <v>1573</v>
      </c>
      <c r="G24" s="1047">
        <v>12.2</v>
      </c>
      <c r="H24" s="1047"/>
      <c r="I24" s="1047">
        <f t="shared" si="0"/>
        <v>12.2</v>
      </c>
      <c r="J24" s="1045" t="s">
        <v>1571</v>
      </c>
      <c r="K24" s="1045" t="s">
        <v>1574</v>
      </c>
    </row>
    <row r="25" spans="1:11" ht="24" customHeight="1">
      <c r="A25" s="1051"/>
      <c r="B25" s="1045">
        <v>12</v>
      </c>
      <c r="C25" s="1045" t="s">
        <v>26</v>
      </c>
      <c r="D25" s="1045" t="s">
        <v>239</v>
      </c>
      <c r="E25" s="1045" t="s">
        <v>62</v>
      </c>
      <c r="F25" s="1046" t="s">
        <v>972</v>
      </c>
      <c r="G25" s="1047" t="s">
        <v>1575</v>
      </c>
      <c r="H25" s="1047"/>
      <c r="I25" s="1047" t="str">
        <f t="shared" si="0"/>
        <v>42.4 (standalone)
29.4 (integrated)</v>
      </c>
      <c r="J25" s="1045" t="s">
        <v>1576</v>
      </c>
      <c r="K25" s="1045" t="s">
        <v>1577</v>
      </c>
    </row>
    <row r="26" spans="1:11" ht="24" customHeight="1">
      <c r="A26" s="1051"/>
      <c r="B26" s="1045" t="s">
        <v>27</v>
      </c>
      <c r="C26" s="1045" t="s">
        <v>28</v>
      </c>
      <c r="D26" s="1045" t="s">
        <v>99</v>
      </c>
      <c r="E26" s="1045" t="s">
        <v>1513</v>
      </c>
      <c r="F26" s="1046" t="s">
        <v>1578</v>
      </c>
      <c r="G26" s="1047">
        <v>43.5</v>
      </c>
      <c r="H26" s="1047">
        <v>67.5</v>
      </c>
      <c r="I26" s="1047">
        <f t="shared" si="0"/>
        <v>55.5</v>
      </c>
      <c r="J26" s="1045" t="s">
        <v>1579</v>
      </c>
      <c r="K26" s="1045" t="s">
        <v>1580</v>
      </c>
    </row>
    <row r="27" spans="1:11" ht="24" customHeight="1">
      <c r="A27" s="1051"/>
      <c r="B27" s="1045" t="s">
        <v>29</v>
      </c>
      <c r="C27" s="1045" t="s">
        <v>1514</v>
      </c>
      <c r="D27" s="1045" t="s">
        <v>239</v>
      </c>
      <c r="E27" s="1045" t="s">
        <v>1194</v>
      </c>
      <c r="F27" s="1046" t="s">
        <v>1581</v>
      </c>
      <c r="G27" s="1047">
        <v>26.8</v>
      </c>
      <c r="H27" s="1047"/>
      <c r="I27" s="1047">
        <f t="shared" si="0"/>
        <v>26.8</v>
      </c>
      <c r="J27" s="1045" t="s">
        <v>1582</v>
      </c>
      <c r="K27" s="1045" t="s">
        <v>1583</v>
      </c>
    </row>
    <row r="28" spans="1:11" ht="24" customHeight="1">
      <c r="A28" s="1051"/>
      <c r="B28" s="1045" t="s">
        <v>29</v>
      </c>
      <c r="C28" s="1051"/>
      <c r="D28" s="1045" t="s">
        <v>1184</v>
      </c>
      <c r="E28" s="1045" t="s">
        <v>1195</v>
      </c>
      <c r="F28" s="1046" t="s">
        <v>1581</v>
      </c>
      <c r="G28" s="1047">
        <v>26.8</v>
      </c>
      <c r="H28" s="1047"/>
      <c r="I28" s="1047">
        <f t="shared" si="0"/>
        <v>26.8</v>
      </c>
      <c r="J28" s="1045" t="s">
        <v>1582</v>
      </c>
      <c r="K28" s="1045" t="s">
        <v>1584</v>
      </c>
    </row>
    <row r="29" spans="1:11" ht="24" customHeight="1">
      <c r="A29" s="1051"/>
      <c r="B29" s="1051"/>
      <c r="C29" s="1051"/>
      <c r="D29" s="1045" t="s">
        <v>1585</v>
      </c>
      <c r="E29" s="1045" t="s">
        <v>1586</v>
      </c>
      <c r="F29" s="1046" t="s">
        <v>1581</v>
      </c>
      <c r="G29" s="1047">
        <v>26.8</v>
      </c>
      <c r="H29" s="1047"/>
      <c r="I29" s="1047">
        <f t="shared" si="0"/>
        <v>26.8</v>
      </c>
      <c r="J29" s="1045" t="s">
        <v>1582</v>
      </c>
      <c r="K29" s="1045" t="s">
        <v>1584</v>
      </c>
    </row>
    <row r="30" spans="1:11" ht="24" customHeight="1">
      <c r="A30" s="1051" t="s">
        <v>1587</v>
      </c>
      <c r="B30" s="1055" t="s">
        <v>348</v>
      </c>
      <c r="C30" s="1051"/>
      <c r="D30" s="1051"/>
      <c r="E30" s="1056" t="s">
        <v>1140</v>
      </c>
      <c r="F30" s="1046" t="s">
        <v>1588</v>
      </c>
      <c r="G30" s="1047">
        <v>27.7</v>
      </c>
      <c r="H30" s="1047"/>
      <c r="I30" s="1047">
        <f t="shared" si="0"/>
        <v>27.7</v>
      </c>
      <c r="J30" s="1045"/>
      <c r="K30" s="1045"/>
    </row>
    <row r="31" spans="1:11" ht="24" customHeight="1">
      <c r="A31" s="1051" t="s">
        <v>1587</v>
      </c>
      <c r="B31" s="1055" t="s">
        <v>350</v>
      </c>
      <c r="C31" s="1051"/>
      <c r="D31" s="1051"/>
      <c r="E31" s="1056" t="s">
        <v>1140</v>
      </c>
      <c r="F31" s="1046" t="s">
        <v>1588</v>
      </c>
      <c r="G31" s="1047">
        <v>30.1</v>
      </c>
      <c r="H31" s="1047"/>
      <c r="I31" s="1047">
        <f t="shared" si="0"/>
        <v>30.1</v>
      </c>
      <c r="J31" s="1045"/>
      <c r="K31" s="1045"/>
    </row>
    <row r="32" spans="1:11" ht="24" customHeight="1">
      <c r="A32" s="1051" t="s">
        <v>1587</v>
      </c>
      <c r="B32" s="1055" t="s">
        <v>352</v>
      </c>
      <c r="C32" s="1051"/>
      <c r="D32" s="1051"/>
      <c r="E32" s="1056" t="s">
        <v>60</v>
      </c>
      <c r="F32" s="1046" t="s">
        <v>1588</v>
      </c>
      <c r="G32" s="1047">
        <v>29.1</v>
      </c>
      <c r="H32" s="1047"/>
      <c r="I32" s="1047">
        <f t="shared" si="0"/>
        <v>29.1</v>
      </c>
      <c r="J32" s="1045"/>
      <c r="K32" s="1045"/>
    </row>
    <row r="33" spans="1:11" ht="24" customHeight="1">
      <c r="A33" s="1051" t="s">
        <v>1587</v>
      </c>
      <c r="B33" s="1055" t="s">
        <v>1589</v>
      </c>
      <c r="C33" s="1051"/>
      <c r="D33" s="1051"/>
      <c r="E33" s="1056" t="s">
        <v>1140</v>
      </c>
      <c r="F33" s="1053" t="s">
        <v>1590</v>
      </c>
      <c r="G33" s="1054">
        <v>27.7</v>
      </c>
      <c r="H33" s="1054"/>
      <c r="I33" s="1047">
        <f t="shared" si="0"/>
        <v>27.7</v>
      </c>
      <c r="J33" s="1045"/>
      <c r="K33" s="1045"/>
    </row>
    <row r="34" spans="1:11" ht="24" customHeight="1">
      <c r="A34" s="1051" t="s">
        <v>1587</v>
      </c>
      <c r="B34" s="1055" t="s">
        <v>1591</v>
      </c>
      <c r="C34" s="1051"/>
      <c r="D34" s="1051"/>
      <c r="E34" s="1056" t="s">
        <v>1140</v>
      </c>
      <c r="F34" s="1053" t="s">
        <v>1590</v>
      </c>
      <c r="G34" s="1054">
        <v>25.6</v>
      </c>
      <c r="H34" s="1054">
        <v>26.5</v>
      </c>
      <c r="I34" s="1047">
        <f t="shared" si="0"/>
        <v>26.05</v>
      </c>
      <c r="J34" s="1045"/>
      <c r="K34" s="1045"/>
    </row>
    <row r="35" spans="1:11" ht="24" customHeight="1">
      <c r="A35" s="1051" t="s">
        <v>1587</v>
      </c>
      <c r="B35" s="1055" t="s">
        <v>371</v>
      </c>
      <c r="C35" s="1051"/>
      <c r="D35" s="1051"/>
      <c r="E35" s="1056" t="s">
        <v>1140</v>
      </c>
      <c r="F35" s="1053" t="s">
        <v>372</v>
      </c>
      <c r="G35" s="1054">
        <v>17</v>
      </c>
      <c r="H35" s="1054">
        <v>18</v>
      </c>
      <c r="I35" s="1047">
        <f t="shared" si="0"/>
        <v>17.5</v>
      </c>
      <c r="J35" s="1045"/>
      <c r="K35" s="1045"/>
    </row>
    <row r="36" spans="1:11" ht="24" customHeight="1">
      <c r="A36" s="1051" t="s">
        <v>1587</v>
      </c>
      <c r="B36" s="1057" t="s">
        <v>1592</v>
      </c>
      <c r="C36" s="1051"/>
      <c r="D36" s="1051"/>
      <c r="E36" s="1056" t="s">
        <v>1140</v>
      </c>
      <c r="F36" s="1053" t="s">
        <v>372</v>
      </c>
      <c r="G36" s="1054">
        <v>17.399999999999999</v>
      </c>
      <c r="H36" s="1054">
        <v>17.7</v>
      </c>
      <c r="I36" s="1047">
        <f t="shared" si="0"/>
        <v>17.549999999999997</v>
      </c>
      <c r="J36" s="1045"/>
      <c r="K36" s="1045"/>
    </row>
    <row r="37" spans="1:11">
      <c r="A37" s="1038"/>
      <c r="B37" s="1038"/>
      <c r="C37" s="1038"/>
      <c r="D37" s="1038"/>
      <c r="E37" s="1038"/>
      <c r="F37" s="1038"/>
      <c r="G37" s="1040"/>
      <c r="H37" s="1040"/>
      <c r="I37" s="1040"/>
      <c r="J37" s="1040"/>
      <c r="K37" s="1040"/>
    </row>
    <row r="38" spans="1:11">
      <c r="G38" s="1040"/>
      <c r="H38" s="1040"/>
      <c r="I38" s="1040"/>
      <c r="J38" s="1040"/>
      <c r="K38" s="1040"/>
    </row>
    <row r="39" spans="1:11">
      <c r="G39" s="1040"/>
      <c r="H39" s="1040"/>
      <c r="I39" s="1040"/>
      <c r="J39" s="1040"/>
      <c r="K39" s="1040"/>
    </row>
    <row r="40" spans="1:11">
      <c r="G40" s="1040"/>
      <c r="H40" s="1040"/>
      <c r="I40" s="1040"/>
      <c r="J40" s="1040"/>
      <c r="K40" s="1040"/>
    </row>
    <row r="41" spans="1:11">
      <c r="G41" s="1040"/>
      <c r="H41" s="1040"/>
      <c r="I41" s="1040"/>
      <c r="J41" s="1040"/>
      <c r="K41" s="1040"/>
    </row>
    <row r="42" spans="1:11">
      <c r="G42" s="1040"/>
      <c r="H42" s="1040"/>
      <c r="I42" s="1040"/>
      <c r="J42" s="1040"/>
      <c r="K42" s="1040"/>
    </row>
    <row r="43" spans="1:11">
      <c r="G43" s="1040"/>
      <c r="H43" s="1040"/>
      <c r="I43" s="1040"/>
      <c r="J43" s="1040"/>
      <c r="K43" s="1040"/>
    </row>
    <row r="44" spans="1:11">
      <c r="G44" s="1040"/>
      <c r="H44" s="1040"/>
      <c r="I44" s="1040"/>
      <c r="J44" s="1040"/>
      <c r="K44" s="1040"/>
    </row>
    <row r="45" spans="1:11">
      <c r="G45" s="1040"/>
      <c r="H45" s="1040"/>
      <c r="I45" s="1040"/>
      <c r="J45" s="1040"/>
      <c r="K45" s="1040"/>
    </row>
    <row r="46" spans="1:11">
      <c r="G46" s="1040"/>
      <c r="H46" s="1040"/>
      <c r="I46" s="1040"/>
      <c r="J46" s="1040"/>
      <c r="K46" s="1040"/>
    </row>
    <row r="47" spans="1:11">
      <c r="G47" s="1040"/>
      <c r="H47" s="1040"/>
      <c r="I47" s="1040"/>
      <c r="J47" s="1040"/>
      <c r="K47" s="1040"/>
    </row>
    <row r="48" spans="1:11">
      <c r="G48" s="1040"/>
      <c r="H48" s="1040"/>
      <c r="I48" s="1040"/>
      <c r="J48" s="1040"/>
      <c r="K48" s="1040"/>
    </row>
    <row r="49" spans="7:11">
      <c r="G49" s="1040"/>
      <c r="H49" s="1040"/>
      <c r="I49" s="1040"/>
      <c r="J49" s="1040"/>
      <c r="K49" s="1040"/>
    </row>
    <row r="50" spans="7:11">
      <c r="G50" s="1040"/>
      <c r="H50" s="1040"/>
      <c r="I50" s="1040"/>
      <c r="J50" s="1040"/>
      <c r="K50" s="1040"/>
    </row>
    <row r="51" spans="7:11">
      <c r="G51" s="1040"/>
      <c r="H51" s="1040"/>
      <c r="I51" s="1040"/>
      <c r="J51" s="1040"/>
      <c r="K51" s="1040"/>
    </row>
    <row r="52" spans="7:11">
      <c r="G52" s="1040"/>
      <c r="H52" s="1040"/>
      <c r="I52" s="1040"/>
      <c r="J52" s="1040"/>
      <c r="K52" s="1040"/>
    </row>
    <row r="53" spans="7:11">
      <c r="G53" s="1040"/>
      <c r="H53" s="1040"/>
      <c r="I53" s="1040"/>
      <c r="J53" s="1040"/>
      <c r="K53" s="1040"/>
    </row>
    <row r="54" spans="7:11">
      <c r="G54" s="1040"/>
      <c r="H54" s="1040"/>
      <c r="I54" s="1040"/>
      <c r="J54" s="1040"/>
      <c r="K54" s="1040"/>
    </row>
    <row r="55" spans="7:11">
      <c r="G55" s="1040"/>
      <c r="H55" s="1040"/>
      <c r="I55" s="1040"/>
      <c r="J55" s="1040"/>
      <c r="K55" s="1040"/>
    </row>
    <row r="56" spans="7:11">
      <c r="G56" s="1040"/>
      <c r="H56" s="1040"/>
      <c r="I56" s="1040"/>
      <c r="J56" s="1040"/>
      <c r="K56" s="1040"/>
    </row>
    <row r="57" spans="7:11">
      <c r="G57" s="1040"/>
      <c r="H57" s="1040"/>
      <c r="I57" s="1040"/>
      <c r="J57" s="1040"/>
      <c r="K57" s="1040"/>
    </row>
    <row r="58" spans="7:11">
      <c r="G58" s="1040"/>
      <c r="H58" s="1040"/>
      <c r="I58" s="1040"/>
      <c r="J58" s="1040"/>
      <c r="K58" s="1040"/>
    </row>
    <row r="59" spans="7:11">
      <c r="G59" s="1040"/>
      <c r="H59" s="1040"/>
      <c r="I59" s="1040"/>
      <c r="J59" s="1040"/>
      <c r="K59" s="1040"/>
    </row>
    <row r="60" spans="7:11">
      <c r="G60" s="1040"/>
      <c r="H60" s="1040"/>
      <c r="I60" s="1040"/>
      <c r="J60" s="1040"/>
      <c r="K60" s="1040"/>
    </row>
    <row r="61" spans="7:11">
      <c r="G61" s="1040"/>
      <c r="H61" s="1040"/>
      <c r="I61" s="1040"/>
      <c r="J61" s="1040"/>
      <c r="K61" s="1040"/>
    </row>
    <row r="62" spans="7:11">
      <c r="G62" s="1040"/>
      <c r="H62" s="1040"/>
      <c r="I62" s="1040"/>
      <c r="J62" s="1040"/>
      <c r="K62" s="1040"/>
    </row>
    <row r="63" spans="7:11">
      <c r="G63" s="1040"/>
      <c r="H63" s="1040"/>
      <c r="I63" s="1040"/>
      <c r="J63" s="1040"/>
      <c r="K63" s="1040"/>
    </row>
    <row r="64" spans="7:11">
      <c r="G64" s="1040"/>
      <c r="H64" s="1040"/>
      <c r="I64" s="1040"/>
      <c r="J64" s="1040"/>
      <c r="K64" s="1040"/>
    </row>
    <row r="65" spans="7:11">
      <c r="G65" s="1040"/>
      <c r="H65" s="1040"/>
      <c r="I65" s="1040"/>
      <c r="J65" s="1040"/>
      <c r="K65" s="1040"/>
    </row>
    <row r="66" spans="7:11">
      <c r="G66" s="1040"/>
      <c r="H66" s="1040"/>
      <c r="I66" s="1040"/>
      <c r="J66" s="1040"/>
      <c r="K66" s="1040"/>
    </row>
    <row r="67" spans="7:11">
      <c r="G67" s="1040"/>
      <c r="H67" s="1040"/>
      <c r="I67" s="1040"/>
      <c r="J67" s="1040"/>
      <c r="K67" s="1040"/>
    </row>
    <row r="68" spans="7:11">
      <c r="G68" s="1040"/>
      <c r="H68" s="1040"/>
      <c r="I68" s="1040"/>
      <c r="J68" s="1040"/>
      <c r="K68" s="1040"/>
    </row>
    <row r="69" spans="7:11">
      <c r="G69" s="1040"/>
      <c r="H69" s="1040"/>
      <c r="I69" s="1040"/>
      <c r="J69" s="1040"/>
      <c r="K69" s="1040"/>
    </row>
    <row r="70" spans="7:11">
      <c r="G70" s="1040"/>
      <c r="H70" s="1040"/>
      <c r="I70" s="1040"/>
      <c r="J70" s="1040"/>
      <c r="K70" s="1040"/>
    </row>
    <row r="71" spans="7:11">
      <c r="G71" s="1040"/>
      <c r="H71" s="1040"/>
      <c r="I71" s="1040"/>
      <c r="J71" s="1040"/>
      <c r="K71" s="1040"/>
    </row>
    <row r="72" spans="7:11">
      <c r="G72" s="1040"/>
      <c r="H72" s="1040"/>
      <c r="I72" s="1040"/>
      <c r="J72" s="1040"/>
      <c r="K72" s="1040"/>
    </row>
    <row r="73" spans="7:11">
      <c r="G73" s="1040"/>
      <c r="H73" s="1040"/>
      <c r="I73" s="1040"/>
      <c r="J73" s="1040"/>
      <c r="K73" s="1040"/>
    </row>
    <row r="74" spans="7:11">
      <c r="G74" s="1040"/>
      <c r="H74" s="1040"/>
      <c r="I74" s="1040"/>
      <c r="J74" s="1040"/>
      <c r="K74" s="1040"/>
    </row>
    <row r="75" spans="7:11">
      <c r="G75" s="1040"/>
      <c r="H75" s="1040"/>
      <c r="I75" s="1040"/>
      <c r="J75" s="1040"/>
      <c r="K75" s="1040"/>
    </row>
    <row r="76" spans="7:11">
      <c r="G76" s="1040"/>
      <c r="H76" s="1040"/>
      <c r="I76" s="1040"/>
      <c r="J76" s="1040"/>
      <c r="K76" s="1040"/>
    </row>
    <row r="77" spans="7:11">
      <c r="G77" s="1040"/>
      <c r="H77" s="1040"/>
      <c r="I77" s="1040"/>
      <c r="J77" s="1040"/>
      <c r="K77" s="1040"/>
    </row>
    <row r="78" spans="7:11">
      <c r="G78" s="1040"/>
      <c r="H78" s="1040"/>
      <c r="I78" s="1040"/>
      <c r="J78" s="1040"/>
      <c r="K78" s="1040"/>
    </row>
    <row r="79" spans="7:11">
      <c r="G79" s="1040"/>
      <c r="H79" s="1040"/>
      <c r="I79" s="1040"/>
      <c r="J79" s="1040"/>
      <c r="K79" s="1040"/>
    </row>
    <row r="80" spans="7:11">
      <c r="G80" s="1040"/>
      <c r="H80" s="1040"/>
      <c r="I80" s="1040"/>
      <c r="J80" s="1040"/>
      <c r="K80" s="1040"/>
    </row>
    <row r="81" spans="7:11">
      <c r="G81" s="1040"/>
      <c r="H81" s="1040"/>
      <c r="I81" s="1040"/>
      <c r="J81" s="1040"/>
      <c r="K81" s="1040"/>
    </row>
    <row r="82" spans="7:11">
      <c r="G82" s="1040"/>
      <c r="H82" s="1040"/>
      <c r="I82" s="1040"/>
      <c r="J82" s="1040"/>
      <c r="K82" s="1040"/>
    </row>
    <row r="83" spans="7:11">
      <c r="G83" s="1040"/>
      <c r="H83" s="1040"/>
      <c r="I83" s="1040"/>
      <c r="J83" s="1040"/>
      <c r="K83" s="1040"/>
    </row>
    <row r="84" spans="7:11">
      <c r="G84" s="1040"/>
      <c r="H84" s="1040"/>
      <c r="I84" s="1040"/>
      <c r="J84" s="1040"/>
      <c r="K84" s="1040"/>
    </row>
    <row r="85" spans="7:11">
      <c r="G85" s="1040"/>
      <c r="H85" s="1040"/>
      <c r="I85" s="1040"/>
      <c r="J85" s="1040"/>
      <c r="K85" s="1040"/>
    </row>
    <row r="86" spans="7:11">
      <c r="G86" s="1040"/>
      <c r="H86" s="1040"/>
      <c r="I86" s="1040"/>
      <c r="J86" s="1040"/>
      <c r="K86" s="1040"/>
    </row>
    <row r="87" spans="7:11">
      <c r="G87" s="1040"/>
      <c r="H87" s="1040"/>
      <c r="I87" s="1040"/>
      <c r="J87" s="1040"/>
      <c r="K87" s="1040"/>
    </row>
    <row r="88" spans="7:11">
      <c r="G88" s="1040"/>
      <c r="H88" s="1040"/>
      <c r="I88" s="1040"/>
      <c r="J88" s="1040"/>
      <c r="K88" s="1040"/>
    </row>
    <row r="89" spans="7:11">
      <c r="G89" s="1040"/>
      <c r="H89" s="1040"/>
      <c r="I89" s="1040"/>
      <c r="J89" s="1040"/>
      <c r="K89" s="1040"/>
    </row>
    <row r="90" spans="7:11">
      <c r="G90" s="1040"/>
      <c r="H90" s="1040"/>
      <c r="I90" s="1040"/>
      <c r="J90" s="1040"/>
      <c r="K90" s="1040"/>
    </row>
    <row r="91" spans="7:11">
      <c r="G91" s="1040"/>
      <c r="H91" s="1040"/>
      <c r="I91" s="1040"/>
      <c r="J91" s="1040"/>
      <c r="K91" s="1040"/>
    </row>
    <row r="92" spans="7:11">
      <c r="G92" s="1040"/>
      <c r="H92" s="1040"/>
      <c r="I92" s="1040"/>
      <c r="J92" s="1040"/>
      <c r="K92" s="1040"/>
    </row>
    <row r="93" spans="7:11">
      <c r="G93" s="1040"/>
      <c r="H93" s="1040"/>
      <c r="I93" s="1040"/>
      <c r="J93" s="1040"/>
      <c r="K93" s="1040"/>
    </row>
    <row r="94" spans="7:11">
      <c r="G94" s="1040"/>
      <c r="H94" s="1040"/>
      <c r="I94" s="1040"/>
      <c r="J94" s="1040"/>
      <c r="K94" s="1040"/>
    </row>
    <row r="95" spans="7:11">
      <c r="G95" s="1040"/>
      <c r="H95" s="1040"/>
      <c r="I95" s="1040"/>
      <c r="J95" s="1040"/>
      <c r="K95" s="1040"/>
    </row>
    <row r="96" spans="7:11">
      <c r="G96" s="1040"/>
      <c r="H96" s="1040"/>
      <c r="I96" s="1040"/>
      <c r="J96" s="1040"/>
      <c r="K96" s="1040"/>
    </row>
    <row r="97" spans="7:11">
      <c r="G97" s="1040"/>
      <c r="H97" s="1040"/>
      <c r="I97" s="1040"/>
      <c r="J97" s="1040"/>
      <c r="K97" s="1040"/>
    </row>
    <row r="98" spans="7:11">
      <c r="G98" s="1040"/>
      <c r="H98" s="1040"/>
      <c r="I98" s="1040"/>
      <c r="J98" s="1040"/>
      <c r="K98" s="1040"/>
    </row>
    <row r="99" spans="7:11">
      <c r="G99" s="1040"/>
      <c r="H99" s="1040"/>
      <c r="I99" s="1040"/>
      <c r="J99" s="1040"/>
      <c r="K99" s="1040"/>
    </row>
    <row r="100" spans="7:11">
      <c r="G100" s="1040"/>
      <c r="H100" s="1040"/>
      <c r="I100" s="1040"/>
      <c r="J100" s="1040"/>
      <c r="K100" s="1040"/>
    </row>
    <row r="101" spans="7:11">
      <c r="G101" s="1040"/>
      <c r="H101" s="1040"/>
      <c r="I101" s="1040"/>
      <c r="J101" s="1040"/>
      <c r="K101" s="1040"/>
    </row>
    <row r="102" spans="7:11">
      <c r="G102" s="1040"/>
      <c r="H102" s="1040"/>
      <c r="I102" s="1040"/>
      <c r="J102" s="1040"/>
      <c r="K102" s="1040"/>
    </row>
    <row r="103" spans="7:11">
      <c r="G103" s="1040"/>
      <c r="H103" s="1040"/>
      <c r="I103" s="1040"/>
      <c r="J103" s="1040"/>
      <c r="K103" s="1040"/>
    </row>
    <row r="104" spans="7:11">
      <c r="G104" s="1040"/>
      <c r="H104" s="1040"/>
      <c r="I104" s="1040"/>
      <c r="J104" s="1040"/>
      <c r="K104" s="1040"/>
    </row>
    <row r="105" spans="7:11">
      <c r="G105" s="1040"/>
      <c r="H105" s="1040"/>
      <c r="I105" s="1040"/>
      <c r="J105" s="1040"/>
      <c r="K105" s="1040"/>
    </row>
    <row r="106" spans="7:11">
      <c r="G106" s="1040"/>
      <c r="H106" s="1040"/>
      <c r="I106" s="1040"/>
      <c r="J106" s="1040"/>
      <c r="K106" s="1040"/>
    </row>
    <row r="107" spans="7:11">
      <c r="G107" s="1040"/>
      <c r="H107" s="1040"/>
      <c r="I107" s="1040"/>
      <c r="J107" s="1040"/>
      <c r="K107" s="1040"/>
    </row>
    <row r="108" spans="7:11">
      <c r="G108" s="1040"/>
      <c r="H108" s="1040"/>
      <c r="I108" s="1040"/>
      <c r="J108" s="1040"/>
      <c r="K108" s="1040"/>
    </row>
    <row r="109" spans="7:11">
      <c r="G109" s="1040"/>
      <c r="H109" s="1040"/>
      <c r="I109" s="1040"/>
      <c r="J109" s="1040"/>
      <c r="K109" s="1040"/>
    </row>
    <row r="110" spans="7:11">
      <c r="G110" s="1040"/>
      <c r="H110" s="1040"/>
      <c r="I110" s="1040"/>
      <c r="J110" s="1040"/>
      <c r="K110" s="1040"/>
    </row>
    <row r="111" spans="7:11">
      <c r="G111" s="1040"/>
      <c r="H111" s="1040"/>
      <c r="I111" s="1040"/>
      <c r="J111" s="1040"/>
      <c r="K111" s="1040"/>
    </row>
    <row r="112" spans="7:11">
      <c r="G112" s="1040"/>
      <c r="H112" s="1040"/>
      <c r="I112" s="1040"/>
      <c r="J112" s="1040"/>
      <c r="K112" s="1040"/>
    </row>
    <row r="113" spans="7:11">
      <c r="G113" s="1040"/>
      <c r="H113" s="1040"/>
      <c r="I113" s="1040"/>
      <c r="J113" s="1040"/>
      <c r="K113" s="1040"/>
    </row>
    <row r="114" spans="7:11">
      <c r="G114" s="1040"/>
      <c r="H114" s="1040"/>
      <c r="I114" s="1040"/>
      <c r="J114" s="1040"/>
      <c r="K114" s="1040"/>
    </row>
    <row r="115" spans="7:11">
      <c r="G115" s="1040"/>
      <c r="H115" s="1040"/>
      <c r="I115" s="1040"/>
      <c r="J115" s="1040"/>
      <c r="K115" s="1040"/>
    </row>
    <row r="116" spans="7:11">
      <c r="G116" s="1040"/>
      <c r="H116" s="1040"/>
      <c r="I116" s="1040"/>
      <c r="J116" s="1040"/>
      <c r="K116" s="1040"/>
    </row>
    <row r="117" spans="7:11">
      <c r="G117" s="1040"/>
      <c r="H117" s="1040"/>
      <c r="I117" s="1040"/>
      <c r="J117" s="1040"/>
      <c r="K117" s="1040"/>
    </row>
    <row r="118" spans="7:11">
      <c r="G118" s="1040"/>
      <c r="H118" s="1040"/>
      <c r="I118" s="1040"/>
      <c r="J118" s="1040"/>
      <c r="K118" s="1040"/>
    </row>
    <row r="119" spans="7:11">
      <c r="G119" s="1040"/>
      <c r="H119" s="1040"/>
      <c r="I119" s="1040"/>
      <c r="J119" s="1040"/>
      <c r="K119" s="1040"/>
    </row>
    <row r="120" spans="7:11">
      <c r="G120" s="1040"/>
      <c r="H120" s="1040"/>
      <c r="I120" s="1040"/>
      <c r="J120" s="1040"/>
      <c r="K120" s="1040"/>
    </row>
    <row r="121" spans="7:11">
      <c r="G121" s="1040"/>
      <c r="H121" s="1040"/>
      <c r="I121" s="1040"/>
      <c r="J121" s="1040"/>
      <c r="K121" s="1040"/>
    </row>
    <row r="122" spans="7:11">
      <c r="G122" s="1040"/>
      <c r="H122" s="1040"/>
      <c r="I122" s="1040"/>
      <c r="J122" s="1040"/>
      <c r="K122" s="1040"/>
    </row>
    <row r="123" spans="7:11">
      <c r="G123" s="1040"/>
      <c r="H123" s="1040"/>
      <c r="I123" s="1040"/>
      <c r="J123" s="1040"/>
      <c r="K123" s="1040"/>
    </row>
    <row r="124" spans="7:11">
      <c r="G124" s="1040"/>
      <c r="H124" s="1040"/>
      <c r="I124" s="1040"/>
      <c r="J124" s="1040"/>
      <c r="K124" s="1040"/>
    </row>
    <row r="125" spans="7:11">
      <c r="G125" s="1040"/>
      <c r="H125" s="1040"/>
      <c r="I125" s="1040"/>
      <c r="J125" s="1040"/>
      <c r="K125" s="1040"/>
    </row>
    <row r="126" spans="7:11">
      <c r="G126" s="1040"/>
      <c r="H126" s="1040"/>
      <c r="I126" s="1040"/>
      <c r="J126" s="1040"/>
      <c r="K126" s="1040"/>
    </row>
    <row r="127" spans="7:11">
      <c r="G127" s="1040"/>
      <c r="H127" s="1040"/>
      <c r="I127" s="1040"/>
      <c r="J127" s="1040"/>
      <c r="K127" s="1040"/>
    </row>
    <row r="128" spans="7:11">
      <c r="G128" s="1040"/>
      <c r="H128" s="1040"/>
      <c r="I128" s="1040"/>
      <c r="J128" s="1040"/>
      <c r="K128" s="1040"/>
    </row>
    <row r="129" spans="7:11">
      <c r="G129" s="1040"/>
      <c r="H129" s="1040"/>
      <c r="I129" s="1040"/>
      <c r="J129" s="1040"/>
      <c r="K129" s="1040"/>
    </row>
    <row r="130" spans="7:11">
      <c r="G130" s="1040"/>
      <c r="H130" s="1040"/>
      <c r="I130" s="1040"/>
      <c r="J130" s="1040"/>
      <c r="K130" s="1040"/>
    </row>
    <row r="131" spans="7:11">
      <c r="G131" s="1040"/>
      <c r="H131" s="1040"/>
      <c r="I131" s="1040"/>
      <c r="J131" s="1040"/>
      <c r="K131" s="1040"/>
    </row>
    <row r="132" spans="7:11">
      <c r="G132" s="1040"/>
      <c r="H132" s="1040"/>
      <c r="I132" s="1040"/>
      <c r="J132" s="1040"/>
      <c r="K132" s="1040"/>
    </row>
    <row r="133" spans="7:11">
      <c r="G133" s="1040"/>
      <c r="H133" s="1040"/>
      <c r="I133" s="1040"/>
      <c r="J133" s="1040"/>
      <c r="K133" s="1040"/>
    </row>
    <row r="134" spans="7:11">
      <c r="G134" s="1040"/>
      <c r="H134" s="1040"/>
      <c r="I134" s="1040"/>
      <c r="J134" s="1040"/>
      <c r="K134" s="1040"/>
    </row>
    <row r="135" spans="7:11">
      <c r="G135" s="1040"/>
      <c r="H135" s="1040"/>
      <c r="I135" s="1040"/>
      <c r="J135" s="1040"/>
      <c r="K135" s="1040"/>
    </row>
    <row r="136" spans="7:11">
      <c r="G136" s="1040"/>
      <c r="H136" s="1040"/>
      <c r="I136" s="1040"/>
      <c r="J136" s="1040"/>
      <c r="K136" s="1040"/>
    </row>
    <row r="137" spans="7:11">
      <c r="G137" s="1040"/>
      <c r="H137" s="1040"/>
      <c r="I137" s="1040"/>
      <c r="J137" s="1040"/>
      <c r="K137" s="1040"/>
    </row>
    <row r="138" spans="7:11">
      <c r="G138" s="1040"/>
      <c r="H138" s="1040"/>
      <c r="I138" s="1040"/>
      <c r="J138" s="1040"/>
      <c r="K138" s="1040"/>
    </row>
    <row r="139" spans="7:11">
      <c r="G139" s="1040"/>
      <c r="H139" s="1040"/>
      <c r="I139" s="1040"/>
      <c r="J139" s="1040"/>
      <c r="K139" s="1040"/>
    </row>
    <row r="140" spans="7:11">
      <c r="G140" s="1040"/>
      <c r="H140" s="1040"/>
      <c r="I140" s="1040"/>
      <c r="J140" s="1040"/>
      <c r="K140" s="1040"/>
    </row>
    <row r="141" spans="7:11">
      <c r="G141" s="1040"/>
      <c r="H141" s="1040"/>
      <c r="I141" s="1040"/>
      <c r="J141" s="1040"/>
      <c r="K141" s="1040"/>
    </row>
    <row r="142" spans="7:11">
      <c r="G142" s="1040"/>
      <c r="H142" s="1040"/>
      <c r="I142" s="1040"/>
      <c r="J142" s="1040"/>
      <c r="K142" s="1040"/>
    </row>
    <row r="143" spans="7:11">
      <c r="G143" s="1040"/>
      <c r="H143" s="1040"/>
      <c r="I143" s="1040"/>
      <c r="J143" s="1040"/>
      <c r="K143" s="1040"/>
    </row>
    <row r="144" spans="7:11">
      <c r="G144" s="1040"/>
      <c r="H144" s="1040"/>
      <c r="I144" s="1040"/>
      <c r="J144" s="1040"/>
      <c r="K144" s="1040"/>
    </row>
    <row r="145" spans="7:11">
      <c r="G145" s="1040"/>
      <c r="H145" s="1040"/>
      <c r="I145" s="1040"/>
      <c r="J145" s="1040"/>
      <c r="K145" s="1040"/>
    </row>
    <row r="146" spans="7:11">
      <c r="G146" s="1040"/>
      <c r="H146" s="1040"/>
      <c r="I146" s="1040"/>
      <c r="J146" s="1040"/>
      <c r="K146" s="1040"/>
    </row>
    <row r="147" spans="7:11">
      <c r="G147" s="1040"/>
      <c r="H147" s="1040"/>
      <c r="I147" s="1040"/>
      <c r="J147" s="1040"/>
      <c r="K147" s="1040"/>
    </row>
    <row r="148" spans="7:11">
      <c r="G148" s="1040"/>
      <c r="H148" s="1040"/>
      <c r="I148" s="1040"/>
      <c r="J148" s="1040"/>
      <c r="K148" s="1040"/>
    </row>
    <row r="149" spans="7:11">
      <c r="G149" s="1040"/>
      <c r="H149" s="1040"/>
      <c r="I149" s="1040"/>
      <c r="J149" s="1040"/>
      <c r="K149" s="1040"/>
    </row>
    <row r="150" spans="7:11">
      <c r="G150" s="1040"/>
      <c r="H150" s="1040"/>
      <c r="I150" s="1040"/>
      <c r="J150" s="1040"/>
      <c r="K150" s="1040"/>
    </row>
    <row r="151" spans="7:11">
      <c r="G151" s="1040"/>
      <c r="H151" s="1040"/>
      <c r="I151" s="1040"/>
      <c r="J151" s="1040"/>
      <c r="K151" s="1040"/>
    </row>
    <row r="152" spans="7:11">
      <c r="G152" s="1040"/>
      <c r="H152" s="1040"/>
      <c r="I152" s="1040"/>
      <c r="J152" s="1040"/>
      <c r="K152" s="1040"/>
    </row>
    <row r="153" spans="7:11">
      <c r="G153" s="1040"/>
      <c r="H153" s="1040"/>
      <c r="I153" s="1040"/>
      <c r="J153" s="1040"/>
      <c r="K153" s="1040"/>
    </row>
    <row r="154" spans="7:11">
      <c r="G154" s="1040"/>
      <c r="H154" s="1040"/>
      <c r="I154" s="1040"/>
      <c r="J154" s="1040"/>
      <c r="K154" s="1040"/>
    </row>
    <row r="155" spans="7:11">
      <c r="G155" s="1040"/>
      <c r="H155" s="1040"/>
      <c r="I155" s="1040"/>
      <c r="J155" s="1040"/>
      <c r="K155" s="1040"/>
    </row>
    <row r="156" spans="7:11">
      <c r="G156" s="1040"/>
      <c r="H156" s="1040"/>
      <c r="I156" s="1040"/>
      <c r="J156" s="1040"/>
      <c r="K156" s="1040"/>
    </row>
    <row r="157" spans="7:11">
      <c r="G157" s="1040"/>
      <c r="H157" s="1040"/>
      <c r="I157" s="1040"/>
      <c r="J157" s="1040"/>
      <c r="K157" s="1040"/>
    </row>
    <row r="158" spans="7:11">
      <c r="G158" s="1040"/>
      <c r="H158" s="1040"/>
      <c r="I158" s="1040"/>
      <c r="J158" s="1040"/>
      <c r="K158" s="1040"/>
    </row>
    <row r="159" spans="7:11">
      <c r="G159" s="1040"/>
      <c r="H159" s="1040"/>
      <c r="I159" s="1040"/>
      <c r="J159" s="1040"/>
      <c r="K159" s="1040"/>
    </row>
    <row r="160" spans="7:11">
      <c r="G160" s="1040"/>
      <c r="H160" s="1040"/>
      <c r="I160" s="1040"/>
      <c r="J160" s="1040"/>
      <c r="K160" s="1040"/>
    </row>
    <row r="161" spans="7:11">
      <c r="G161" s="1040"/>
      <c r="H161" s="1040"/>
      <c r="I161" s="1040"/>
      <c r="J161" s="1040"/>
      <c r="K161" s="1040"/>
    </row>
    <row r="162" spans="7:11">
      <c r="G162" s="1040"/>
      <c r="H162" s="1040"/>
      <c r="I162" s="1040"/>
      <c r="J162" s="1040"/>
      <c r="K162" s="1040"/>
    </row>
    <row r="163" spans="7:11">
      <c r="G163" s="1040"/>
      <c r="H163" s="1040"/>
      <c r="I163" s="1040"/>
      <c r="J163" s="1040"/>
      <c r="K163" s="1040"/>
    </row>
    <row r="164" spans="7:11">
      <c r="G164" s="1040"/>
      <c r="H164" s="1040"/>
      <c r="I164" s="1040"/>
      <c r="J164" s="1040"/>
      <c r="K164" s="1040"/>
    </row>
    <row r="165" spans="7:11">
      <c r="G165" s="1040"/>
      <c r="H165" s="1040"/>
      <c r="I165" s="1040"/>
      <c r="J165" s="1040"/>
      <c r="K165" s="1040"/>
    </row>
    <row r="166" spans="7:11">
      <c r="G166" s="1040"/>
      <c r="H166" s="1040"/>
      <c r="I166" s="1040"/>
      <c r="J166" s="1040"/>
      <c r="K166" s="1040"/>
    </row>
    <row r="167" spans="7:11">
      <c r="G167" s="1040"/>
      <c r="H167" s="1040"/>
      <c r="I167" s="1040"/>
      <c r="J167" s="1040"/>
      <c r="K167" s="1040"/>
    </row>
    <row r="168" spans="7:11">
      <c r="G168" s="1040"/>
      <c r="H168" s="1040"/>
      <c r="I168" s="1040"/>
      <c r="J168" s="1040"/>
      <c r="K168" s="1040"/>
    </row>
    <row r="169" spans="7:11">
      <c r="G169" s="1040"/>
      <c r="H169" s="1040"/>
      <c r="I169" s="1040"/>
      <c r="J169" s="1040"/>
      <c r="K169" s="1040"/>
    </row>
    <row r="170" spans="7:11">
      <c r="G170" s="1040"/>
      <c r="H170" s="1040"/>
      <c r="I170" s="1040"/>
      <c r="J170" s="1040"/>
      <c r="K170" s="1040"/>
    </row>
    <row r="171" spans="7:11">
      <c r="G171" s="1040"/>
      <c r="H171" s="1040"/>
      <c r="I171" s="1040"/>
      <c r="J171" s="1040"/>
      <c r="K171" s="1040"/>
    </row>
    <row r="172" spans="7:11">
      <c r="G172" s="1040"/>
      <c r="H172" s="1040"/>
      <c r="I172" s="1040"/>
      <c r="J172" s="1040"/>
      <c r="K172" s="1040"/>
    </row>
    <row r="173" spans="7:11">
      <c r="G173" s="1040"/>
      <c r="H173" s="1040"/>
      <c r="I173" s="1040"/>
      <c r="J173" s="1040"/>
      <c r="K173" s="1040"/>
    </row>
    <row r="174" spans="7:11">
      <c r="G174" s="1040"/>
      <c r="H174" s="1040"/>
      <c r="I174" s="1040"/>
      <c r="J174" s="1040"/>
      <c r="K174" s="1040"/>
    </row>
    <row r="175" spans="7:11">
      <c r="G175" s="1040"/>
      <c r="H175" s="1040"/>
      <c r="I175" s="1040"/>
      <c r="J175" s="1040"/>
      <c r="K175" s="1040"/>
    </row>
    <row r="176" spans="7:11">
      <c r="G176" s="1040"/>
      <c r="H176" s="1040"/>
      <c r="I176" s="1040"/>
      <c r="J176" s="1040"/>
      <c r="K176" s="1040"/>
    </row>
    <row r="177" spans="7:11">
      <c r="G177" s="1040"/>
      <c r="H177" s="1040"/>
      <c r="I177" s="1040"/>
      <c r="J177" s="1040"/>
      <c r="K177" s="1040"/>
    </row>
    <row r="178" spans="7:11">
      <c r="G178" s="1040"/>
      <c r="H178" s="1040"/>
      <c r="I178" s="1040"/>
      <c r="J178" s="1040"/>
      <c r="K178" s="1040"/>
    </row>
    <row r="179" spans="7:11">
      <c r="G179" s="1040"/>
      <c r="H179" s="1040"/>
      <c r="I179" s="1040"/>
      <c r="J179" s="1040"/>
      <c r="K179" s="1040"/>
    </row>
    <row r="180" spans="7:11">
      <c r="G180" s="1040"/>
      <c r="H180" s="1040"/>
      <c r="I180" s="1040"/>
      <c r="J180" s="1040"/>
      <c r="K180" s="1040"/>
    </row>
    <row r="181" spans="7:11">
      <c r="G181" s="1040"/>
      <c r="H181" s="1040"/>
      <c r="I181" s="1040"/>
      <c r="J181" s="1040"/>
      <c r="K181" s="1040"/>
    </row>
    <row r="182" spans="7:11">
      <c r="G182" s="1040"/>
      <c r="H182" s="1040"/>
      <c r="I182" s="1040"/>
      <c r="J182" s="1040"/>
      <c r="K182" s="1040"/>
    </row>
    <row r="183" spans="7:11">
      <c r="G183" s="1040"/>
      <c r="H183" s="1040"/>
      <c r="I183" s="1040"/>
      <c r="J183" s="1040"/>
      <c r="K183" s="1040"/>
    </row>
    <row r="184" spans="7:11">
      <c r="G184" s="1040"/>
      <c r="H184" s="1040"/>
      <c r="I184" s="1040"/>
      <c r="J184" s="1040"/>
      <c r="K184" s="1040"/>
    </row>
    <row r="185" spans="7:11">
      <c r="G185" s="1040"/>
      <c r="H185" s="1040"/>
      <c r="I185" s="1040"/>
      <c r="J185" s="1040"/>
      <c r="K185" s="1040"/>
    </row>
    <row r="186" spans="7:11">
      <c r="G186" s="1040"/>
      <c r="H186" s="1040"/>
      <c r="I186" s="1040"/>
      <c r="J186" s="1040"/>
      <c r="K186" s="1040"/>
    </row>
    <row r="187" spans="7:11">
      <c r="G187" s="1040"/>
      <c r="H187" s="1040"/>
      <c r="I187" s="1040"/>
      <c r="J187" s="1040"/>
      <c r="K187" s="1040"/>
    </row>
    <row r="188" spans="7:11">
      <c r="G188" s="1040"/>
      <c r="H188" s="1040"/>
      <c r="I188" s="1040"/>
      <c r="J188" s="1040"/>
      <c r="K188" s="1040"/>
    </row>
    <row r="189" spans="7:11">
      <c r="G189" s="1040"/>
      <c r="H189" s="1040"/>
      <c r="I189" s="1040"/>
      <c r="J189" s="1040"/>
      <c r="K189" s="1040"/>
    </row>
    <row r="190" spans="7:11">
      <c r="G190" s="1040"/>
      <c r="H190" s="1040"/>
      <c r="I190" s="1040"/>
      <c r="J190" s="1040"/>
      <c r="K190" s="1040"/>
    </row>
    <row r="191" spans="7:11">
      <c r="G191" s="1040"/>
      <c r="H191" s="1040"/>
      <c r="I191" s="1040"/>
      <c r="J191" s="1040"/>
      <c r="K191" s="1040"/>
    </row>
    <row r="192" spans="7:11">
      <c r="G192" s="1040"/>
      <c r="H192" s="1040"/>
      <c r="I192" s="1040"/>
      <c r="J192" s="1040"/>
      <c r="K192" s="1040"/>
    </row>
    <row r="193" spans="7:11">
      <c r="G193" s="1040"/>
      <c r="H193" s="1040"/>
      <c r="I193" s="1040"/>
      <c r="J193" s="1040"/>
      <c r="K193" s="1040"/>
    </row>
    <row r="194" spans="7:11">
      <c r="G194" s="1040"/>
      <c r="H194" s="1040"/>
      <c r="I194" s="1040"/>
      <c r="J194" s="1040"/>
      <c r="K194" s="1040"/>
    </row>
    <row r="195" spans="7:11">
      <c r="G195" s="1040"/>
      <c r="H195" s="1040"/>
      <c r="I195" s="1040"/>
      <c r="J195" s="1040"/>
      <c r="K195" s="1040"/>
    </row>
    <row r="196" spans="7:11">
      <c r="G196" s="1040"/>
      <c r="H196" s="1040"/>
      <c r="I196" s="1040"/>
      <c r="J196" s="1040"/>
      <c r="K196" s="1040"/>
    </row>
    <row r="197" spans="7:11">
      <c r="G197" s="1040"/>
      <c r="H197" s="1040"/>
      <c r="I197" s="1040"/>
      <c r="J197" s="1040"/>
      <c r="K197" s="1040"/>
    </row>
    <row r="198" spans="7:11">
      <c r="G198" s="1040"/>
      <c r="H198" s="1040"/>
      <c r="I198" s="1040"/>
      <c r="J198" s="1040"/>
      <c r="K198" s="1040"/>
    </row>
    <row r="199" spans="7:11">
      <c r="G199" s="1040"/>
      <c r="H199" s="1040"/>
      <c r="I199" s="1040"/>
      <c r="J199" s="1040"/>
      <c r="K199" s="1040"/>
    </row>
    <row r="200" spans="7:11">
      <c r="G200" s="1040"/>
      <c r="H200" s="1040"/>
      <c r="I200" s="1040"/>
      <c r="J200" s="1040"/>
      <c r="K200" s="1040"/>
    </row>
    <row r="201" spans="7:11">
      <c r="G201" s="1040"/>
      <c r="H201" s="1040"/>
      <c r="I201" s="1040"/>
      <c r="J201" s="1040"/>
      <c r="K201" s="1040"/>
    </row>
    <row r="202" spans="7:11">
      <c r="G202" s="1040"/>
      <c r="H202" s="1040"/>
      <c r="I202" s="1040"/>
      <c r="J202" s="1040"/>
      <c r="K202" s="1040"/>
    </row>
    <row r="203" spans="7:11">
      <c r="G203" s="1040"/>
      <c r="H203" s="1040"/>
      <c r="I203" s="1040"/>
      <c r="J203" s="1040"/>
      <c r="K203" s="1040"/>
    </row>
    <row r="204" spans="7:11">
      <c r="G204" s="1040"/>
      <c r="H204" s="1040"/>
      <c r="I204" s="1040"/>
      <c r="J204" s="1040"/>
      <c r="K204" s="1040"/>
    </row>
    <row r="205" spans="7:11">
      <c r="G205" s="1040"/>
      <c r="H205" s="1040"/>
      <c r="I205" s="1040"/>
      <c r="J205" s="1040"/>
      <c r="K205" s="1040"/>
    </row>
    <row r="206" spans="7:11">
      <c r="G206" s="1040"/>
      <c r="H206" s="1040"/>
      <c r="I206" s="1040"/>
      <c r="J206" s="1040"/>
      <c r="K206" s="1040"/>
    </row>
    <row r="207" spans="7:11">
      <c r="G207" s="1040"/>
      <c r="H207" s="1040"/>
      <c r="I207" s="1040"/>
      <c r="J207" s="1040"/>
      <c r="K207" s="1040"/>
    </row>
    <row r="208" spans="7:11">
      <c r="G208" s="1040"/>
      <c r="H208" s="1040"/>
      <c r="I208" s="1040"/>
      <c r="J208" s="1040"/>
      <c r="K208" s="1040"/>
    </row>
    <row r="209" spans="7:11">
      <c r="G209" s="1040"/>
      <c r="H209" s="1040"/>
      <c r="I209" s="1040"/>
      <c r="J209" s="1040"/>
      <c r="K209" s="1040"/>
    </row>
    <row r="210" spans="7:11">
      <c r="G210" s="1040"/>
      <c r="H210" s="1040"/>
      <c r="I210" s="1040"/>
      <c r="J210" s="1040"/>
      <c r="K210" s="1040"/>
    </row>
    <row r="211" spans="7:11">
      <c r="G211" s="1040"/>
      <c r="H211" s="1040"/>
      <c r="I211" s="1040"/>
      <c r="J211" s="1040"/>
      <c r="K211" s="1040"/>
    </row>
    <row r="212" spans="7:11">
      <c r="G212" s="1040"/>
      <c r="H212" s="1040"/>
      <c r="I212" s="1040"/>
      <c r="J212" s="1040"/>
      <c r="K212" s="1040"/>
    </row>
    <row r="213" spans="7:11">
      <c r="G213" s="1040"/>
      <c r="H213" s="1040"/>
      <c r="I213" s="1040"/>
      <c r="J213" s="1040"/>
      <c r="K213" s="1040"/>
    </row>
    <row r="214" spans="7:11">
      <c r="G214" s="1040"/>
      <c r="H214" s="1040"/>
      <c r="I214" s="1040"/>
      <c r="J214" s="1040"/>
      <c r="K214" s="1040"/>
    </row>
    <row r="215" spans="7:11">
      <c r="G215" s="1040"/>
      <c r="H215" s="1040"/>
      <c r="I215" s="1040"/>
      <c r="J215" s="1040"/>
      <c r="K215" s="1040"/>
    </row>
    <row r="216" spans="7:11">
      <c r="G216" s="1040"/>
      <c r="H216" s="1040"/>
      <c r="I216" s="1040"/>
      <c r="J216" s="1040"/>
      <c r="K216" s="1040"/>
    </row>
    <row r="217" spans="7:11">
      <c r="G217" s="1040"/>
      <c r="H217" s="1040"/>
      <c r="I217" s="1040"/>
      <c r="J217" s="1040"/>
      <c r="K217" s="1040"/>
    </row>
    <row r="218" spans="7:11">
      <c r="G218" s="1040"/>
      <c r="H218" s="1040"/>
      <c r="I218" s="1040"/>
      <c r="J218" s="1040"/>
      <c r="K218" s="1040"/>
    </row>
    <row r="219" spans="7:11">
      <c r="G219" s="1040"/>
      <c r="H219" s="1040"/>
      <c r="I219" s="1040"/>
      <c r="J219" s="1040"/>
      <c r="K219" s="1040"/>
    </row>
    <row r="220" spans="7:11">
      <c r="G220" s="1040"/>
      <c r="H220" s="1040"/>
      <c r="I220" s="1040"/>
      <c r="J220" s="1040"/>
      <c r="K220" s="1040"/>
    </row>
    <row r="221" spans="7:11">
      <c r="G221" s="1040"/>
      <c r="H221" s="1040"/>
      <c r="I221" s="1040"/>
      <c r="J221" s="1040"/>
      <c r="K221" s="1040"/>
    </row>
    <row r="222" spans="7:11">
      <c r="G222" s="1040"/>
      <c r="H222" s="1040"/>
      <c r="I222" s="1040"/>
      <c r="J222" s="1040"/>
      <c r="K222" s="1040"/>
    </row>
    <row r="223" spans="7:11">
      <c r="G223" s="1040"/>
      <c r="H223" s="1040"/>
      <c r="I223" s="1040"/>
      <c r="J223" s="1040"/>
      <c r="K223" s="1040"/>
    </row>
    <row r="224" spans="7:11">
      <c r="G224" s="1040"/>
      <c r="H224" s="1040"/>
      <c r="I224" s="1040"/>
      <c r="J224" s="1040"/>
      <c r="K224" s="1040"/>
    </row>
    <row r="225" spans="7:11">
      <c r="G225" s="1040"/>
      <c r="H225" s="1040"/>
      <c r="I225" s="1040"/>
      <c r="J225" s="1040"/>
      <c r="K225" s="1040"/>
    </row>
    <row r="226" spans="7:11">
      <c r="G226" s="1040"/>
      <c r="H226" s="1040"/>
      <c r="I226" s="1040"/>
      <c r="J226" s="1040"/>
      <c r="K226" s="1040"/>
    </row>
    <row r="227" spans="7:11">
      <c r="G227" s="1040"/>
      <c r="H227" s="1040"/>
      <c r="I227" s="1040"/>
      <c r="J227" s="1040"/>
      <c r="K227" s="1040"/>
    </row>
    <row r="228" spans="7:11">
      <c r="G228" s="1040"/>
      <c r="H228" s="1040"/>
      <c r="I228" s="1040"/>
      <c r="J228" s="1040"/>
      <c r="K228" s="1040"/>
    </row>
    <row r="229" spans="7:11">
      <c r="G229" s="1040"/>
      <c r="H229" s="1040"/>
      <c r="I229" s="1040"/>
      <c r="J229" s="1040"/>
      <c r="K229" s="1040"/>
    </row>
    <row r="230" spans="7:11">
      <c r="G230" s="1040"/>
      <c r="H230" s="1040"/>
      <c r="I230" s="1040"/>
      <c r="J230" s="1040"/>
      <c r="K230" s="1040"/>
    </row>
    <row r="231" spans="7:11">
      <c r="G231" s="1040"/>
      <c r="H231" s="1040"/>
      <c r="I231" s="1040"/>
      <c r="J231" s="1040"/>
      <c r="K231" s="1040"/>
    </row>
    <row r="232" spans="7:11">
      <c r="G232" s="1040"/>
      <c r="H232" s="1040"/>
      <c r="I232" s="1040"/>
      <c r="J232" s="1040"/>
      <c r="K232" s="1040"/>
    </row>
    <row r="233" spans="7:11">
      <c r="G233" s="1040"/>
      <c r="H233" s="1040"/>
      <c r="I233" s="1040"/>
      <c r="J233" s="1040"/>
      <c r="K233" s="1040"/>
    </row>
    <row r="234" spans="7:11">
      <c r="G234" s="1040"/>
      <c r="H234" s="1040"/>
      <c r="I234" s="1040"/>
      <c r="J234" s="1040"/>
      <c r="K234" s="1040"/>
    </row>
    <row r="235" spans="7:11">
      <c r="G235" s="1040"/>
      <c r="H235" s="1040"/>
      <c r="I235" s="1040"/>
      <c r="J235" s="1040"/>
      <c r="K235" s="1040"/>
    </row>
    <row r="236" spans="7:11">
      <c r="G236" s="1040"/>
      <c r="H236" s="1040"/>
      <c r="I236" s="1040"/>
      <c r="J236" s="1040"/>
      <c r="K236" s="1040"/>
    </row>
    <row r="237" spans="7:11">
      <c r="G237" s="1040"/>
      <c r="H237" s="1040"/>
      <c r="I237" s="1040"/>
      <c r="J237" s="1040"/>
      <c r="K237" s="1040"/>
    </row>
    <row r="238" spans="7:11">
      <c r="G238" s="1040"/>
      <c r="H238" s="1040"/>
      <c r="I238" s="1040"/>
      <c r="J238" s="1040"/>
      <c r="K238" s="1040"/>
    </row>
    <row r="239" spans="7:11">
      <c r="G239" s="1040"/>
      <c r="H239" s="1040"/>
      <c r="I239" s="1040"/>
      <c r="J239" s="1040"/>
      <c r="K239" s="1040"/>
    </row>
    <row r="240" spans="7:11">
      <c r="G240" s="1040"/>
      <c r="H240" s="1040"/>
      <c r="I240" s="1040"/>
      <c r="J240" s="1040"/>
      <c r="K240" s="1040"/>
    </row>
    <row r="241" spans="7:11">
      <c r="G241" s="1040"/>
      <c r="H241" s="1040"/>
      <c r="I241" s="1040"/>
      <c r="J241" s="1040"/>
      <c r="K241" s="1040"/>
    </row>
    <row r="242" spans="7:11">
      <c r="G242" s="1040"/>
      <c r="H242" s="1040"/>
      <c r="I242" s="1040"/>
      <c r="J242" s="1040"/>
      <c r="K242" s="1040"/>
    </row>
    <row r="243" spans="7:11">
      <c r="G243" s="1040"/>
      <c r="H243" s="1040"/>
      <c r="I243" s="1040"/>
      <c r="J243" s="1040"/>
      <c r="K243" s="1040"/>
    </row>
    <row r="244" spans="7:11">
      <c r="G244" s="1040"/>
      <c r="H244" s="1040"/>
      <c r="I244" s="1040"/>
      <c r="J244" s="1040"/>
      <c r="K244" s="1040"/>
    </row>
    <row r="245" spans="7:11">
      <c r="G245" s="1040"/>
      <c r="H245" s="1040"/>
      <c r="I245" s="1040"/>
      <c r="J245" s="1040"/>
      <c r="K245" s="1040"/>
    </row>
    <row r="246" spans="7:11">
      <c r="G246" s="1040"/>
      <c r="H246" s="1040"/>
      <c r="I246" s="1040"/>
      <c r="J246" s="1040"/>
      <c r="K246" s="1040"/>
    </row>
    <row r="247" spans="7:11">
      <c r="G247" s="1040"/>
      <c r="H247" s="1040"/>
      <c r="I247" s="1040"/>
      <c r="J247" s="1040"/>
      <c r="K247" s="1040"/>
    </row>
    <row r="248" spans="7:11">
      <c r="G248" s="1040"/>
      <c r="H248" s="1040"/>
      <c r="I248" s="1040"/>
      <c r="J248" s="1040"/>
      <c r="K248" s="1040"/>
    </row>
    <row r="249" spans="7:11">
      <c r="G249" s="1040"/>
      <c r="H249" s="1040"/>
      <c r="I249" s="1040"/>
      <c r="J249" s="1040"/>
      <c r="K249" s="1040"/>
    </row>
    <row r="250" spans="7:11">
      <c r="G250" s="1040"/>
      <c r="H250" s="1040"/>
      <c r="I250" s="1040"/>
      <c r="J250" s="1040"/>
      <c r="K250" s="1040"/>
    </row>
    <row r="251" spans="7:11">
      <c r="G251" s="1040"/>
      <c r="H251" s="1040"/>
      <c r="I251" s="1040"/>
      <c r="J251" s="1040"/>
      <c r="K251" s="1040"/>
    </row>
    <row r="252" spans="7:11">
      <c r="G252" s="1040"/>
      <c r="H252" s="1040"/>
      <c r="I252" s="1040"/>
      <c r="J252" s="1040"/>
      <c r="K252" s="1040"/>
    </row>
    <row r="253" spans="7:11">
      <c r="G253" s="1040"/>
      <c r="H253" s="1040"/>
      <c r="I253" s="1040"/>
      <c r="J253" s="1040"/>
      <c r="K253" s="1040"/>
    </row>
    <row r="254" spans="7:11">
      <c r="G254" s="1040"/>
      <c r="H254" s="1040"/>
      <c r="I254" s="1040"/>
      <c r="J254" s="1040"/>
      <c r="K254" s="1040"/>
    </row>
    <row r="255" spans="7:11">
      <c r="G255" s="1040"/>
      <c r="H255" s="1040"/>
      <c r="I255" s="1040"/>
      <c r="J255" s="1040"/>
      <c r="K255" s="1040"/>
    </row>
    <row r="256" spans="7:11">
      <c r="G256" s="1040"/>
      <c r="H256" s="1040"/>
      <c r="I256" s="1040"/>
      <c r="J256" s="1040"/>
      <c r="K256" s="1040"/>
    </row>
    <row r="257" spans="7:11">
      <c r="G257" s="1040"/>
      <c r="H257" s="1040"/>
      <c r="I257" s="1040"/>
      <c r="J257" s="1040"/>
      <c r="K257" s="1040"/>
    </row>
    <row r="258" spans="7:11">
      <c r="G258" s="1040"/>
      <c r="H258" s="1040"/>
      <c r="I258" s="1040"/>
      <c r="J258" s="1040"/>
      <c r="K258" s="1040"/>
    </row>
    <row r="259" spans="7:11">
      <c r="G259" s="1040"/>
      <c r="H259" s="1040"/>
      <c r="I259" s="1040"/>
      <c r="J259" s="1040"/>
      <c r="K259" s="1040"/>
    </row>
    <row r="260" spans="7:11">
      <c r="G260" s="1040"/>
      <c r="H260" s="1040"/>
      <c r="I260" s="1040"/>
      <c r="J260" s="1040"/>
      <c r="K260" s="1040"/>
    </row>
    <row r="261" spans="7:11">
      <c r="G261" s="1040"/>
      <c r="H261" s="1040"/>
      <c r="I261" s="1040"/>
      <c r="J261" s="1040"/>
      <c r="K261" s="1040"/>
    </row>
    <row r="262" spans="7:11">
      <c r="G262" s="1040"/>
      <c r="H262" s="1040"/>
      <c r="I262" s="1040"/>
      <c r="J262" s="1040"/>
      <c r="K262" s="1040"/>
    </row>
    <row r="263" spans="7:11">
      <c r="G263" s="1040"/>
      <c r="H263" s="1040"/>
      <c r="I263" s="1040"/>
      <c r="J263" s="1040"/>
      <c r="K263" s="1040"/>
    </row>
    <row r="264" spans="7:11">
      <c r="G264" s="1040"/>
      <c r="H264" s="1040"/>
      <c r="I264" s="1040"/>
      <c r="J264" s="1040"/>
      <c r="K264" s="1040"/>
    </row>
    <row r="265" spans="7:11">
      <c r="G265" s="1040"/>
      <c r="H265" s="1040"/>
      <c r="I265" s="1040"/>
      <c r="J265" s="1040"/>
      <c r="K265" s="1040"/>
    </row>
    <row r="266" spans="7:11">
      <c r="G266" s="1040"/>
      <c r="H266" s="1040"/>
      <c r="I266" s="1040"/>
      <c r="J266" s="1040"/>
      <c r="K266" s="1040"/>
    </row>
    <row r="267" spans="7:11">
      <c r="G267" s="1040"/>
      <c r="H267" s="1040"/>
      <c r="I267" s="1040"/>
      <c r="J267" s="1040"/>
      <c r="K267" s="1040"/>
    </row>
    <row r="268" spans="7:11">
      <c r="G268" s="1040"/>
      <c r="H268" s="1040"/>
      <c r="I268" s="1040"/>
      <c r="J268" s="1040"/>
      <c r="K268" s="1040"/>
    </row>
    <row r="269" spans="7:11">
      <c r="G269" s="1040"/>
      <c r="H269" s="1040"/>
      <c r="I269" s="1040"/>
      <c r="J269" s="1040"/>
      <c r="K269" s="1040"/>
    </row>
    <row r="270" spans="7:11">
      <c r="G270" s="1040"/>
      <c r="H270" s="1040"/>
      <c r="I270" s="1040"/>
      <c r="J270" s="1040"/>
      <c r="K270" s="1040"/>
    </row>
    <row r="271" spans="7:11">
      <c r="G271" s="1040"/>
      <c r="H271" s="1040"/>
      <c r="I271" s="1040"/>
      <c r="J271" s="1040"/>
      <c r="K271" s="1040"/>
    </row>
    <row r="272" spans="7:11">
      <c r="G272" s="1040"/>
      <c r="H272" s="1040"/>
      <c r="I272" s="1040"/>
      <c r="J272" s="1040"/>
      <c r="K272" s="1040"/>
    </row>
    <row r="273" spans="7:11">
      <c r="G273" s="1040"/>
      <c r="H273" s="1040"/>
      <c r="I273" s="1040"/>
      <c r="J273" s="1040"/>
      <c r="K273" s="1040"/>
    </row>
    <row r="274" spans="7:11">
      <c r="G274" s="1040"/>
      <c r="H274" s="1040"/>
      <c r="I274" s="1040"/>
      <c r="J274" s="1040"/>
      <c r="K274" s="1040"/>
    </row>
    <row r="275" spans="7:11">
      <c r="G275" s="1040"/>
      <c r="H275" s="1040"/>
      <c r="I275" s="1040"/>
      <c r="J275" s="1040"/>
      <c r="K275" s="1040"/>
    </row>
    <row r="276" spans="7:11">
      <c r="G276" s="1040"/>
      <c r="H276" s="1040"/>
      <c r="I276" s="1040"/>
      <c r="J276" s="1040"/>
      <c r="K276" s="1040"/>
    </row>
    <row r="277" spans="7:11">
      <c r="G277" s="1040"/>
      <c r="H277" s="1040"/>
      <c r="I277" s="1040"/>
      <c r="J277" s="1040"/>
      <c r="K277" s="1040"/>
    </row>
    <row r="278" spans="7:11">
      <c r="G278" s="1040"/>
      <c r="H278" s="1040"/>
      <c r="I278" s="1040"/>
      <c r="J278" s="1040"/>
      <c r="K278" s="1040"/>
    </row>
    <row r="279" spans="7:11">
      <c r="G279" s="1040"/>
      <c r="H279" s="1040"/>
      <c r="I279" s="1040"/>
      <c r="J279" s="1040"/>
      <c r="K279" s="1040"/>
    </row>
    <row r="280" spans="7:11">
      <c r="G280" s="1040"/>
      <c r="H280" s="1040"/>
      <c r="I280" s="1040"/>
      <c r="J280" s="1040"/>
      <c r="K280" s="1040"/>
    </row>
    <row r="281" spans="7:11">
      <c r="G281" s="1040"/>
      <c r="H281" s="1040"/>
      <c r="I281" s="1040"/>
      <c r="J281" s="1040"/>
      <c r="K281" s="1040"/>
    </row>
    <row r="282" spans="7:11">
      <c r="G282" s="1040"/>
      <c r="H282" s="1040"/>
      <c r="I282" s="1040"/>
      <c r="J282" s="1040"/>
      <c r="K282" s="1040"/>
    </row>
    <row r="283" spans="7:11">
      <c r="G283" s="1040"/>
      <c r="H283" s="1040"/>
      <c r="I283" s="1040"/>
      <c r="J283" s="1040"/>
      <c r="K283" s="1040"/>
    </row>
    <row r="284" spans="7:11">
      <c r="G284" s="1040"/>
      <c r="H284" s="1040"/>
      <c r="I284" s="1040"/>
      <c r="J284" s="1040"/>
      <c r="K284" s="1040"/>
    </row>
    <row r="285" spans="7:11">
      <c r="G285" s="1040"/>
      <c r="H285" s="1040"/>
      <c r="I285" s="1040"/>
      <c r="J285" s="1040"/>
      <c r="K285" s="1040"/>
    </row>
    <row r="286" spans="7:11">
      <c r="G286" s="1040"/>
      <c r="H286" s="1040"/>
      <c r="I286" s="1040"/>
      <c r="J286" s="1040"/>
      <c r="K286" s="1040"/>
    </row>
    <row r="287" spans="7:11">
      <c r="G287" s="1040"/>
      <c r="H287" s="1040"/>
      <c r="I287" s="1040"/>
      <c r="J287" s="1040"/>
      <c r="K287" s="1040"/>
    </row>
    <row r="288" spans="7:11">
      <c r="G288" s="1040"/>
      <c r="H288" s="1040"/>
      <c r="I288" s="1040"/>
      <c r="J288" s="1040"/>
      <c r="K288" s="1040"/>
    </row>
    <row r="289" spans="7:11">
      <c r="G289" s="1040"/>
      <c r="H289" s="1040"/>
      <c r="I289" s="1040"/>
      <c r="J289" s="1040"/>
      <c r="K289" s="1040"/>
    </row>
    <row r="290" spans="7:11">
      <c r="G290" s="1040"/>
      <c r="H290" s="1040"/>
      <c r="I290" s="1040"/>
      <c r="J290" s="1040"/>
      <c r="K290" s="1040"/>
    </row>
    <row r="291" spans="7:11">
      <c r="G291" s="1040"/>
      <c r="H291" s="1040"/>
      <c r="I291" s="1040"/>
      <c r="J291" s="1040"/>
      <c r="K291" s="1040"/>
    </row>
    <row r="292" spans="7:11">
      <c r="G292" s="1040"/>
      <c r="H292" s="1040"/>
      <c r="I292" s="1040"/>
      <c r="J292" s="1040"/>
      <c r="K292" s="1040"/>
    </row>
    <row r="293" spans="7:11">
      <c r="G293" s="1040"/>
      <c r="H293" s="1040"/>
      <c r="I293" s="1040"/>
      <c r="J293" s="1040"/>
      <c r="K293" s="1040"/>
    </row>
    <row r="294" spans="7:11">
      <c r="G294" s="1040"/>
      <c r="H294" s="1040"/>
      <c r="I294" s="1040"/>
      <c r="J294" s="1040"/>
      <c r="K294" s="1040"/>
    </row>
    <row r="295" spans="7:11">
      <c r="G295" s="1040"/>
      <c r="H295" s="1040"/>
      <c r="I295" s="1040"/>
      <c r="J295" s="1040"/>
      <c r="K295" s="1040"/>
    </row>
    <row r="296" spans="7:11">
      <c r="G296" s="1040"/>
      <c r="H296" s="1040"/>
      <c r="I296" s="1040"/>
      <c r="J296" s="1040"/>
      <c r="K296" s="1040"/>
    </row>
    <row r="297" spans="7:11">
      <c r="G297" s="1040"/>
      <c r="H297" s="1040"/>
      <c r="I297" s="1040"/>
      <c r="J297" s="1040"/>
      <c r="K297" s="1040"/>
    </row>
    <row r="298" spans="7:11">
      <c r="G298" s="1040"/>
      <c r="H298" s="1040"/>
      <c r="I298" s="1040"/>
      <c r="J298" s="1040"/>
      <c r="K298" s="1040"/>
    </row>
    <row r="299" spans="7:11">
      <c r="G299" s="1040"/>
      <c r="H299" s="1040"/>
      <c r="I299" s="1040"/>
      <c r="J299" s="1040"/>
      <c r="K299" s="1040"/>
    </row>
    <row r="300" spans="7:11">
      <c r="G300" s="1040"/>
      <c r="H300" s="1040"/>
      <c r="I300" s="1040"/>
      <c r="J300" s="1040"/>
      <c r="K300" s="1040"/>
    </row>
    <row r="301" spans="7:11">
      <c r="G301" s="1040"/>
      <c r="H301" s="1040"/>
      <c r="I301" s="1040"/>
      <c r="J301" s="1040"/>
      <c r="K301" s="1040"/>
    </row>
    <row r="302" spans="7:11">
      <c r="G302" s="1040"/>
      <c r="H302" s="1040"/>
      <c r="I302" s="1040"/>
      <c r="J302" s="1040"/>
      <c r="K302" s="1040"/>
    </row>
    <row r="303" spans="7:11">
      <c r="G303" s="1040"/>
      <c r="H303" s="1040"/>
      <c r="I303" s="1040"/>
      <c r="J303" s="1040"/>
      <c r="K303" s="1040"/>
    </row>
    <row r="304" spans="7:11">
      <c r="G304" s="1040"/>
      <c r="H304" s="1040"/>
      <c r="I304" s="1040"/>
      <c r="J304" s="1040"/>
      <c r="K304" s="1040"/>
    </row>
    <row r="305" spans="7:11">
      <c r="G305" s="1040"/>
      <c r="H305" s="1040"/>
      <c r="I305" s="1040"/>
      <c r="J305" s="1040"/>
      <c r="K305" s="1040"/>
    </row>
    <row r="306" spans="7:11">
      <c r="G306" s="1040"/>
      <c r="H306" s="1040"/>
      <c r="I306" s="1040"/>
      <c r="J306" s="1040"/>
      <c r="K306" s="1040"/>
    </row>
    <row r="307" spans="7:11">
      <c r="G307" s="1040"/>
      <c r="H307" s="1040"/>
      <c r="I307" s="1040"/>
      <c r="J307" s="1040"/>
      <c r="K307" s="1040"/>
    </row>
    <row r="308" spans="7:11">
      <c r="G308" s="1040"/>
      <c r="H308" s="1040"/>
      <c r="I308" s="1040"/>
      <c r="J308" s="1040"/>
      <c r="K308" s="1040"/>
    </row>
    <row r="309" spans="7:11">
      <c r="G309" s="1040"/>
      <c r="H309" s="1040"/>
      <c r="I309" s="1040"/>
      <c r="J309" s="1040"/>
      <c r="K309" s="1040"/>
    </row>
    <row r="310" spans="7:11">
      <c r="G310" s="1040"/>
      <c r="H310" s="1040"/>
      <c r="I310" s="1040"/>
      <c r="J310" s="1040"/>
      <c r="K310" s="1040"/>
    </row>
    <row r="311" spans="7:11">
      <c r="G311" s="1040"/>
      <c r="H311" s="1040"/>
      <c r="I311" s="1040"/>
      <c r="J311" s="1040"/>
      <c r="K311" s="1040"/>
    </row>
    <row r="312" spans="7:11">
      <c r="G312" s="1040"/>
      <c r="H312" s="1040"/>
      <c r="I312" s="1040"/>
      <c r="J312" s="1040"/>
      <c r="K312" s="1040"/>
    </row>
    <row r="313" spans="7:11">
      <c r="G313" s="1040"/>
      <c r="H313" s="1040"/>
      <c r="I313" s="1040"/>
      <c r="J313" s="1040"/>
      <c r="K313" s="1040"/>
    </row>
    <row r="314" spans="7:11">
      <c r="G314" s="1040"/>
      <c r="H314" s="1040"/>
      <c r="I314" s="1040"/>
      <c r="J314" s="1040"/>
      <c r="K314" s="1040"/>
    </row>
    <row r="315" spans="7:11">
      <c r="G315" s="1040"/>
      <c r="H315" s="1040"/>
      <c r="I315" s="1040"/>
      <c r="J315" s="1040"/>
      <c r="K315" s="1040"/>
    </row>
    <row r="316" spans="7:11">
      <c r="G316" s="1040"/>
      <c r="H316" s="1040"/>
      <c r="I316" s="1040"/>
      <c r="J316" s="1040"/>
      <c r="K316" s="1040"/>
    </row>
    <row r="317" spans="7:11">
      <c r="G317" s="1040"/>
      <c r="H317" s="1040"/>
      <c r="I317" s="1040"/>
      <c r="J317" s="1040"/>
      <c r="K317" s="1040"/>
    </row>
    <row r="318" spans="7:11">
      <c r="G318" s="1040"/>
      <c r="H318" s="1040"/>
      <c r="I318" s="1040"/>
      <c r="J318" s="1040"/>
      <c r="K318" s="1040"/>
    </row>
    <row r="319" spans="7:11">
      <c r="G319" s="1040"/>
      <c r="H319" s="1040"/>
      <c r="I319" s="1040"/>
      <c r="J319" s="1040"/>
      <c r="K319" s="1040"/>
    </row>
    <row r="320" spans="7:11">
      <c r="G320" s="1040"/>
      <c r="H320" s="1040"/>
      <c r="I320" s="1040"/>
      <c r="J320" s="1040"/>
      <c r="K320" s="1040"/>
    </row>
    <row r="321" spans="7:11">
      <c r="G321" s="1040"/>
      <c r="H321" s="1040"/>
      <c r="I321" s="1040"/>
      <c r="J321" s="1040"/>
      <c r="K321" s="1040"/>
    </row>
    <row r="322" spans="7:11">
      <c r="G322" s="1040"/>
      <c r="H322" s="1040"/>
      <c r="I322" s="1040"/>
      <c r="J322" s="1040"/>
      <c r="K322" s="1040"/>
    </row>
    <row r="323" spans="7:11">
      <c r="G323" s="1040"/>
      <c r="H323" s="1040"/>
      <c r="I323" s="1040"/>
      <c r="J323" s="1040"/>
      <c r="K323" s="1040"/>
    </row>
    <row r="324" spans="7:11">
      <c r="G324" s="1040"/>
      <c r="H324" s="1040"/>
      <c r="I324" s="1040"/>
      <c r="J324" s="1040"/>
      <c r="K324" s="1040"/>
    </row>
    <row r="325" spans="7:11">
      <c r="G325" s="1040"/>
      <c r="H325" s="1040"/>
      <c r="I325" s="1040"/>
      <c r="J325" s="1040"/>
      <c r="K325" s="1040"/>
    </row>
    <row r="326" spans="7:11">
      <c r="G326" s="1040"/>
      <c r="H326" s="1040"/>
      <c r="I326" s="1040"/>
      <c r="J326" s="1040"/>
      <c r="K326" s="1040"/>
    </row>
    <row r="327" spans="7:11">
      <c r="G327" s="1040"/>
      <c r="H327" s="1040"/>
      <c r="I327" s="1040"/>
      <c r="J327" s="1040"/>
      <c r="K327" s="1040"/>
    </row>
    <row r="328" spans="7:11">
      <c r="G328" s="1040"/>
      <c r="H328" s="1040"/>
      <c r="I328" s="1040"/>
      <c r="J328" s="1040"/>
      <c r="K328" s="1040"/>
    </row>
    <row r="329" spans="7:11">
      <c r="G329" s="1040"/>
      <c r="H329" s="1040"/>
      <c r="I329" s="1040"/>
      <c r="J329" s="1040"/>
      <c r="K329" s="1040"/>
    </row>
    <row r="330" spans="7:11">
      <c r="G330" s="1040"/>
      <c r="H330" s="1040"/>
      <c r="I330" s="1040"/>
      <c r="J330" s="1040"/>
      <c r="K330" s="1040"/>
    </row>
    <row r="331" spans="7:11">
      <c r="G331" s="1040"/>
      <c r="H331" s="1040"/>
      <c r="I331" s="1040"/>
      <c r="J331" s="1040"/>
      <c r="K331" s="1040"/>
    </row>
    <row r="332" spans="7:11">
      <c r="G332" s="1040"/>
      <c r="H332" s="1040"/>
      <c r="I332" s="1040"/>
      <c r="J332" s="1040"/>
      <c r="K332" s="1040"/>
    </row>
    <row r="333" spans="7:11">
      <c r="G333" s="1040"/>
      <c r="H333" s="1040"/>
      <c r="I333" s="1040"/>
      <c r="J333" s="1040"/>
      <c r="K333" s="1040"/>
    </row>
    <row r="334" spans="7:11">
      <c r="G334" s="1040"/>
      <c r="H334" s="1040"/>
      <c r="I334" s="1040"/>
      <c r="J334" s="1040"/>
      <c r="K334" s="1040"/>
    </row>
    <row r="335" spans="7:11">
      <c r="G335" s="1040"/>
      <c r="H335" s="1040"/>
      <c r="I335" s="1040"/>
      <c r="J335" s="1040"/>
      <c r="K335" s="1040"/>
    </row>
    <row r="336" spans="7:11">
      <c r="G336" s="1040"/>
      <c r="H336" s="1040"/>
      <c r="I336" s="1040"/>
      <c r="J336" s="1040"/>
      <c r="K336" s="1040"/>
    </row>
    <row r="337" spans="7:11">
      <c r="G337" s="1040"/>
      <c r="H337" s="1040"/>
      <c r="I337" s="1040"/>
      <c r="J337" s="1040"/>
      <c r="K337" s="1040"/>
    </row>
    <row r="338" spans="7:11">
      <c r="G338" s="1040"/>
      <c r="H338" s="1040"/>
      <c r="I338" s="1040"/>
      <c r="J338" s="1040"/>
      <c r="K338" s="1040"/>
    </row>
    <row r="339" spans="7:11">
      <c r="G339" s="1040"/>
      <c r="H339" s="1040"/>
      <c r="I339" s="1040"/>
      <c r="J339" s="1040"/>
      <c r="K339" s="1040"/>
    </row>
    <row r="340" spans="7:11">
      <c r="G340" s="1040"/>
      <c r="H340" s="1040"/>
      <c r="I340" s="1040"/>
      <c r="J340" s="1040"/>
      <c r="K340" s="1040"/>
    </row>
    <row r="341" spans="7:11">
      <c r="G341" s="1040"/>
      <c r="H341" s="1040"/>
      <c r="I341" s="1040"/>
      <c r="J341" s="1040"/>
      <c r="K341" s="1040"/>
    </row>
    <row r="342" spans="7:11">
      <c r="G342" s="1040"/>
      <c r="H342" s="1040"/>
      <c r="I342" s="1040"/>
      <c r="J342" s="1040"/>
      <c r="K342" s="1040"/>
    </row>
    <row r="343" spans="7:11">
      <c r="G343" s="1040"/>
      <c r="H343" s="1040"/>
      <c r="I343" s="1040"/>
      <c r="J343" s="1040"/>
      <c r="K343" s="1040"/>
    </row>
    <row r="344" spans="7:11">
      <c r="G344" s="1040"/>
      <c r="H344" s="1040"/>
      <c r="I344" s="1040"/>
      <c r="J344" s="1040"/>
      <c r="K344" s="1040"/>
    </row>
    <row r="345" spans="7:11">
      <c r="G345" s="1040"/>
      <c r="H345" s="1040"/>
      <c r="I345" s="1040"/>
      <c r="J345" s="1040"/>
      <c r="K345" s="1040"/>
    </row>
    <row r="346" spans="7:11">
      <c r="G346" s="1040"/>
      <c r="H346" s="1040"/>
      <c r="I346" s="1040"/>
      <c r="J346" s="1040"/>
      <c r="K346" s="1040"/>
    </row>
    <row r="347" spans="7:11">
      <c r="G347" s="1040"/>
      <c r="H347" s="1040"/>
      <c r="I347" s="1040"/>
      <c r="J347" s="1040"/>
      <c r="K347" s="1040"/>
    </row>
    <row r="348" spans="7:11">
      <c r="G348" s="1040"/>
      <c r="H348" s="1040"/>
      <c r="I348" s="1040"/>
      <c r="J348" s="1040"/>
      <c r="K348" s="1040"/>
    </row>
    <row r="349" spans="7:11">
      <c r="G349" s="1040"/>
      <c r="H349" s="1040"/>
      <c r="I349" s="1040"/>
      <c r="J349" s="1040"/>
      <c r="K349" s="1040"/>
    </row>
    <row r="350" spans="7:11">
      <c r="G350" s="1040"/>
      <c r="H350" s="1040"/>
      <c r="I350" s="1040"/>
      <c r="J350" s="1040"/>
      <c r="K350" s="1040"/>
    </row>
    <row r="351" spans="7:11">
      <c r="G351" s="1040"/>
      <c r="H351" s="1040"/>
      <c r="I351" s="1040"/>
      <c r="J351" s="1040"/>
      <c r="K351" s="1040"/>
    </row>
    <row r="352" spans="7:11">
      <c r="G352" s="1040"/>
      <c r="H352" s="1040"/>
      <c r="I352" s="1040"/>
      <c r="J352" s="1040"/>
      <c r="K352" s="1040"/>
    </row>
    <row r="353" spans="7:11">
      <c r="G353" s="1040"/>
      <c r="H353" s="1040"/>
      <c r="I353" s="1040"/>
      <c r="J353" s="1040"/>
      <c r="K353" s="1040"/>
    </row>
    <row r="354" spans="7:11">
      <c r="G354" s="1040"/>
      <c r="H354" s="1040"/>
      <c r="I354" s="1040"/>
      <c r="J354" s="1040"/>
      <c r="K354" s="1040"/>
    </row>
    <row r="355" spans="7:11">
      <c r="G355" s="1040"/>
      <c r="H355" s="1040"/>
      <c r="I355" s="1040"/>
      <c r="J355" s="1040"/>
      <c r="K355" s="1040"/>
    </row>
    <row r="356" spans="7:11">
      <c r="G356" s="1040"/>
      <c r="H356" s="1040"/>
      <c r="I356" s="1040"/>
      <c r="J356" s="1040"/>
      <c r="K356" s="1040"/>
    </row>
    <row r="357" spans="7:11">
      <c r="G357" s="1040"/>
      <c r="H357" s="1040"/>
      <c r="I357" s="1040"/>
      <c r="J357" s="1040"/>
      <c r="K357" s="1040"/>
    </row>
    <row r="358" spans="7:11">
      <c r="G358" s="1040"/>
      <c r="H358" s="1040"/>
      <c r="I358" s="1040"/>
      <c r="J358" s="1040"/>
      <c r="K358" s="1040"/>
    </row>
    <row r="359" spans="7:11">
      <c r="G359" s="1040"/>
      <c r="H359" s="1040"/>
      <c r="I359" s="1040"/>
      <c r="J359" s="1040"/>
      <c r="K359" s="1040"/>
    </row>
    <row r="360" spans="7:11">
      <c r="G360" s="1040"/>
      <c r="H360" s="1040"/>
      <c r="I360" s="1040"/>
      <c r="J360" s="1040"/>
      <c r="K360" s="1040"/>
    </row>
    <row r="361" spans="7:11">
      <c r="G361" s="1040"/>
      <c r="H361" s="1040"/>
      <c r="I361" s="1040"/>
      <c r="J361" s="1040"/>
      <c r="K361" s="1040"/>
    </row>
    <row r="362" spans="7:11">
      <c r="G362" s="1040"/>
      <c r="H362" s="1040"/>
      <c r="I362" s="1040"/>
      <c r="J362" s="1040"/>
      <c r="K362" s="1040"/>
    </row>
    <row r="363" spans="7:11">
      <c r="G363" s="1040"/>
      <c r="H363" s="1040"/>
      <c r="I363" s="1040"/>
      <c r="J363" s="1040"/>
      <c r="K363" s="1040"/>
    </row>
    <row r="364" spans="7:11">
      <c r="G364" s="1040"/>
      <c r="H364" s="1040"/>
      <c r="I364" s="1040"/>
      <c r="J364" s="1040"/>
      <c r="K364" s="1040"/>
    </row>
    <row r="365" spans="7:11">
      <c r="G365" s="1040"/>
      <c r="H365" s="1040"/>
      <c r="I365" s="1040"/>
      <c r="J365" s="1040"/>
      <c r="K365" s="1040"/>
    </row>
    <row r="366" spans="7:11">
      <c r="G366" s="1040"/>
      <c r="H366" s="1040"/>
      <c r="I366" s="1040"/>
      <c r="J366" s="1040"/>
      <c r="K366" s="1040"/>
    </row>
    <row r="367" spans="7:11">
      <c r="G367" s="1040"/>
      <c r="H367" s="1040"/>
      <c r="I367" s="1040"/>
      <c r="J367" s="1040"/>
      <c r="K367" s="1040"/>
    </row>
    <row r="368" spans="7:11">
      <c r="G368" s="1040"/>
      <c r="H368" s="1040"/>
      <c r="I368" s="1040"/>
      <c r="J368" s="1040"/>
      <c r="K368" s="1040"/>
    </row>
    <row r="369" spans="7:11">
      <c r="G369" s="1040"/>
      <c r="H369" s="1040"/>
      <c r="I369" s="1040"/>
      <c r="J369" s="1040"/>
      <c r="K369" s="1040"/>
    </row>
    <row r="370" spans="7:11">
      <c r="G370" s="1040"/>
      <c r="H370" s="1040"/>
      <c r="I370" s="1040"/>
      <c r="J370" s="1040"/>
      <c r="K370" s="1040"/>
    </row>
    <row r="371" spans="7:11">
      <c r="G371" s="1040"/>
      <c r="H371" s="1040"/>
      <c r="I371" s="1040"/>
      <c r="J371" s="1040"/>
      <c r="K371" s="1040"/>
    </row>
    <row r="372" spans="7:11">
      <c r="G372" s="1040"/>
      <c r="H372" s="1040"/>
      <c r="I372" s="1040"/>
      <c r="J372" s="1040"/>
      <c r="K372" s="1040"/>
    </row>
    <row r="373" spans="7:11">
      <c r="G373" s="1040"/>
      <c r="H373" s="1040"/>
      <c r="I373" s="1040"/>
      <c r="J373" s="1040"/>
      <c r="K373" s="1040"/>
    </row>
    <row r="374" spans="7:11">
      <c r="G374" s="1040"/>
      <c r="H374" s="1040"/>
      <c r="I374" s="1040"/>
      <c r="J374" s="1040"/>
      <c r="K374" s="1040"/>
    </row>
    <row r="375" spans="7:11">
      <c r="G375" s="1040"/>
      <c r="H375" s="1040"/>
      <c r="I375" s="1040"/>
      <c r="J375" s="1040"/>
      <c r="K375" s="1040"/>
    </row>
    <row r="376" spans="7:11">
      <c r="G376" s="1040"/>
      <c r="H376" s="1040"/>
      <c r="I376" s="1040"/>
      <c r="J376" s="1040"/>
      <c r="K376" s="1040"/>
    </row>
    <row r="377" spans="7:11">
      <c r="G377" s="1040"/>
      <c r="H377" s="1040"/>
      <c r="I377" s="1040"/>
      <c r="J377" s="1040"/>
      <c r="K377" s="1040"/>
    </row>
    <row r="378" spans="7:11">
      <c r="G378" s="1040"/>
      <c r="H378" s="1040"/>
      <c r="I378" s="1040"/>
      <c r="J378" s="1040"/>
      <c r="K378" s="1040"/>
    </row>
    <row r="379" spans="7:11">
      <c r="G379" s="1040"/>
      <c r="H379" s="1040"/>
      <c r="I379" s="1040"/>
      <c r="J379" s="1040"/>
      <c r="K379" s="1040"/>
    </row>
    <row r="380" spans="7:11">
      <c r="G380" s="1040"/>
      <c r="H380" s="1040"/>
      <c r="I380" s="1040"/>
      <c r="J380" s="1040"/>
      <c r="K380" s="1040"/>
    </row>
    <row r="381" spans="7:11">
      <c r="G381" s="1040"/>
      <c r="H381" s="1040"/>
      <c r="I381" s="1040"/>
      <c r="J381" s="1040"/>
      <c r="K381" s="1040"/>
    </row>
    <row r="382" spans="7:11">
      <c r="G382" s="1040"/>
      <c r="H382" s="1040"/>
      <c r="I382" s="1040"/>
      <c r="J382" s="1040"/>
      <c r="K382" s="1040"/>
    </row>
    <row r="383" spans="7:11">
      <c r="G383" s="1040"/>
      <c r="H383" s="1040"/>
      <c r="I383" s="1040"/>
      <c r="J383" s="1040"/>
      <c r="K383" s="1040"/>
    </row>
    <row r="384" spans="7:11">
      <c r="G384" s="1040"/>
      <c r="H384" s="1040"/>
      <c r="I384" s="1040"/>
      <c r="J384" s="1040"/>
      <c r="K384" s="1040"/>
    </row>
    <row r="385" spans="7:11">
      <c r="G385" s="1040"/>
      <c r="H385" s="1040"/>
      <c r="I385" s="1040"/>
      <c r="J385" s="1040"/>
      <c r="K385" s="1040"/>
    </row>
    <row r="386" spans="7:11">
      <c r="G386" s="1040"/>
      <c r="H386" s="1040"/>
      <c r="I386" s="1040"/>
      <c r="J386" s="1040"/>
      <c r="K386" s="1040"/>
    </row>
    <row r="387" spans="7:11">
      <c r="G387" s="1040"/>
      <c r="H387" s="1040"/>
      <c r="I387" s="1040"/>
      <c r="J387" s="1040"/>
      <c r="K387" s="1040"/>
    </row>
    <row r="388" spans="7:11">
      <c r="G388" s="1040"/>
      <c r="H388" s="1040"/>
      <c r="I388" s="1040"/>
      <c r="J388" s="1040"/>
      <c r="K388" s="1040"/>
    </row>
    <row r="389" spans="7:11">
      <c r="G389" s="1040"/>
      <c r="H389" s="1040"/>
      <c r="I389" s="1040"/>
      <c r="J389" s="1040"/>
      <c r="K389" s="1040"/>
    </row>
    <row r="390" spans="7:11">
      <c r="G390" s="1040"/>
      <c r="H390" s="1040"/>
      <c r="I390" s="1040"/>
      <c r="J390" s="1040"/>
      <c r="K390" s="1040"/>
    </row>
    <row r="391" spans="7:11">
      <c r="G391" s="1040"/>
      <c r="H391" s="1040"/>
      <c r="I391" s="1040"/>
      <c r="J391" s="1040"/>
      <c r="K391" s="1040"/>
    </row>
    <row r="392" spans="7:11">
      <c r="G392" s="1040"/>
      <c r="H392" s="1040"/>
      <c r="I392" s="1040"/>
      <c r="J392" s="1040"/>
      <c r="K392" s="1040"/>
    </row>
    <row r="393" spans="7:11">
      <c r="G393" s="1040"/>
      <c r="H393" s="1040"/>
      <c r="I393" s="1040"/>
      <c r="J393" s="1040"/>
      <c r="K393" s="1040"/>
    </row>
    <row r="394" spans="7:11">
      <c r="G394" s="1040"/>
      <c r="H394" s="1040"/>
      <c r="I394" s="1040"/>
      <c r="J394" s="1040"/>
      <c r="K394" s="1040"/>
    </row>
    <row r="395" spans="7:11">
      <c r="G395" s="1040"/>
      <c r="H395" s="1040"/>
      <c r="I395" s="1040"/>
      <c r="J395" s="1040"/>
      <c r="K395" s="1040"/>
    </row>
    <row r="396" spans="7:11">
      <c r="G396" s="1040"/>
      <c r="H396" s="1040"/>
      <c r="I396" s="1040"/>
      <c r="J396" s="1040"/>
      <c r="K396" s="1040"/>
    </row>
    <row r="397" spans="7:11">
      <c r="G397" s="1040"/>
      <c r="H397" s="1040"/>
      <c r="I397" s="1040"/>
      <c r="J397" s="1040"/>
      <c r="K397" s="1040"/>
    </row>
    <row r="398" spans="7:11">
      <c r="G398" s="1040"/>
      <c r="H398" s="1040"/>
      <c r="I398" s="1040"/>
      <c r="J398" s="1040"/>
      <c r="K398" s="1040"/>
    </row>
    <row r="399" spans="7:11">
      <c r="G399" s="1040"/>
      <c r="H399" s="1040"/>
      <c r="I399" s="1040"/>
      <c r="J399" s="1040"/>
      <c r="K399" s="1040"/>
    </row>
    <row r="400" spans="7:11">
      <c r="G400" s="1040"/>
      <c r="H400" s="1040"/>
      <c r="I400" s="1040"/>
      <c r="J400" s="1040"/>
      <c r="K400" s="1040"/>
    </row>
    <row r="401" spans="7:11">
      <c r="G401" s="1040"/>
      <c r="H401" s="1040"/>
      <c r="I401" s="1040"/>
      <c r="J401" s="1040"/>
      <c r="K401" s="1040"/>
    </row>
    <row r="402" spans="7:11">
      <c r="G402" s="1040"/>
      <c r="H402" s="1040"/>
      <c r="I402" s="1040"/>
      <c r="J402" s="1040"/>
      <c r="K402" s="1040"/>
    </row>
    <row r="403" spans="7:11">
      <c r="G403" s="1040"/>
      <c r="H403" s="1040"/>
      <c r="I403" s="1040"/>
      <c r="J403" s="1040"/>
      <c r="K403" s="1040"/>
    </row>
    <row r="404" spans="7:11">
      <c r="G404" s="1040"/>
      <c r="H404" s="1040"/>
      <c r="I404" s="1040"/>
      <c r="J404" s="1040"/>
      <c r="K404" s="1040"/>
    </row>
    <row r="405" spans="7:11">
      <c r="G405" s="1040"/>
      <c r="H405" s="1040"/>
      <c r="I405" s="1040"/>
      <c r="J405" s="1040"/>
      <c r="K405" s="1040"/>
    </row>
    <row r="406" spans="7:11">
      <c r="G406" s="1040"/>
      <c r="H406" s="1040"/>
      <c r="I406" s="1040"/>
      <c r="J406" s="1040"/>
      <c r="K406" s="1040"/>
    </row>
    <row r="407" spans="7:11">
      <c r="G407" s="1040"/>
      <c r="H407" s="1040"/>
      <c r="I407" s="1040"/>
      <c r="J407" s="1040"/>
      <c r="K407" s="1040"/>
    </row>
    <row r="408" spans="7:11">
      <c r="G408" s="1040"/>
      <c r="H408" s="1040"/>
      <c r="I408" s="1040"/>
      <c r="J408" s="1040"/>
      <c r="K408" s="1040"/>
    </row>
    <row r="409" spans="7:11">
      <c r="G409" s="1040"/>
      <c r="H409" s="1040"/>
      <c r="I409" s="1040"/>
      <c r="J409" s="1040"/>
      <c r="K409" s="1040"/>
    </row>
    <row r="410" spans="7:11">
      <c r="G410" s="1040"/>
      <c r="H410" s="1040"/>
      <c r="I410" s="1040"/>
      <c r="J410" s="1040"/>
      <c r="K410" s="1040"/>
    </row>
    <row r="411" spans="7:11">
      <c r="G411" s="1040"/>
      <c r="H411" s="1040"/>
      <c r="I411" s="1040"/>
      <c r="J411" s="1040"/>
      <c r="K411" s="1040"/>
    </row>
    <row r="412" spans="7:11">
      <c r="G412" s="1040"/>
      <c r="H412" s="1040"/>
      <c r="I412" s="1040"/>
      <c r="J412" s="1040"/>
      <c r="K412" s="1040"/>
    </row>
    <row r="413" spans="7:11">
      <c r="G413" s="1040"/>
      <c r="H413" s="1040"/>
      <c r="I413" s="1040"/>
      <c r="J413" s="1040"/>
      <c r="K413" s="1040"/>
    </row>
    <row r="414" spans="7:11">
      <c r="G414" s="1040"/>
      <c r="H414" s="1040"/>
      <c r="I414" s="1040"/>
      <c r="J414" s="1040"/>
      <c r="K414" s="1040"/>
    </row>
    <row r="415" spans="7:11">
      <c r="G415" s="1040"/>
      <c r="H415" s="1040"/>
      <c r="I415" s="1040"/>
      <c r="J415" s="1040"/>
      <c r="K415" s="1040"/>
    </row>
    <row r="416" spans="7:11">
      <c r="G416" s="1040"/>
      <c r="H416" s="1040"/>
      <c r="I416" s="1040"/>
      <c r="J416" s="1040"/>
      <c r="K416" s="1040"/>
    </row>
    <row r="417" spans="7:11">
      <c r="G417" s="1040"/>
      <c r="H417" s="1040"/>
      <c r="I417" s="1040"/>
      <c r="J417" s="1040"/>
      <c r="K417" s="1040"/>
    </row>
    <row r="418" spans="7:11">
      <c r="G418" s="1040"/>
      <c r="H418" s="1040"/>
      <c r="I418" s="1040"/>
      <c r="J418" s="1040"/>
      <c r="K418" s="1040"/>
    </row>
    <row r="419" spans="7:11">
      <c r="G419" s="1040"/>
      <c r="H419" s="1040"/>
      <c r="I419" s="1040"/>
      <c r="J419" s="1040"/>
      <c r="K419" s="1040"/>
    </row>
    <row r="420" spans="7:11">
      <c r="G420" s="1040"/>
      <c r="H420" s="1040"/>
      <c r="I420" s="1040"/>
      <c r="J420" s="1040"/>
      <c r="K420" s="1040"/>
    </row>
    <row r="421" spans="7:11">
      <c r="G421" s="1040"/>
      <c r="H421" s="1040"/>
      <c r="I421" s="1040"/>
      <c r="J421" s="1040"/>
      <c r="K421" s="1040"/>
    </row>
    <row r="422" spans="7:11">
      <c r="G422" s="1040"/>
      <c r="H422" s="1040"/>
      <c r="I422" s="1040"/>
      <c r="J422" s="1040"/>
      <c r="K422" s="1040"/>
    </row>
    <row r="423" spans="7:11">
      <c r="G423" s="1040"/>
      <c r="H423" s="1040"/>
      <c r="I423" s="1040"/>
      <c r="J423" s="1040"/>
      <c r="K423" s="1040"/>
    </row>
    <row r="424" spans="7:11">
      <c r="G424" s="1040"/>
      <c r="H424" s="1040"/>
      <c r="I424" s="1040"/>
      <c r="J424" s="1040"/>
      <c r="K424" s="1040"/>
    </row>
    <row r="425" spans="7:11">
      <c r="G425" s="1040"/>
      <c r="H425" s="1040"/>
      <c r="I425" s="1040"/>
      <c r="J425" s="1040"/>
      <c r="K425" s="1040"/>
    </row>
    <row r="426" spans="7:11">
      <c r="G426" s="1040"/>
      <c r="H426" s="1040"/>
      <c r="I426" s="1040"/>
      <c r="J426" s="1040"/>
      <c r="K426" s="1040"/>
    </row>
    <row r="427" spans="7:11">
      <c r="G427" s="1040"/>
      <c r="H427" s="1040"/>
      <c r="I427" s="1040"/>
      <c r="J427" s="1040"/>
      <c r="K427" s="1040"/>
    </row>
    <row r="428" spans="7:11">
      <c r="G428" s="1040"/>
      <c r="H428" s="1040"/>
      <c r="I428" s="1040"/>
      <c r="J428" s="1040"/>
      <c r="K428" s="1040"/>
    </row>
    <row r="429" spans="7:11">
      <c r="G429" s="1040"/>
      <c r="H429" s="1040"/>
      <c r="I429" s="1040"/>
      <c r="J429" s="1040"/>
      <c r="K429" s="1040"/>
    </row>
    <row r="430" spans="7:11">
      <c r="G430" s="1040"/>
      <c r="H430" s="1040"/>
      <c r="I430" s="1040"/>
      <c r="J430" s="1040"/>
      <c r="K430" s="1040"/>
    </row>
    <row r="431" spans="7:11">
      <c r="G431" s="1040"/>
      <c r="H431" s="1040"/>
      <c r="I431" s="1040"/>
      <c r="J431" s="1040"/>
      <c r="K431" s="1040"/>
    </row>
    <row r="432" spans="7:11">
      <c r="G432" s="1040"/>
      <c r="H432" s="1040"/>
      <c r="I432" s="1040"/>
      <c r="J432" s="1040"/>
      <c r="K432" s="1040"/>
    </row>
    <row r="433" spans="7:11">
      <c r="G433" s="1040"/>
      <c r="H433" s="1040"/>
      <c r="I433" s="1040"/>
      <c r="J433" s="1040"/>
      <c r="K433" s="1040"/>
    </row>
    <row r="434" spans="7:11">
      <c r="G434" s="1040"/>
      <c r="H434" s="1040"/>
      <c r="I434" s="1040"/>
      <c r="J434" s="1040"/>
      <c r="K434" s="1040"/>
    </row>
    <row r="435" spans="7:11">
      <c r="G435" s="1040"/>
      <c r="H435" s="1040"/>
      <c r="I435" s="1040"/>
      <c r="J435" s="1040"/>
      <c r="K435" s="1040"/>
    </row>
    <row r="436" spans="7:11">
      <c r="G436" s="1040"/>
      <c r="H436" s="1040"/>
      <c r="I436" s="1040"/>
      <c r="J436" s="1040"/>
      <c r="K436" s="1040"/>
    </row>
    <row r="437" spans="7:11">
      <c r="G437" s="1040"/>
      <c r="H437" s="1040"/>
      <c r="I437" s="1040"/>
      <c r="J437" s="1040"/>
      <c r="K437" s="1040"/>
    </row>
    <row r="438" spans="7:11">
      <c r="G438" s="1040"/>
      <c r="H438" s="1040"/>
      <c r="I438" s="1040"/>
      <c r="J438" s="1040"/>
      <c r="K438" s="1040"/>
    </row>
    <row r="439" spans="7:11">
      <c r="G439" s="1040"/>
      <c r="H439" s="1040"/>
      <c r="I439" s="1040"/>
      <c r="J439" s="1040"/>
      <c r="K439" s="1040"/>
    </row>
    <row r="440" spans="7:11">
      <c r="G440" s="1040"/>
      <c r="H440" s="1040"/>
      <c r="I440" s="1040"/>
      <c r="J440" s="1040"/>
      <c r="K440" s="1040"/>
    </row>
    <row r="441" spans="7:11">
      <c r="G441" s="1040"/>
      <c r="H441" s="1040"/>
      <c r="I441" s="1040"/>
      <c r="J441" s="1040"/>
      <c r="K441" s="1040"/>
    </row>
    <row r="442" spans="7:11">
      <c r="G442" s="1040"/>
      <c r="H442" s="1040"/>
      <c r="I442" s="1040"/>
      <c r="J442" s="1040"/>
      <c r="K442" s="1040"/>
    </row>
    <row r="443" spans="7:11">
      <c r="G443" s="1040"/>
      <c r="H443" s="1040"/>
      <c r="I443" s="1040"/>
      <c r="J443" s="1040"/>
      <c r="K443" s="1040"/>
    </row>
    <row r="444" spans="7:11">
      <c r="G444" s="1040"/>
      <c r="H444" s="1040"/>
      <c r="I444" s="1040"/>
      <c r="J444" s="1040"/>
      <c r="K444" s="1040"/>
    </row>
    <row r="445" spans="7:11">
      <c r="G445" s="1040"/>
      <c r="H445" s="1040"/>
      <c r="I445" s="1040"/>
      <c r="J445" s="1040"/>
      <c r="K445" s="1040"/>
    </row>
    <row r="446" spans="7:11">
      <c r="G446" s="1040"/>
      <c r="H446" s="1040"/>
      <c r="I446" s="1040"/>
      <c r="J446" s="1040"/>
      <c r="K446" s="1040"/>
    </row>
    <row r="447" spans="7:11">
      <c r="G447" s="1040"/>
      <c r="H447" s="1040"/>
      <c r="I447" s="1040"/>
      <c r="J447" s="1040"/>
      <c r="K447" s="1040"/>
    </row>
    <row r="448" spans="7:11">
      <c r="G448" s="1040"/>
      <c r="H448" s="1040"/>
      <c r="I448" s="1040"/>
      <c r="J448" s="1040"/>
      <c r="K448" s="1040"/>
    </row>
    <row r="449" spans="7:11">
      <c r="G449" s="1040"/>
      <c r="H449" s="1040"/>
      <c r="I449" s="1040"/>
      <c r="J449" s="1040"/>
      <c r="K449" s="1040"/>
    </row>
    <row r="450" spans="7:11">
      <c r="G450" s="1040"/>
      <c r="H450" s="1040"/>
      <c r="I450" s="1040"/>
      <c r="J450" s="1040"/>
      <c r="K450" s="1040"/>
    </row>
    <row r="451" spans="7:11">
      <c r="G451" s="1040"/>
      <c r="H451" s="1040"/>
      <c r="I451" s="1040"/>
      <c r="J451" s="1040"/>
      <c r="K451" s="1040"/>
    </row>
    <row r="452" spans="7:11">
      <c r="G452" s="1040"/>
      <c r="H452" s="1040"/>
      <c r="I452" s="1040"/>
      <c r="J452" s="1040"/>
      <c r="K452" s="1040"/>
    </row>
    <row r="453" spans="7:11">
      <c r="G453" s="1040"/>
      <c r="H453" s="1040"/>
      <c r="I453" s="1040"/>
      <c r="J453" s="1040"/>
      <c r="K453" s="1040"/>
    </row>
    <row r="454" spans="7:11">
      <c r="G454" s="1040"/>
      <c r="H454" s="1040"/>
      <c r="I454" s="1040"/>
      <c r="J454" s="1040"/>
      <c r="K454" s="1040"/>
    </row>
    <row r="455" spans="7:11">
      <c r="G455" s="1040"/>
      <c r="H455" s="1040"/>
      <c r="I455" s="1040"/>
      <c r="J455" s="1040"/>
      <c r="K455" s="1040"/>
    </row>
    <row r="456" spans="7:11">
      <c r="G456" s="1040"/>
      <c r="H456" s="1040"/>
      <c r="I456" s="1040"/>
      <c r="J456" s="1040"/>
      <c r="K456" s="1040"/>
    </row>
    <row r="457" spans="7:11">
      <c r="G457" s="1040"/>
      <c r="H457" s="1040"/>
      <c r="I457" s="1040"/>
      <c r="J457" s="1040"/>
      <c r="K457" s="1040"/>
    </row>
    <row r="458" spans="7:11">
      <c r="G458" s="1040"/>
      <c r="H458" s="1040"/>
      <c r="I458" s="1040"/>
      <c r="J458" s="1040"/>
      <c r="K458" s="1040"/>
    </row>
    <row r="459" spans="7:11">
      <c r="G459" s="1040"/>
      <c r="H459" s="1040"/>
      <c r="I459" s="1040"/>
      <c r="J459" s="1040"/>
      <c r="K459" s="1040"/>
    </row>
    <row r="460" spans="7:11">
      <c r="G460" s="1040"/>
      <c r="H460" s="1040"/>
      <c r="I460" s="1040"/>
      <c r="J460" s="1040"/>
      <c r="K460" s="1040"/>
    </row>
    <row r="461" spans="7:11">
      <c r="G461" s="1040"/>
      <c r="H461" s="1040"/>
      <c r="I461" s="1040"/>
      <c r="J461" s="1040"/>
      <c r="K461" s="1040"/>
    </row>
    <row r="462" spans="7:11">
      <c r="G462" s="1040"/>
      <c r="H462" s="1040"/>
      <c r="I462" s="1040"/>
      <c r="J462" s="1040"/>
      <c r="K462" s="1040"/>
    </row>
    <row r="463" spans="7:11">
      <c r="G463" s="1040"/>
      <c r="H463" s="1040"/>
      <c r="I463" s="1040"/>
      <c r="J463" s="1040"/>
      <c r="K463" s="1040"/>
    </row>
    <row r="464" spans="7:11">
      <c r="G464" s="1040"/>
      <c r="H464" s="1040"/>
      <c r="I464" s="1040"/>
      <c r="J464" s="1040"/>
      <c r="K464" s="1040"/>
    </row>
    <row r="465" spans="7:11">
      <c r="G465" s="1040"/>
      <c r="H465" s="1040"/>
      <c r="I465" s="1040"/>
      <c r="J465" s="1040"/>
      <c r="K465" s="1040"/>
    </row>
    <row r="466" spans="7:11">
      <c r="G466" s="1040"/>
      <c r="H466" s="1040"/>
      <c r="I466" s="1040"/>
      <c r="J466" s="1040"/>
      <c r="K466" s="1040"/>
    </row>
    <row r="467" spans="7:11">
      <c r="G467" s="1040"/>
      <c r="H467" s="1040"/>
      <c r="I467" s="1040"/>
      <c r="J467" s="1040"/>
      <c r="K467" s="1040"/>
    </row>
    <row r="468" spans="7:11">
      <c r="G468" s="1040"/>
      <c r="H468" s="1040"/>
      <c r="I468" s="1040"/>
      <c r="J468" s="1040"/>
      <c r="K468" s="1040"/>
    </row>
    <row r="469" spans="7:11">
      <c r="G469" s="1040"/>
      <c r="H469" s="1040"/>
      <c r="I469" s="1040"/>
      <c r="J469" s="1040"/>
      <c r="K469" s="1040"/>
    </row>
    <row r="470" spans="7:11">
      <c r="G470" s="1040"/>
      <c r="H470" s="1040"/>
      <c r="I470" s="1040"/>
      <c r="J470" s="1040"/>
      <c r="K470" s="1040"/>
    </row>
    <row r="471" spans="7:11">
      <c r="G471" s="1040"/>
      <c r="H471" s="1040"/>
      <c r="I471" s="1040"/>
      <c r="J471" s="1040"/>
      <c r="K471" s="1040"/>
    </row>
    <row r="472" spans="7:11">
      <c r="G472" s="1040"/>
      <c r="H472" s="1040"/>
      <c r="I472" s="1040"/>
      <c r="J472" s="1040"/>
      <c r="K472" s="1040"/>
    </row>
    <row r="473" spans="7:11">
      <c r="G473" s="1040"/>
      <c r="H473" s="1040"/>
      <c r="I473" s="1040"/>
      <c r="J473" s="1040"/>
      <c r="K473" s="1040"/>
    </row>
    <row r="474" spans="7:11">
      <c r="G474" s="1040"/>
      <c r="H474" s="1040"/>
      <c r="I474" s="1040"/>
      <c r="J474" s="1040"/>
      <c r="K474" s="1040"/>
    </row>
    <row r="475" spans="7:11">
      <c r="G475" s="1040"/>
      <c r="H475" s="1040"/>
      <c r="I475" s="1040"/>
      <c r="J475" s="1040"/>
      <c r="K475" s="1040"/>
    </row>
    <row r="476" spans="7:11">
      <c r="G476" s="1040"/>
      <c r="H476" s="1040"/>
      <c r="I476" s="1040"/>
      <c r="J476" s="1040"/>
      <c r="K476" s="1040"/>
    </row>
    <row r="477" spans="7:11">
      <c r="G477" s="1040"/>
      <c r="H477" s="1040"/>
      <c r="I477" s="1040"/>
      <c r="J477" s="1040"/>
      <c r="K477" s="1040"/>
    </row>
    <row r="478" spans="7:11">
      <c r="G478" s="1040"/>
      <c r="H478" s="1040"/>
      <c r="I478" s="1040"/>
      <c r="J478" s="1040"/>
      <c r="K478" s="1040"/>
    </row>
    <row r="479" spans="7:11">
      <c r="G479" s="1040"/>
      <c r="H479" s="1040"/>
      <c r="I479" s="1040"/>
      <c r="J479" s="1040"/>
      <c r="K479" s="1040"/>
    </row>
    <row r="480" spans="7:11">
      <c r="G480" s="1040"/>
      <c r="H480" s="1040"/>
      <c r="I480" s="1040"/>
      <c r="J480" s="1040"/>
      <c r="K480" s="1040"/>
    </row>
    <row r="481" spans="7:11">
      <c r="G481" s="1040"/>
      <c r="H481" s="1040"/>
      <c r="I481" s="1040"/>
      <c r="J481" s="1040"/>
      <c r="K481" s="1040"/>
    </row>
    <row r="482" spans="7:11">
      <c r="G482" s="1040"/>
      <c r="H482" s="1040"/>
      <c r="I482" s="1040"/>
      <c r="J482" s="1040"/>
      <c r="K482" s="1040"/>
    </row>
    <row r="483" spans="7:11">
      <c r="G483" s="1040"/>
      <c r="H483" s="1040"/>
      <c r="I483" s="1040"/>
      <c r="J483" s="1040"/>
      <c r="K483" s="1040"/>
    </row>
    <row r="484" spans="7:11">
      <c r="G484" s="1040"/>
      <c r="H484" s="1040"/>
      <c r="I484" s="1040"/>
      <c r="J484" s="1040"/>
      <c r="K484" s="1040"/>
    </row>
    <row r="485" spans="7:11">
      <c r="G485" s="1040"/>
      <c r="H485" s="1040"/>
      <c r="I485" s="1040"/>
      <c r="J485" s="1040"/>
      <c r="K485" s="1040"/>
    </row>
    <row r="486" spans="7:11">
      <c r="G486" s="1040"/>
      <c r="H486" s="1040"/>
      <c r="I486" s="1040"/>
      <c r="J486" s="1040"/>
      <c r="K486" s="1040"/>
    </row>
    <row r="487" spans="7:11">
      <c r="G487" s="1040"/>
      <c r="H487" s="1040"/>
      <c r="I487" s="1040"/>
      <c r="J487" s="1040"/>
      <c r="K487" s="1040"/>
    </row>
    <row r="488" spans="7:11">
      <c r="G488" s="1040"/>
      <c r="H488" s="1040"/>
      <c r="I488" s="1040"/>
      <c r="J488" s="1040"/>
      <c r="K488" s="1040"/>
    </row>
    <row r="489" spans="7:11">
      <c r="G489" s="1040"/>
      <c r="H489" s="1040"/>
      <c r="I489" s="1040"/>
      <c r="J489" s="1040"/>
      <c r="K489" s="1040"/>
    </row>
    <row r="490" spans="7:11">
      <c r="G490" s="1040"/>
      <c r="H490" s="1040"/>
      <c r="I490" s="1040"/>
      <c r="J490" s="1040"/>
      <c r="K490" s="1040"/>
    </row>
    <row r="491" spans="7:11">
      <c r="G491" s="1040"/>
      <c r="H491" s="1040"/>
      <c r="I491" s="1040"/>
      <c r="J491" s="1040"/>
      <c r="K491" s="1040"/>
    </row>
    <row r="492" spans="7:11">
      <c r="G492" s="1040"/>
      <c r="H492" s="1040"/>
      <c r="I492" s="1040"/>
      <c r="J492" s="1040"/>
      <c r="K492" s="1040"/>
    </row>
    <row r="493" spans="7:11">
      <c r="G493" s="1040"/>
      <c r="H493" s="1040"/>
      <c r="I493" s="1040"/>
      <c r="J493" s="1040"/>
      <c r="K493" s="1040"/>
    </row>
    <row r="494" spans="7:11">
      <c r="G494" s="1040"/>
      <c r="H494" s="1040"/>
      <c r="I494" s="1040"/>
      <c r="J494" s="1040"/>
      <c r="K494" s="1040"/>
    </row>
    <row r="495" spans="7:11">
      <c r="G495" s="1040"/>
      <c r="H495" s="1040"/>
      <c r="I495" s="1040"/>
      <c r="J495" s="1040"/>
      <c r="K495" s="1040"/>
    </row>
    <row r="496" spans="7:11">
      <c r="G496" s="1040"/>
      <c r="H496" s="1040"/>
      <c r="I496" s="1040"/>
      <c r="J496" s="1040"/>
      <c r="K496" s="1040"/>
    </row>
    <row r="497" spans="7:11">
      <c r="G497" s="1040"/>
      <c r="H497" s="1040"/>
      <c r="I497" s="1040"/>
      <c r="J497" s="1040"/>
      <c r="K497" s="1040"/>
    </row>
    <row r="498" spans="7:11">
      <c r="G498" s="1040"/>
      <c r="H498" s="1040"/>
      <c r="I498" s="1040"/>
      <c r="J498" s="1040"/>
      <c r="K498" s="1040"/>
    </row>
    <row r="499" spans="7:11">
      <c r="G499" s="1040"/>
      <c r="H499" s="1040"/>
      <c r="I499" s="1040"/>
      <c r="J499" s="1040"/>
      <c r="K499" s="1040"/>
    </row>
    <row r="500" spans="7:11">
      <c r="G500" s="1040"/>
      <c r="H500" s="1040"/>
      <c r="I500" s="1040"/>
      <c r="J500" s="1040"/>
      <c r="K500" s="1040"/>
    </row>
    <row r="501" spans="7:11">
      <c r="G501" s="1040"/>
      <c r="H501" s="1040"/>
      <c r="I501" s="1040"/>
      <c r="J501" s="1040"/>
      <c r="K501" s="1040"/>
    </row>
    <row r="502" spans="7:11">
      <c r="G502" s="1040"/>
      <c r="H502" s="1040"/>
      <c r="I502" s="1040"/>
      <c r="J502" s="1040"/>
      <c r="K502" s="1040"/>
    </row>
    <row r="503" spans="7:11">
      <c r="G503" s="1040"/>
      <c r="H503" s="1040"/>
      <c r="I503" s="1040"/>
      <c r="J503" s="1040"/>
      <c r="K503" s="1040"/>
    </row>
    <row r="504" spans="7:11">
      <c r="G504" s="1040"/>
      <c r="H504" s="1040"/>
      <c r="I504" s="1040"/>
      <c r="J504" s="1040"/>
      <c r="K504" s="1040"/>
    </row>
    <row r="505" spans="7:11">
      <c r="G505" s="1040"/>
      <c r="H505" s="1040"/>
      <c r="I505" s="1040"/>
      <c r="J505" s="1040"/>
      <c r="K505" s="1040"/>
    </row>
    <row r="506" spans="7:11">
      <c r="G506" s="1040"/>
      <c r="H506" s="1040"/>
      <c r="I506" s="1040"/>
      <c r="J506" s="1040"/>
      <c r="K506" s="1040"/>
    </row>
    <row r="507" spans="7:11">
      <c r="G507" s="1040"/>
      <c r="H507" s="1040"/>
      <c r="I507" s="1040"/>
      <c r="J507" s="1040"/>
      <c r="K507" s="1040"/>
    </row>
    <row r="508" spans="7:11">
      <c r="G508" s="1040"/>
      <c r="H508" s="1040"/>
      <c r="I508" s="1040"/>
      <c r="J508" s="1040"/>
      <c r="K508" s="1040"/>
    </row>
    <row r="509" spans="7:11">
      <c r="G509" s="1040"/>
      <c r="H509" s="1040"/>
      <c r="I509" s="1040"/>
      <c r="J509" s="1040"/>
      <c r="K509" s="1040"/>
    </row>
    <row r="510" spans="7:11">
      <c r="G510" s="1040"/>
      <c r="H510" s="1040"/>
      <c r="I510" s="1040"/>
      <c r="J510" s="1040"/>
      <c r="K510" s="1040"/>
    </row>
    <row r="511" spans="7:11">
      <c r="G511" s="1040"/>
      <c r="H511" s="1040"/>
      <c r="I511" s="1040"/>
      <c r="J511" s="1040"/>
      <c r="K511" s="1040"/>
    </row>
    <row r="512" spans="7:11">
      <c r="G512" s="1040"/>
      <c r="H512" s="1040"/>
      <c r="I512" s="1040"/>
      <c r="J512" s="1040"/>
      <c r="K512" s="1040"/>
    </row>
    <row r="513" spans="7:11">
      <c r="G513" s="1040"/>
      <c r="H513" s="1040"/>
      <c r="I513" s="1040"/>
      <c r="J513" s="1040"/>
      <c r="K513" s="1040"/>
    </row>
    <row r="514" spans="7:11">
      <c r="G514" s="1040"/>
      <c r="H514" s="1040"/>
      <c r="I514" s="1040"/>
      <c r="J514" s="1040"/>
      <c r="K514" s="1040"/>
    </row>
    <row r="515" spans="7:11">
      <c r="G515" s="1040"/>
      <c r="H515" s="1040"/>
      <c r="I515" s="1040"/>
      <c r="J515" s="1040"/>
      <c r="K515" s="1040"/>
    </row>
    <row r="516" spans="7:11">
      <c r="G516" s="1040"/>
      <c r="H516" s="1040"/>
      <c r="I516" s="1040"/>
      <c r="J516" s="1040"/>
      <c r="K516" s="1040"/>
    </row>
    <row r="517" spans="7:11">
      <c r="G517" s="1040"/>
      <c r="H517" s="1040"/>
      <c r="I517" s="1040"/>
      <c r="J517" s="1040"/>
      <c r="K517" s="1040"/>
    </row>
    <row r="518" spans="7:11">
      <c r="G518" s="1040"/>
      <c r="H518" s="1040"/>
      <c r="I518" s="1040"/>
      <c r="J518" s="1040"/>
      <c r="K518" s="1040"/>
    </row>
    <row r="519" spans="7:11">
      <c r="G519" s="1040"/>
      <c r="H519" s="1040"/>
      <c r="I519" s="1040"/>
      <c r="J519" s="1040"/>
      <c r="K519" s="1040"/>
    </row>
    <row r="520" spans="7:11">
      <c r="G520" s="1040"/>
      <c r="H520" s="1040"/>
      <c r="I520" s="1040"/>
      <c r="J520" s="1040"/>
      <c r="K520" s="1040"/>
    </row>
    <row r="521" spans="7:11">
      <c r="G521" s="1040"/>
      <c r="H521" s="1040"/>
      <c r="I521" s="1040"/>
      <c r="J521" s="1040"/>
      <c r="K521" s="1040"/>
    </row>
    <row r="522" spans="7:11">
      <c r="G522" s="1040"/>
      <c r="H522" s="1040"/>
      <c r="I522" s="1040"/>
      <c r="J522" s="1040"/>
      <c r="K522" s="1040"/>
    </row>
    <row r="523" spans="7:11">
      <c r="G523" s="1040"/>
      <c r="H523" s="1040"/>
      <c r="I523" s="1040"/>
      <c r="J523" s="1040"/>
      <c r="K523" s="1040"/>
    </row>
    <row r="524" spans="7:11">
      <c r="G524" s="1040"/>
      <c r="H524" s="1040"/>
      <c r="I524" s="1040"/>
      <c r="J524" s="1040"/>
      <c r="K524" s="1040"/>
    </row>
    <row r="525" spans="7:11">
      <c r="G525" s="1040"/>
      <c r="H525" s="1040"/>
      <c r="I525" s="1040"/>
      <c r="J525" s="1040"/>
      <c r="K525" s="1040"/>
    </row>
    <row r="526" spans="7:11">
      <c r="G526" s="1040"/>
      <c r="H526" s="1040"/>
      <c r="I526" s="1040"/>
      <c r="J526" s="1040"/>
      <c r="K526" s="1040"/>
    </row>
    <row r="527" spans="7:11">
      <c r="G527" s="1040"/>
      <c r="H527" s="1040"/>
      <c r="I527" s="1040"/>
      <c r="J527" s="1040"/>
      <c r="K527" s="1040"/>
    </row>
    <row r="528" spans="7:11">
      <c r="G528" s="1040"/>
      <c r="H528" s="1040"/>
      <c r="I528" s="1040"/>
      <c r="J528" s="1040"/>
      <c r="K528" s="1040"/>
    </row>
    <row r="529" spans="7:11">
      <c r="G529" s="1040"/>
      <c r="H529" s="1040"/>
      <c r="I529" s="1040"/>
      <c r="J529" s="1040"/>
      <c r="K529" s="1040"/>
    </row>
    <row r="530" spans="7:11">
      <c r="G530" s="1040"/>
      <c r="H530" s="1040"/>
      <c r="I530" s="1040"/>
      <c r="J530" s="1040"/>
      <c r="K530" s="1040"/>
    </row>
    <row r="531" spans="7:11">
      <c r="G531" s="1040"/>
      <c r="H531" s="1040"/>
      <c r="I531" s="1040"/>
      <c r="J531" s="1040"/>
      <c r="K531" s="1040"/>
    </row>
    <row r="532" spans="7:11">
      <c r="G532" s="1040"/>
      <c r="H532" s="1040"/>
      <c r="I532" s="1040"/>
      <c r="J532" s="1040"/>
      <c r="K532" s="1040"/>
    </row>
    <row r="533" spans="7:11">
      <c r="G533" s="1040"/>
      <c r="H533" s="1040"/>
      <c r="I533" s="1040"/>
      <c r="J533" s="1040"/>
      <c r="K533" s="1040"/>
    </row>
    <row r="534" spans="7:11">
      <c r="G534" s="1040"/>
      <c r="H534" s="1040"/>
      <c r="I534" s="1040"/>
      <c r="J534" s="1040"/>
      <c r="K534" s="1040"/>
    </row>
    <row r="535" spans="7:11">
      <c r="G535" s="1040"/>
      <c r="H535" s="1040"/>
      <c r="I535" s="1040"/>
      <c r="J535" s="1040"/>
      <c r="K535" s="1040"/>
    </row>
    <row r="536" spans="7:11">
      <c r="G536" s="1040"/>
      <c r="H536" s="1040"/>
      <c r="I536" s="1040"/>
      <c r="J536" s="1040"/>
      <c r="K536" s="1040"/>
    </row>
    <row r="537" spans="7:11">
      <c r="G537" s="1040"/>
      <c r="H537" s="1040"/>
      <c r="I537" s="1040"/>
      <c r="J537" s="1040"/>
      <c r="K537" s="1040"/>
    </row>
    <row r="538" spans="7:11">
      <c r="G538" s="1040"/>
      <c r="H538" s="1040"/>
      <c r="I538" s="1040"/>
      <c r="J538" s="1040"/>
      <c r="K538" s="1040"/>
    </row>
    <row r="539" spans="7:11">
      <c r="G539" s="1040"/>
      <c r="H539" s="1040"/>
      <c r="I539" s="1040"/>
      <c r="J539" s="1040"/>
      <c r="K539" s="1040"/>
    </row>
    <row r="540" spans="7:11">
      <c r="G540" s="1040"/>
      <c r="H540" s="1040"/>
      <c r="I540" s="1040"/>
      <c r="J540" s="1040"/>
      <c r="K540" s="1040"/>
    </row>
    <row r="541" spans="7:11">
      <c r="G541" s="1040"/>
      <c r="H541" s="1040"/>
      <c r="I541" s="1040"/>
      <c r="J541" s="1040"/>
      <c r="K541" s="1040"/>
    </row>
    <row r="542" spans="7:11">
      <c r="G542" s="1040"/>
      <c r="H542" s="1040"/>
      <c r="I542" s="1040"/>
      <c r="J542" s="1040"/>
      <c r="K542" s="1040"/>
    </row>
    <row r="543" spans="7:11">
      <c r="G543" s="1040"/>
      <c r="H543" s="1040"/>
      <c r="I543" s="1040"/>
      <c r="J543" s="1040"/>
      <c r="K543" s="1040"/>
    </row>
    <row r="544" spans="7:11">
      <c r="G544" s="1040"/>
      <c r="H544" s="1040"/>
      <c r="I544" s="1040"/>
      <c r="J544" s="1040"/>
      <c r="K544" s="1040"/>
    </row>
    <row r="545" spans="7:11">
      <c r="G545" s="1040"/>
      <c r="H545" s="1040"/>
      <c r="I545" s="1040"/>
      <c r="J545" s="1040"/>
      <c r="K545" s="1040"/>
    </row>
    <row r="546" spans="7:11">
      <c r="G546" s="1040"/>
      <c r="H546" s="1040"/>
      <c r="I546" s="1040"/>
      <c r="J546" s="1040"/>
      <c r="K546" s="1040"/>
    </row>
    <row r="547" spans="7:11">
      <c r="G547" s="1040"/>
      <c r="H547" s="1040"/>
      <c r="I547" s="1040"/>
      <c r="J547" s="1040"/>
      <c r="K547" s="1040"/>
    </row>
    <row r="548" spans="7:11">
      <c r="G548" s="1040"/>
      <c r="H548" s="1040"/>
      <c r="I548" s="1040"/>
      <c r="J548" s="1040"/>
      <c r="K548" s="1040"/>
    </row>
    <row r="549" spans="7:11">
      <c r="G549" s="1040"/>
      <c r="H549" s="1040"/>
      <c r="I549" s="1040"/>
      <c r="J549" s="1040"/>
      <c r="K549" s="1040"/>
    </row>
    <row r="550" spans="7:11">
      <c r="G550" s="1040"/>
      <c r="H550" s="1040"/>
      <c r="I550" s="1040"/>
      <c r="J550" s="1040"/>
      <c r="K550" s="1040"/>
    </row>
    <row r="551" spans="7:11">
      <c r="G551" s="1040"/>
      <c r="H551" s="1040"/>
      <c r="I551" s="1040"/>
      <c r="J551" s="1040"/>
      <c r="K551" s="1040"/>
    </row>
    <row r="552" spans="7:11">
      <c r="G552" s="1040"/>
      <c r="H552" s="1040"/>
      <c r="I552" s="1040"/>
      <c r="J552" s="1040"/>
      <c r="K552" s="1040"/>
    </row>
    <row r="553" spans="7:11">
      <c r="G553" s="1040"/>
      <c r="H553" s="1040"/>
      <c r="I553" s="1040"/>
      <c r="J553" s="1040"/>
      <c r="K553" s="1040"/>
    </row>
    <row r="554" spans="7:11">
      <c r="G554" s="1040"/>
      <c r="H554" s="1040"/>
      <c r="I554" s="1040"/>
      <c r="J554" s="1040"/>
      <c r="K554" s="1040"/>
    </row>
    <row r="555" spans="7:11">
      <c r="G555" s="1040"/>
      <c r="H555" s="1040"/>
      <c r="I555" s="1040"/>
      <c r="J555" s="1040"/>
      <c r="K555" s="1040"/>
    </row>
    <row r="556" spans="7:11">
      <c r="G556" s="1040"/>
      <c r="H556" s="1040"/>
      <c r="I556" s="1040"/>
      <c r="J556" s="1040"/>
      <c r="K556" s="1040"/>
    </row>
    <row r="557" spans="7:11">
      <c r="G557" s="1040"/>
      <c r="H557" s="1040"/>
      <c r="I557" s="1040"/>
      <c r="J557" s="1040"/>
      <c r="K557" s="1040"/>
    </row>
    <row r="558" spans="7:11">
      <c r="G558" s="1040"/>
      <c r="H558" s="1040"/>
      <c r="I558" s="1040"/>
      <c r="J558" s="1040"/>
      <c r="K558" s="1040"/>
    </row>
    <row r="559" spans="7:11">
      <c r="G559" s="1040"/>
      <c r="H559" s="1040"/>
      <c r="I559" s="1040"/>
      <c r="J559" s="1040"/>
      <c r="K559" s="1040"/>
    </row>
    <row r="560" spans="7:11">
      <c r="G560" s="1040"/>
      <c r="H560" s="1040"/>
      <c r="I560" s="1040"/>
      <c r="J560" s="1040"/>
      <c r="K560" s="1040"/>
    </row>
    <row r="561" spans="7:11">
      <c r="G561" s="1040"/>
      <c r="H561" s="1040"/>
      <c r="I561" s="1040"/>
      <c r="J561" s="1040"/>
      <c r="K561" s="1040"/>
    </row>
    <row r="562" spans="7:11">
      <c r="G562" s="1040"/>
      <c r="H562" s="1040"/>
      <c r="I562" s="1040"/>
      <c r="J562" s="1040"/>
      <c r="K562" s="1040"/>
    </row>
    <row r="563" spans="7:11">
      <c r="G563" s="1040"/>
      <c r="H563" s="1040"/>
      <c r="I563" s="1040"/>
      <c r="J563" s="1040"/>
      <c r="K563" s="1040"/>
    </row>
    <row r="564" spans="7:11">
      <c r="G564" s="1040"/>
      <c r="H564" s="1040"/>
      <c r="I564" s="1040"/>
      <c r="J564" s="1040"/>
      <c r="K564" s="1040"/>
    </row>
    <row r="565" spans="7:11">
      <c r="G565" s="1040"/>
      <c r="H565" s="1040"/>
      <c r="I565" s="1040"/>
      <c r="J565" s="1040"/>
      <c r="K565" s="1040"/>
    </row>
    <row r="566" spans="7:11">
      <c r="G566" s="1040"/>
      <c r="H566" s="1040"/>
      <c r="I566" s="1040"/>
      <c r="J566" s="1040"/>
      <c r="K566" s="1040"/>
    </row>
    <row r="567" spans="7:11">
      <c r="G567" s="1040"/>
      <c r="H567" s="1040"/>
      <c r="I567" s="1040"/>
      <c r="J567" s="1040"/>
      <c r="K567" s="1040"/>
    </row>
    <row r="568" spans="7:11">
      <c r="G568" s="1040"/>
      <c r="H568" s="1040"/>
      <c r="I568" s="1040"/>
      <c r="J568" s="1040"/>
      <c r="K568" s="1040"/>
    </row>
    <row r="569" spans="7:11">
      <c r="G569" s="1040"/>
      <c r="H569" s="1040"/>
      <c r="I569" s="1040"/>
      <c r="J569" s="1040"/>
      <c r="K569" s="1040"/>
    </row>
    <row r="570" spans="7:11">
      <c r="G570" s="1040"/>
      <c r="H570" s="1040"/>
      <c r="I570" s="1040"/>
      <c r="J570" s="1040"/>
      <c r="K570" s="1040"/>
    </row>
    <row r="571" spans="7:11">
      <c r="G571" s="1040"/>
      <c r="H571" s="1040"/>
      <c r="I571" s="1040"/>
      <c r="J571" s="1040"/>
      <c r="K571" s="1040"/>
    </row>
    <row r="572" spans="7:11">
      <c r="G572" s="1040"/>
      <c r="H572" s="1040"/>
      <c r="I572" s="1040"/>
      <c r="J572" s="1040"/>
      <c r="K572" s="1040"/>
    </row>
    <row r="573" spans="7:11">
      <c r="G573" s="1040"/>
      <c r="H573" s="1040"/>
      <c r="I573" s="1040"/>
      <c r="J573" s="1040"/>
      <c r="K573" s="1040"/>
    </row>
    <row r="574" spans="7:11">
      <c r="G574" s="1040"/>
      <c r="H574" s="1040"/>
      <c r="I574" s="1040"/>
      <c r="J574" s="1040"/>
      <c r="K574" s="1040"/>
    </row>
    <row r="575" spans="7:11">
      <c r="G575" s="1040"/>
      <c r="H575" s="1040"/>
      <c r="I575" s="1040"/>
      <c r="J575" s="1040"/>
      <c r="K575" s="1040"/>
    </row>
    <row r="576" spans="7:11">
      <c r="G576" s="1040"/>
      <c r="H576" s="1040"/>
      <c r="I576" s="1040"/>
      <c r="J576" s="1040"/>
      <c r="K576" s="1040"/>
    </row>
    <row r="577" spans="7:11">
      <c r="G577" s="1040"/>
      <c r="H577" s="1040"/>
      <c r="I577" s="1040"/>
      <c r="J577" s="1040"/>
      <c r="K577" s="1040"/>
    </row>
    <row r="578" spans="7:11">
      <c r="G578" s="1040"/>
      <c r="H578" s="1040"/>
      <c r="I578" s="1040"/>
      <c r="J578" s="1040"/>
      <c r="K578" s="1040"/>
    </row>
    <row r="579" spans="7:11">
      <c r="G579" s="1040"/>
      <c r="H579" s="1040"/>
      <c r="I579" s="1040"/>
      <c r="J579" s="1040"/>
      <c r="K579" s="1040"/>
    </row>
    <row r="580" spans="7:11">
      <c r="G580" s="1040"/>
      <c r="H580" s="1040"/>
      <c r="I580" s="1040"/>
      <c r="J580" s="1040"/>
      <c r="K580" s="1040"/>
    </row>
    <row r="581" spans="7:11">
      <c r="G581" s="1040"/>
      <c r="H581" s="1040"/>
      <c r="I581" s="1040"/>
      <c r="J581" s="1040"/>
      <c r="K581" s="1040"/>
    </row>
    <row r="582" spans="7:11">
      <c r="G582" s="1040"/>
      <c r="H582" s="1040"/>
      <c r="I582" s="1040"/>
      <c r="J582" s="1040"/>
      <c r="K582" s="1040"/>
    </row>
    <row r="583" spans="7:11">
      <c r="G583" s="1040"/>
      <c r="H583" s="1040"/>
      <c r="I583" s="1040"/>
      <c r="J583" s="1040"/>
      <c r="K583" s="1040"/>
    </row>
    <row r="584" spans="7:11">
      <c r="G584" s="1040"/>
      <c r="H584" s="1040"/>
      <c r="I584" s="1040"/>
      <c r="J584" s="1040"/>
      <c r="K584" s="1040"/>
    </row>
    <row r="585" spans="7:11">
      <c r="G585" s="1040"/>
      <c r="H585" s="1040"/>
      <c r="I585" s="1040"/>
      <c r="J585" s="1040"/>
      <c r="K585" s="1040"/>
    </row>
    <row r="586" spans="7:11">
      <c r="G586" s="1040"/>
      <c r="H586" s="1040"/>
      <c r="I586" s="1040"/>
      <c r="J586" s="1040"/>
      <c r="K586" s="1040"/>
    </row>
    <row r="587" spans="7:11">
      <c r="G587" s="1040"/>
      <c r="H587" s="1040"/>
      <c r="I587" s="1040"/>
      <c r="J587" s="1040"/>
      <c r="K587" s="1040"/>
    </row>
    <row r="588" spans="7:11">
      <c r="G588" s="1040"/>
      <c r="H588" s="1040"/>
      <c r="I588" s="1040"/>
      <c r="J588" s="1040"/>
      <c r="K588" s="1040"/>
    </row>
    <row r="589" spans="7:11">
      <c r="G589" s="1040"/>
      <c r="H589" s="1040"/>
      <c r="I589" s="1040"/>
      <c r="J589" s="1040"/>
      <c r="K589" s="1040"/>
    </row>
    <row r="590" spans="7:11">
      <c r="G590" s="1040"/>
      <c r="H590" s="1040"/>
      <c r="I590" s="1040"/>
      <c r="J590" s="1040"/>
      <c r="K590" s="1040"/>
    </row>
    <row r="591" spans="7:11">
      <c r="G591" s="1040"/>
      <c r="H591" s="1040"/>
      <c r="I591" s="1040"/>
      <c r="J591" s="1040"/>
      <c r="K591" s="1040"/>
    </row>
    <row r="592" spans="7:11">
      <c r="G592" s="1040"/>
      <c r="H592" s="1040"/>
      <c r="I592" s="1040"/>
      <c r="J592" s="1040"/>
      <c r="K592" s="1040"/>
    </row>
    <row r="593" spans="7:11">
      <c r="G593" s="1040"/>
      <c r="H593" s="1040"/>
      <c r="I593" s="1040"/>
      <c r="J593" s="1040"/>
      <c r="K593" s="1040"/>
    </row>
    <row r="594" spans="7:11">
      <c r="G594" s="1040"/>
      <c r="H594" s="1040"/>
      <c r="I594" s="1040"/>
      <c r="J594" s="1040"/>
      <c r="K594" s="1040"/>
    </row>
    <row r="595" spans="7:11">
      <c r="G595" s="1040"/>
      <c r="H595" s="1040"/>
      <c r="I595" s="1040"/>
      <c r="J595" s="1040"/>
      <c r="K595" s="1040"/>
    </row>
    <row r="596" spans="7:11">
      <c r="G596" s="1040"/>
      <c r="H596" s="1040"/>
      <c r="I596" s="1040"/>
      <c r="J596" s="1040"/>
      <c r="K596" s="1040"/>
    </row>
    <row r="597" spans="7:11">
      <c r="G597" s="1040"/>
      <c r="H597" s="1040"/>
      <c r="I597" s="1040"/>
      <c r="J597" s="1040"/>
      <c r="K597" s="1040"/>
    </row>
    <row r="598" spans="7:11">
      <c r="G598" s="1040"/>
      <c r="H598" s="1040"/>
      <c r="I598" s="1040"/>
      <c r="J598" s="1040"/>
      <c r="K598" s="1040"/>
    </row>
    <row r="599" spans="7:11">
      <c r="G599" s="1040"/>
      <c r="H599" s="1040"/>
      <c r="I599" s="1040"/>
      <c r="J599" s="1040"/>
      <c r="K599" s="1040"/>
    </row>
    <row r="600" spans="7:11">
      <c r="G600" s="1040"/>
      <c r="H600" s="1040"/>
      <c r="I600" s="1040"/>
      <c r="J600" s="1040"/>
      <c r="K600" s="1040"/>
    </row>
    <row r="601" spans="7:11">
      <c r="G601" s="1040"/>
      <c r="H601" s="1040"/>
      <c r="I601" s="1040"/>
      <c r="J601" s="1040"/>
      <c r="K601" s="1040"/>
    </row>
    <row r="602" spans="7:11">
      <c r="G602" s="1040"/>
      <c r="H602" s="1040"/>
      <c r="I602" s="1040"/>
      <c r="J602" s="1040"/>
      <c r="K602" s="1040"/>
    </row>
    <row r="603" spans="7:11">
      <c r="G603" s="1040"/>
      <c r="H603" s="1040"/>
      <c r="I603" s="1040"/>
      <c r="J603" s="1040"/>
      <c r="K603" s="1040"/>
    </row>
    <row r="604" spans="7:11">
      <c r="G604" s="1040"/>
      <c r="H604" s="1040"/>
      <c r="I604" s="1040"/>
      <c r="J604" s="1040"/>
      <c r="K604" s="1040"/>
    </row>
    <row r="605" spans="7:11">
      <c r="G605" s="1040"/>
      <c r="H605" s="1040"/>
      <c r="I605" s="1040"/>
      <c r="J605" s="1040"/>
      <c r="K605" s="1040"/>
    </row>
    <row r="606" spans="7:11">
      <c r="G606" s="1040"/>
      <c r="H606" s="1040"/>
      <c r="I606" s="1040"/>
      <c r="J606" s="1040"/>
      <c r="K606" s="1040"/>
    </row>
    <row r="607" spans="7:11">
      <c r="G607" s="1040"/>
      <c r="H607" s="1040"/>
      <c r="I607" s="1040"/>
      <c r="J607" s="1040"/>
      <c r="K607" s="1040"/>
    </row>
    <row r="608" spans="7:11">
      <c r="G608" s="1040"/>
      <c r="H608" s="1040"/>
      <c r="I608" s="1040"/>
      <c r="J608" s="1040"/>
      <c r="K608" s="1040"/>
    </row>
    <row r="609" spans="7:11">
      <c r="G609" s="1040"/>
      <c r="H609" s="1040"/>
      <c r="I609" s="1040"/>
      <c r="J609" s="1040"/>
      <c r="K609" s="1040"/>
    </row>
    <row r="610" spans="7:11">
      <c r="G610" s="1040"/>
      <c r="H610" s="1040"/>
      <c r="I610" s="1040"/>
      <c r="J610" s="1040"/>
      <c r="K610" s="1040"/>
    </row>
    <row r="611" spans="7:11">
      <c r="G611" s="1040"/>
      <c r="H611" s="1040"/>
      <c r="I611" s="1040"/>
      <c r="J611" s="1040"/>
      <c r="K611" s="1040"/>
    </row>
    <row r="612" spans="7:11">
      <c r="G612" s="1040"/>
      <c r="H612" s="1040"/>
      <c r="I612" s="1040"/>
      <c r="J612" s="1040"/>
      <c r="K612" s="1040"/>
    </row>
    <row r="613" spans="7:11">
      <c r="G613" s="1040"/>
      <c r="H613" s="1040"/>
      <c r="I613" s="1040"/>
      <c r="J613" s="1040"/>
      <c r="K613" s="1040"/>
    </row>
    <row r="614" spans="7:11">
      <c r="G614" s="1040"/>
      <c r="H614" s="1040"/>
      <c r="I614" s="1040"/>
      <c r="J614" s="1040"/>
      <c r="K614" s="1040"/>
    </row>
    <row r="615" spans="7:11">
      <c r="G615" s="1040"/>
      <c r="H615" s="1040"/>
      <c r="I615" s="1040"/>
      <c r="J615" s="1040"/>
      <c r="K615" s="1040"/>
    </row>
    <row r="616" spans="7:11">
      <c r="G616" s="1040"/>
      <c r="H616" s="1040"/>
      <c r="I616" s="1040"/>
      <c r="J616" s="1040"/>
      <c r="K616" s="1040"/>
    </row>
    <row r="617" spans="7:11">
      <c r="G617" s="1040"/>
      <c r="H617" s="1040"/>
      <c r="I617" s="1040"/>
      <c r="J617" s="1040"/>
      <c r="K617" s="1040"/>
    </row>
    <row r="618" spans="7:11">
      <c r="G618" s="1040"/>
      <c r="H618" s="1040"/>
      <c r="I618" s="1040"/>
      <c r="J618" s="1040"/>
      <c r="K618" s="1040"/>
    </row>
    <row r="619" spans="7:11">
      <c r="G619" s="1040"/>
      <c r="H619" s="1040"/>
      <c r="I619" s="1040"/>
      <c r="J619" s="1040"/>
      <c r="K619" s="1040"/>
    </row>
    <row r="620" spans="7:11">
      <c r="G620" s="1040"/>
      <c r="H620" s="1040"/>
      <c r="I620" s="1040"/>
      <c r="J620" s="1040"/>
      <c r="K620" s="1040"/>
    </row>
    <row r="621" spans="7:11">
      <c r="G621" s="1040"/>
      <c r="H621" s="1040"/>
      <c r="I621" s="1040"/>
      <c r="J621" s="1040"/>
      <c r="K621" s="1040"/>
    </row>
    <row r="622" spans="7:11">
      <c r="G622" s="1040"/>
      <c r="H622" s="1040"/>
      <c r="I622" s="1040"/>
      <c r="J622" s="1040"/>
      <c r="K622" s="1040"/>
    </row>
    <row r="623" spans="7:11">
      <c r="G623" s="1040"/>
      <c r="H623" s="1040"/>
      <c r="I623" s="1040"/>
      <c r="J623" s="1040"/>
      <c r="K623" s="1040"/>
    </row>
    <row r="624" spans="7:11">
      <c r="G624" s="1040"/>
      <c r="H624" s="1040"/>
      <c r="I624" s="1040"/>
      <c r="J624" s="1040"/>
      <c r="K624" s="1040"/>
    </row>
    <row r="625" spans="7:11">
      <c r="G625" s="1040"/>
      <c r="H625" s="1040"/>
      <c r="I625" s="1040"/>
      <c r="J625" s="1040"/>
      <c r="K625" s="1040"/>
    </row>
    <row r="626" spans="7:11">
      <c r="G626" s="1040"/>
      <c r="H626" s="1040"/>
      <c r="I626" s="1040"/>
      <c r="J626" s="1040"/>
      <c r="K626" s="1040"/>
    </row>
    <row r="627" spans="7:11">
      <c r="G627" s="1040"/>
      <c r="H627" s="1040"/>
      <c r="I627" s="1040"/>
      <c r="J627" s="1040"/>
      <c r="K627" s="1040"/>
    </row>
    <row r="628" spans="7:11">
      <c r="G628" s="1040"/>
      <c r="H628" s="1040"/>
      <c r="I628" s="1040"/>
      <c r="J628" s="1040"/>
      <c r="K628" s="1040"/>
    </row>
    <row r="629" spans="7:11">
      <c r="G629" s="1040"/>
      <c r="H629" s="1040"/>
      <c r="I629" s="1040"/>
      <c r="J629" s="1040"/>
      <c r="K629" s="1040"/>
    </row>
    <row r="630" spans="7:11">
      <c r="G630" s="1040"/>
      <c r="H630" s="1040"/>
      <c r="I630" s="1040"/>
      <c r="J630" s="1040"/>
      <c r="K630" s="1040"/>
    </row>
    <row r="631" spans="7:11">
      <c r="G631" s="1040"/>
      <c r="H631" s="1040"/>
      <c r="I631" s="1040"/>
      <c r="J631" s="1040"/>
      <c r="K631" s="1040"/>
    </row>
    <row r="632" spans="7:11">
      <c r="G632" s="1040"/>
      <c r="H632" s="1040"/>
      <c r="I632" s="1040"/>
      <c r="J632" s="1040"/>
      <c r="K632" s="1040"/>
    </row>
    <row r="633" spans="7:11">
      <c r="G633" s="1040"/>
      <c r="H633" s="1040"/>
      <c r="I633" s="1040"/>
      <c r="J633" s="1040"/>
      <c r="K633" s="1040"/>
    </row>
    <row r="634" spans="7:11">
      <c r="G634" s="1040"/>
      <c r="H634" s="1040"/>
      <c r="I634" s="1040"/>
      <c r="J634" s="1040"/>
      <c r="K634" s="1040"/>
    </row>
    <row r="635" spans="7:11">
      <c r="G635" s="1040"/>
      <c r="H635" s="1040"/>
      <c r="I635" s="1040"/>
      <c r="J635" s="1040"/>
      <c r="K635" s="1040"/>
    </row>
    <row r="636" spans="7:11">
      <c r="G636" s="1040"/>
      <c r="H636" s="1040"/>
      <c r="I636" s="1040"/>
      <c r="J636" s="1040"/>
      <c r="K636" s="1040"/>
    </row>
    <row r="637" spans="7:11">
      <c r="G637" s="1040"/>
      <c r="H637" s="1040"/>
      <c r="I637" s="1040"/>
      <c r="J637" s="1040"/>
      <c r="K637" s="1040"/>
    </row>
    <row r="638" spans="7:11">
      <c r="G638" s="1040"/>
      <c r="H638" s="1040"/>
      <c r="I638" s="1040"/>
      <c r="J638" s="1040"/>
      <c r="K638" s="1040"/>
    </row>
    <row r="639" spans="7:11">
      <c r="G639" s="1040"/>
      <c r="H639" s="1040"/>
      <c r="I639" s="1040"/>
      <c r="J639" s="1040"/>
      <c r="K639" s="1040"/>
    </row>
    <row r="640" spans="7:11">
      <c r="G640" s="1040"/>
      <c r="H640" s="1040"/>
      <c r="I640" s="1040"/>
      <c r="J640" s="1040"/>
      <c r="K640" s="1040"/>
    </row>
    <row r="641" spans="7:11">
      <c r="G641" s="1040"/>
      <c r="H641" s="1040"/>
      <c r="I641" s="1040"/>
      <c r="J641" s="1040"/>
      <c r="K641" s="1040"/>
    </row>
    <row r="642" spans="7:11">
      <c r="G642" s="1040"/>
      <c r="H642" s="1040"/>
      <c r="I642" s="1040"/>
      <c r="J642" s="1040"/>
      <c r="K642" s="1040"/>
    </row>
    <row r="643" spans="7:11">
      <c r="G643" s="1040"/>
      <c r="H643" s="1040"/>
      <c r="I643" s="1040"/>
      <c r="J643" s="1040"/>
      <c r="K643" s="1040"/>
    </row>
    <row r="644" spans="7:11">
      <c r="G644" s="1040"/>
      <c r="H644" s="1040"/>
      <c r="I644" s="1040"/>
      <c r="J644" s="1040"/>
      <c r="K644" s="1040"/>
    </row>
    <row r="645" spans="7:11">
      <c r="G645" s="1040"/>
      <c r="H645" s="1040"/>
      <c r="I645" s="1040"/>
      <c r="J645" s="1040"/>
      <c r="K645" s="1040"/>
    </row>
    <row r="646" spans="7:11">
      <c r="G646" s="1040"/>
      <c r="H646" s="1040"/>
      <c r="I646" s="1040"/>
      <c r="J646" s="1040"/>
      <c r="K646" s="1040"/>
    </row>
    <row r="647" spans="7:11">
      <c r="G647" s="1040"/>
      <c r="H647" s="1040"/>
      <c r="I647" s="1040"/>
      <c r="J647" s="1040"/>
      <c r="K647" s="1040"/>
    </row>
    <row r="648" spans="7:11">
      <c r="G648" s="1040"/>
      <c r="H648" s="1040"/>
      <c r="I648" s="1040"/>
      <c r="J648" s="1040"/>
      <c r="K648" s="1040"/>
    </row>
    <row r="649" spans="7:11">
      <c r="G649" s="1040"/>
      <c r="H649" s="1040"/>
      <c r="I649" s="1040"/>
      <c r="J649" s="1040"/>
      <c r="K649" s="1040"/>
    </row>
    <row r="650" spans="7:11">
      <c r="G650" s="1040"/>
      <c r="H650" s="1040"/>
      <c r="I650" s="1040"/>
      <c r="J650" s="1040"/>
      <c r="K650" s="1040"/>
    </row>
    <row r="651" spans="7:11">
      <c r="G651" s="1040"/>
      <c r="H651" s="1040"/>
      <c r="I651" s="1040"/>
      <c r="J651" s="1040"/>
      <c r="K651" s="1040"/>
    </row>
    <row r="652" spans="7:11">
      <c r="G652" s="1040"/>
      <c r="H652" s="1040"/>
      <c r="I652" s="1040"/>
      <c r="J652" s="1040"/>
      <c r="K652" s="1040"/>
    </row>
    <row r="653" spans="7:11">
      <c r="G653" s="1040"/>
      <c r="H653" s="1040"/>
      <c r="I653" s="1040"/>
      <c r="J653" s="1040"/>
      <c r="K653" s="1040"/>
    </row>
    <row r="654" spans="7:11">
      <c r="G654" s="1040"/>
      <c r="H654" s="1040"/>
      <c r="I654" s="1040"/>
      <c r="J654" s="1040"/>
      <c r="K654" s="1040"/>
    </row>
    <row r="655" spans="7:11">
      <c r="G655" s="1040"/>
      <c r="H655" s="1040"/>
      <c r="I655" s="1040"/>
      <c r="J655" s="1040"/>
      <c r="K655" s="1040"/>
    </row>
    <row r="656" spans="7:11">
      <c r="G656" s="1040"/>
      <c r="H656" s="1040"/>
      <c r="I656" s="1040"/>
      <c r="J656" s="1040"/>
      <c r="K656" s="1040"/>
    </row>
    <row r="657" spans="7:11">
      <c r="G657" s="1040"/>
      <c r="H657" s="1040"/>
      <c r="I657" s="1040"/>
      <c r="J657" s="1040"/>
      <c r="K657" s="1040"/>
    </row>
    <row r="658" spans="7:11">
      <c r="G658" s="1040"/>
      <c r="H658" s="1040"/>
      <c r="I658" s="1040"/>
      <c r="J658" s="1040"/>
      <c r="K658" s="1040"/>
    </row>
    <row r="659" spans="7:11">
      <c r="G659" s="1040"/>
      <c r="H659" s="1040"/>
      <c r="I659" s="1040"/>
      <c r="J659" s="1040"/>
      <c r="K659" s="1040"/>
    </row>
    <row r="660" spans="7:11">
      <c r="G660" s="1040"/>
      <c r="H660" s="1040"/>
      <c r="I660" s="1040"/>
      <c r="J660" s="1040"/>
      <c r="K660" s="1040"/>
    </row>
    <row r="661" spans="7:11">
      <c r="G661" s="1040"/>
      <c r="H661" s="1040"/>
      <c r="I661" s="1040"/>
      <c r="J661" s="1040"/>
      <c r="K661" s="1040"/>
    </row>
    <row r="662" spans="7:11">
      <c r="G662" s="1040"/>
      <c r="H662" s="1040"/>
      <c r="I662" s="1040"/>
      <c r="J662" s="1040"/>
      <c r="K662" s="1040"/>
    </row>
    <row r="663" spans="7:11">
      <c r="G663" s="1040"/>
      <c r="H663" s="1040"/>
      <c r="I663" s="1040"/>
      <c r="J663" s="1040"/>
      <c r="K663" s="1040"/>
    </row>
    <row r="664" spans="7:11">
      <c r="G664" s="1040"/>
      <c r="H664" s="1040"/>
      <c r="I664" s="1040"/>
      <c r="J664" s="1040"/>
      <c r="K664" s="1040"/>
    </row>
    <row r="665" spans="7:11">
      <c r="G665" s="1040"/>
      <c r="H665" s="1040"/>
      <c r="I665" s="1040"/>
      <c r="J665" s="1040"/>
      <c r="K665" s="1040"/>
    </row>
    <row r="666" spans="7:11">
      <c r="G666" s="1040"/>
      <c r="H666" s="1040"/>
      <c r="I666" s="1040"/>
      <c r="J666" s="1040"/>
      <c r="K666" s="1040"/>
    </row>
    <row r="667" spans="7:11">
      <c r="G667" s="1040"/>
      <c r="H667" s="1040"/>
      <c r="I667" s="1040"/>
      <c r="J667" s="1040"/>
      <c r="K667" s="1040"/>
    </row>
    <row r="668" spans="7:11">
      <c r="G668" s="1040"/>
      <c r="H668" s="1040"/>
      <c r="I668" s="1040"/>
      <c r="J668" s="1040"/>
      <c r="K668" s="1040"/>
    </row>
    <row r="669" spans="7:11">
      <c r="G669" s="1040"/>
      <c r="H669" s="1040"/>
      <c r="I669" s="1040"/>
      <c r="J669" s="1040"/>
      <c r="K669" s="1040"/>
    </row>
    <row r="670" spans="7:11">
      <c r="G670" s="1040"/>
      <c r="H670" s="1040"/>
      <c r="I670" s="1040"/>
      <c r="J670" s="1040"/>
      <c r="K670" s="1040"/>
    </row>
    <row r="671" spans="7:11">
      <c r="G671" s="1040"/>
      <c r="H671" s="1040"/>
      <c r="I671" s="1040"/>
      <c r="J671" s="1040"/>
      <c r="K671" s="1040"/>
    </row>
    <row r="672" spans="7:11">
      <c r="G672" s="1040"/>
      <c r="H672" s="1040"/>
      <c r="I672" s="1040"/>
      <c r="J672" s="1040"/>
      <c r="K672" s="1040"/>
    </row>
    <row r="673" spans="7:11">
      <c r="G673" s="1040"/>
      <c r="H673" s="1040"/>
      <c r="I673" s="1040"/>
      <c r="J673" s="1040"/>
      <c r="K673" s="1040"/>
    </row>
    <row r="674" spans="7:11">
      <c r="G674" s="1040"/>
      <c r="H674" s="1040"/>
      <c r="I674" s="1040"/>
      <c r="J674" s="1040"/>
      <c r="K674" s="1040"/>
    </row>
    <row r="675" spans="7:11">
      <c r="G675" s="1040"/>
      <c r="H675" s="1040"/>
      <c r="I675" s="1040"/>
      <c r="J675" s="1040"/>
      <c r="K675" s="1040"/>
    </row>
    <row r="676" spans="7:11">
      <c r="G676" s="1040"/>
      <c r="H676" s="1040"/>
      <c r="I676" s="1040"/>
      <c r="J676" s="1040"/>
      <c r="K676" s="1040"/>
    </row>
    <row r="677" spans="7:11">
      <c r="G677" s="1040"/>
      <c r="H677" s="1040"/>
      <c r="I677" s="1040"/>
      <c r="J677" s="1040"/>
      <c r="K677" s="1040"/>
    </row>
    <row r="678" spans="7:11">
      <c r="G678" s="1040"/>
      <c r="H678" s="1040"/>
      <c r="I678" s="1040"/>
      <c r="J678" s="1040"/>
      <c r="K678" s="1040"/>
    </row>
    <row r="679" spans="7:11">
      <c r="G679" s="1040"/>
      <c r="H679" s="1040"/>
      <c r="I679" s="1040"/>
      <c r="J679" s="1040"/>
      <c r="K679" s="1040"/>
    </row>
    <row r="680" spans="7:11">
      <c r="G680" s="1040"/>
      <c r="H680" s="1040"/>
      <c r="I680" s="1040"/>
      <c r="J680" s="1040"/>
      <c r="K680" s="1040"/>
    </row>
    <row r="681" spans="7:11">
      <c r="G681" s="1040"/>
      <c r="H681" s="1040"/>
      <c r="I681" s="1040"/>
      <c r="J681" s="1040"/>
      <c r="K681" s="1040"/>
    </row>
    <row r="682" spans="7:11">
      <c r="G682" s="1040"/>
      <c r="H682" s="1040"/>
      <c r="I682" s="1040"/>
      <c r="J682" s="1040"/>
      <c r="K682" s="1040"/>
    </row>
    <row r="683" spans="7:11">
      <c r="G683" s="1040"/>
      <c r="H683" s="1040"/>
      <c r="I683" s="1040"/>
      <c r="J683" s="1040"/>
      <c r="K683" s="1040"/>
    </row>
    <row r="684" spans="7:11">
      <c r="G684" s="1040"/>
      <c r="H684" s="1040"/>
      <c r="I684" s="1040"/>
      <c r="J684" s="1040"/>
      <c r="K684" s="1040"/>
    </row>
    <row r="685" spans="7:11">
      <c r="G685" s="1040"/>
      <c r="H685" s="1040"/>
      <c r="I685" s="1040"/>
      <c r="J685" s="1040"/>
      <c r="K685" s="1040"/>
    </row>
    <row r="686" spans="7:11">
      <c r="G686" s="1040"/>
      <c r="H686" s="1040"/>
      <c r="I686" s="1040"/>
      <c r="J686" s="1040"/>
      <c r="K686" s="1040"/>
    </row>
    <row r="687" spans="7:11">
      <c r="G687" s="1040"/>
      <c r="H687" s="1040"/>
      <c r="I687" s="1040"/>
      <c r="J687" s="1040"/>
      <c r="K687" s="1040"/>
    </row>
    <row r="688" spans="7:11">
      <c r="G688" s="1040"/>
      <c r="H688" s="1040"/>
      <c r="I688" s="1040"/>
      <c r="J688" s="1040"/>
      <c r="K688" s="1040"/>
    </row>
    <row r="689" spans="7:11">
      <c r="G689" s="1040"/>
      <c r="H689" s="1040"/>
      <c r="I689" s="1040"/>
      <c r="J689" s="1040"/>
      <c r="K689" s="1040"/>
    </row>
    <row r="690" spans="7:11">
      <c r="G690" s="1040"/>
      <c r="H690" s="1040"/>
      <c r="I690" s="1040"/>
      <c r="J690" s="1040"/>
      <c r="K690" s="1040"/>
    </row>
    <row r="691" spans="7:11">
      <c r="G691" s="1040"/>
      <c r="H691" s="1040"/>
      <c r="I691" s="1040"/>
      <c r="J691" s="1040"/>
      <c r="K691" s="1040"/>
    </row>
    <row r="692" spans="7:11">
      <c r="G692" s="1040"/>
      <c r="H692" s="1040"/>
      <c r="I692" s="1040"/>
      <c r="J692" s="1040"/>
      <c r="K692" s="1040"/>
    </row>
    <row r="693" spans="7:11">
      <c r="G693" s="1040"/>
      <c r="H693" s="1040"/>
      <c r="I693" s="1040"/>
      <c r="J693" s="1040"/>
      <c r="K693" s="1040"/>
    </row>
    <row r="694" spans="7:11">
      <c r="G694" s="1040"/>
      <c r="H694" s="1040"/>
      <c r="I694" s="1040"/>
      <c r="J694" s="1040"/>
      <c r="K694" s="1040"/>
    </row>
    <row r="695" spans="7:11">
      <c r="G695" s="1040"/>
      <c r="H695" s="1040"/>
      <c r="I695" s="1040"/>
      <c r="J695" s="1040"/>
      <c r="K695" s="1040"/>
    </row>
    <row r="696" spans="7:11">
      <c r="G696" s="1040"/>
      <c r="H696" s="1040"/>
      <c r="I696" s="1040"/>
      <c r="J696" s="1040"/>
      <c r="K696" s="1040"/>
    </row>
    <row r="697" spans="7:11">
      <c r="G697" s="1040"/>
      <c r="H697" s="1040"/>
      <c r="I697" s="1040"/>
      <c r="J697" s="1040"/>
      <c r="K697" s="1040"/>
    </row>
    <row r="698" spans="7:11">
      <c r="G698" s="1040"/>
      <c r="H698" s="1040"/>
      <c r="I698" s="1040"/>
      <c r="J698" s="1040"/>
      <c r="K698" s="1040"/>
    </row>
    <row r="699" spans="7:11">
      <c r="G699" s="1040"/>
      <c r="H699" s="1040"/>
      <c r="I699" s="1040"/>
      <c r="J699" s="1040"/>
      <c r="K699" s="1040"/>
    </row>
    <row r="700" spans="7:11">
      <c r="G700" s="1040"/>
      <c r="H700" s="1040"/>
      <c r="I700" s="1040"/>
      <c r="J700" s="1040"/>
      <c r="K700" s="1040"/>
    </row>
    <row r="701" spans="7:11">
      <c r="G701" s="1040"/>
      <c r="H701" s="1040"/>
      <c r="I701" s="1040"/>
      <c r="J701" s="1040"/>
      <c r="K701" s="1040"/>
    </row>
    <row r="702" spans="7:11">
      <c r="G702" s="1040"/>
      <c r="H702" s="1040"/>
      <c r="I702" s="1040"/>
      <c r="J702" s="1040"/>
      <c r="K702" s="1040"/>
    </row>
    <row r="703" spans="7:11">
      <c r="G703" s="1040"/>
      <c r="H703" s="1040"/>
      <c r="I703" s="1040"/>
      <c r="J703" s="1040"/>
      <c r="K703" s="1040"/>
    </row>
    <row r="704" spans="7:11">
      <c r="G704" s="1040"/>
      <c r="H704" s="1040"/>
      <c r="I704" s="1040"/>
      <c r="J704" s="1040"/>
      <c r="K704" s="1040"/>
    </row>
    <row r="705" spans="7:11">
      <c r="G705" s="1040"/>
      <c r="H705" s="1040"/>
      <c r="I705" s="1040"/>
      <c r="J705" s="1040"/>
      <c r="K705" s="1040"/>
    </row>
    <row r="706" spans="7:11">
      <c r="G706" s="1040"/>
      <c r="H706" s="1040"/>
      <c r="I706" s="1040"/>
      <c r="J706" s="1040"/>
      <c r="K706" s="1040"/>
    </row>
    <row r="707" spans="7:11">
      <c r="G707" s="1040"/>
      <c r="H707" s="1040"/>
      <c r="I707" s="1040"/>
      <c r="J707" s="1040"/>
      <c r="K707" s="1040"/>
    </row>
    <row r="708" spans="7:11">
      <c r="G708" s="1040"/>
      <c r="H708" s="1040"/>
      <c r="I708" s="1040"/>
      <c r="J708" s="1040"/>
      <c r="K708" s="1040"/>
    </row>
    <row r="709" spans="7:11">
      <c r="G709" s="1040"/>
      <c r="H709" s="1040"/>
      <c r="I709" s="1040"/>
      <c r="J709" s="1040"/>
      <c r="K709" s="1040"/>
    </row>
    <row r="710" spans="7:11">
      <c r="G710" s="1040"/>
      <c r="H710" s="1040"/>
      <c r="I710" s="1040"/>
      <c r="J710" s="1040"/>
      <c r="K710" s="1040"/>
    </row>
    <row r="711" spans="7:11">
      <c r="G711" s="1040"/>
      <c r="H711" s="1040"/>
      <c r="I711" s="1040"/>
      <c r="J711" s="1040"/>
      <c r="K711" s="1040"/>
    </row>
    <row r="712" spans="7:11">
      <c r="G712" s="1040"/>
      <c r="H712" s="1040"/>
      <c r="I712" s="1040"/>
      <c r="J712" s="1040"/>
      <c r="K712" s="1040"/>
    </row>
    <row r="713" spans="7:11">
      <c r="G713" s="1040"/>
      <c r="H713" s="1040"/>
      <c r="I713" s="1040"/>
      <c r="J713" s="1040"/>
      <c r="K713" s="1040"/>
    </row>
    <row r="714" spans="7:11">
      <c r="G714" s="1040"/>
      <c r="H714" s="1040"/>
      <c r="I714" s="1040"/>
      <c r="J714" s="1040"/>
      <c r="K714" s="1040"/>
    </row>
    <row r="715" spans="7:11">
      <c r="G715" s="1040"/>
      <c r="H715" s="1040"/>
      <c r="I715" s="1040"/>
      <c r="J715" s="1040"/>
      <c r="K715" s="1040"/>
    </row>
    <row r="716" spans="7:11">
      <c r="G716" s="1040"/>
      <c r="H716" s="1040"/>
      <c r="I716" s="1040"/>
      <c r="J716" s="1040"/>
      <c r="K716" s="1040"/>
    </row>
    <row r="717" spans="7:11">
      <c r="G717" s="1040"/>
      <c r="H717" s="1040"/>
      <c r="I717" s="1040"/>
      <c r="J717" s="1040"/>
      <c r="K717" s="1040"/>
    </row>
    <row r="718" spans="7:11">
      <c r="G718" s="1040"/>
      <c r="H718" s="1040"/>
      <c r="I718" s="1040"/>
      <c r="J718" s="1040"/>
      <c r="K718" s="1040"/>
    </row>
    <row r="719" spans="7:11">
      <c r="G719" s="1040"/>
      <c r="H719" s="1040"/>
      <c r="I719" s="1040"/>
      <c r="J719" s="1040"/>
      <c r="K719" s="1040"/>
    </row>
    <row r="720" spans="7:11">
      <c r="G720" s="1040"/>
      <c r="H720" s="1040"/>
      <c r="I720" s="1040"/>
      <c r="J720" s="1040"/>
      <c r="K720" s="1040"/>
    </row>
    <row r="721" spans="7:11">
      <c r="G721" s="1040"/>
      <c r="H721" s="1040"/>
      <c r="I721" s="1040"/>
      <c r="J721" s="1040"/>
      <c r="K721" s="1040"/>
    </row>
    <row r="722" spans="7:11">
      <c r="G722" s="1040"/>
      <c r="H722" s="1040"/>
      <c r="I722" s="1040"/>
      <c r="J722" s="1040"/>
      <c r="K722" s="1040"/>
    </row>
    <row r="723" spans="7:11">
      <c r="G723" s="1040"/>
      <c r="H723" s="1040"/>
      <c r="I723" s="1040"/>
      <c r="J723" s="1040"/>
      <c r="K723" s="1040"/>
    </row>
    <row r="724" spans="7:11">
      <c r="G724" s="1040"/>
      <c r="H724" s="1040"/>
      <c r="I724" s="1040"/>
      <c r="J724" s="1040"/>
      <c r="K724" s="1040"/>
    </row>
    <row r="725" spans="7:11">
      <c r="G725" s="1040"/>
      <c r="H725" s="1040"/>
      <c r="I725" s="1040"/>
      <c r="J725" s="1040"/>
      <c r="K725" s="1040"/>
    </row>
    <row r="726" spans="7:11">
      <c r="G726" s="1040"/>
      <c r="H726" s="1040"/>
      <c r="I726" s="1040"/>
      <c r="J726" s="1040"/>
      <c r="K726" s="1040"/>
    </row>
    <row r="727" spans="7:11">
      <c r="G727" s="1040"/>
      <c r="H727" s="1040"/>
      <c r="I727" s="1040"/>
      <c r="J727" s="1040"/>
      <c r="K727" s="1040"/>
    </row>
    <row r="728" spans="7:11">
      <c r="G728" s="1040"/>
      <c r="H728" s="1040"/>
      <c r="I728" s="1040"/>
      <c r="J728" s="1040"/>
      <c r="K728" s="1040"/>
    </row>
    <row r="729" spans="7:11">
      <c r="G729" s="1040"/>
      <c r="H729" s="1040"/>
      <c r="I729" s="1040"/>
      <c r="J729" s="1040"/>
      <c r="K729" s="1040"/>
    </row>
    <row r="730" spans="7:11">
      <c r="G730" s="1040"/>
      <c r="H730" s="1040"/>
      <c r="I730" s="1040"/>
      <c r="J730" s="1040"/>
      <c r="K730" s="1040"/>
    </row>
    <row r="731" spans="7:11">
      <c r="G731" s="1040"/>
      <c r="H731" s="1040"/>
      <c r="I731" s="1040"/>
      <c r="J731" s="1040"/>
      <c r="K731" s="1040"/>
    </row>
    <row r="732" spans="7:11">
      <c r="G732" s="1040"/>
      <c r="H732" s="1040"/>
      <c r="I732" s="1040"/>
      <c r="J732" s="1040"/>
      <c r="K732" s="1040"/>
    </row>
    <row r="733" spans="7:11">
      <c r="G733" s="1040"/>
      <c r="H733" s="1040"/>
      <c r="I733" s="1040"/>
      <c r="J733" s="1040"/>
      <c r="K733" s="1040"/>
    </row>
    <row r="734" spans="7:11">
      <c r="G734" s="1040"/>
      <c r="H734" s="1040"/>
      <c r="I734" s="1040"/>
      <c r="J734" s="1040"/>
      <c r="K734" s="1040"/>
    </row>
    <row r="735" spans="7:11">
      <c r="G735" s="1040"/>
      <c r="H735" s="1040"/>
      <c r="I735" s="1040"/>
      <c r="J735" s="1040"/>
      <c r="K735" s="1040"/>
    </row>
    <row r="736" spans="7:11">
      <c r="G736" s="1040"/>
      <c r="H736" s="1040"/>
      <c r="I736" s="1040"/>
      <c r="J736" s="1040"/>
      <c r="K736" s="1040"/>
    </row>
    <row r="737" spans="7:11">
      <c r="G737" s="1040"/>
      <c r="H737" s="1040"/>
      <c r="I737" s="1040"/>
      <c r="J737" s="1040"/>
      <c r="K737" s="1040"/>
    </row>
    <row r="738" spans="7:11">
      <c r="G738" s="1040"/>
      <c r="H738" s="1040"/>
      <c r="I738" s="1040"/>
      <c r="J738" s="1040"/>
      <c r="K738" s="1040"/>
    </row>
    <row r="739" spans="7:11">
      <c r="G739" s="1040"/>
      <c r="H739" s="1040"/>
      <c r="I739" s="1040"/>
      <c r="J739" s="1040"/>
      <c r="K739" s="1040"/>
    </row>
    <row r="740" spans="7:11">
      <c r="G740" s="1040"/>
      <c r="H740" s="1040"/>
      <c r="I740" s="1040"/>
      <c r="J740" s="1040"/>
      <c r="K740" s="1040"/>
    </row>
    <row r="741" spans="7:11">
      <c r="G741" s="1040"/>
      <c r="H741" s="1040"/>
      <c r="I741" s="1040"/>
      <c r="J741" s="1040"/>
      <c r="K741" s="1040"/>
    </row>
    <row r="742" spans="7:11">
      <c r="G742" s="1040"/>
      <c r="H742" s="1040"/>
      <c r="I742" s="1040"/>
      <c r="J742" s="1040"/>
      <c r="K742" s="1040"/>
    </row>
    <row r="743" spans="7:11">
      <c r="G743" s="1040"/>
      <c r="H743" s="1040"/>
      <c r="I743" s="1040"/>
      <c r="J743" s="1040"/>
      <c r="K743" s="1040"/>
    </row>
    <row r="744" spans="7:11">
      <c r="G744" s="1040"/>
      <c r="H744" s="1040"/>
      <c r="I744" s="1040"/>
      <c r="J744" s="1040"/>
      <c r="K744" s="1040"/>
    </row>
    <row r="745" spans="7:11">
      <c r="G745" s="1040"/>
      <c r="H745" s="1040"/>
      <c r="I745" s="1040"/>
      <c r="J745" s="1040"/>
      <c r="K745" s="1040"/>
    </row>
    <row r="746" spans="7:11">
      <c r="G746" s="1040"/>
      <c r="H746" s="1040"/>
      <c r="I746" s="1040"/>
      <c r="J746" s="1040"/>
      <c r="K746" s="1040"/>
    </row>
    <row r="747" spans="7:11">
      <c r="G747" s="1040"/>
      <c r="H747" s="1040"/>
      <c r="I747" s="1040"/>
      <c r="J747" s="1040"/>
      <c r="K747" s="1040"/>
    </row>
    <row r="748" spans="7:11">
      <c r="G748" s="1040"/>
      <c r="H748" s="1040"/>
      <c r="I748" s="1040"/>
      <c r="J748" s="1040"/>
      <c r="K748" s="1040"/>
    </row>
    <row r="749" spans="7:11">
      <c r="G749" s="1040"/>
      <c r="H749" s="1040"/>
      <c r="I749" s="1040"/>
      <c r="J749" s="1040"/>
      <c r="K749" s="1040"/>
    </row>
    <row r="750" spans="7:11">
      <c r="G750" s="1040"/>
      <c r="H750" s="1040"/>
      <c r="I750" s="1040"/>
      <c r="J750" s="1040"/>
      <c r="K750" s="1040"/>
    </row>
    <row r="751" spans="7:11">
      <c r="G751" s="1040"/>
      <c r="H751" s="1040"/>
      <c r="I751" s="1040"/>
      <c r="J751" s="1040"/>
      <c r="K751" s="1040"/>
    </row>
    <row r="752" spans="7:11">
      <c r="G752" s="1040"/>
      <c r="H752" s="1040"/>
      <c r="I752" s="1040"/>
      <c r="J752" s="1040"/>
      <c r="K752" s="1040"/>
    </row>
    <row r="753" spans="7:11">
      <c r="G753" s="1040"/>
      <c r="H753" s="1040"/>
      <c r="I753" s="1040"/>
      <c r="J753" s="1040"/>
      <c r="K753" s="1040"/>
    </row>
    <row r="754" spans="7:11">
      <c r="G754" s="1040"/>
      <c r="H754" s="1040"/>
      <c r="I754" s="1040"/>
      <c r="J754" s="1040"/>
      <c r="K754" s="1040"/>
    </row>
    <row r="755" spans="7:11">
      <c r="G755" s="1040"/>
      <c r="H755" s="1040"/>
      <c r="I755" s="1040"/>
      <c r="J755" s="1040"/>
      <c r="K755" s="1040"/>
    </row>
    <row r="756" spans="7:11">
      <c r="G756" s="1040"/>
      <c r="H756" s="1040"/>
      <c r="I756" s="1040"/>
      <c r="J756" s="1040"/>
      <c r="K756" s="1040"/>
    </row>
    <row r="757" spans="7:11">
      <c r="G757" s="1040"/>
      <c r="H757" s="1040"/>
      <c r="I757" s="1040"/>
      <c r="J757" s="1040"/>
      <c r="K757" s="1040"/>
    </row>
    <row r="758" spans="7:11">
      <c r="G758" s="1040"/>
      <c r="H758" s="1040"/>
      <c r="I758" s="1040"/>
      <c r="J758" s="1040"/>
      <c r="K758" s="1040"/>
    </row>
    <row r="759" spans="7:11">
      <c r="G759" s="1040"/>
      <c r="H759" s="1040"/>
      <c r="I759" s="1040"/>
      <c r="J759" s="1040"/>
      <c r="K759" s="1040"/>
    </row>
    <row r="760" spans="7:11">
      <c r="G760" s="1040"/>
      <c r="H760" s="1040"/>
      <c r="I760" s="1040"/>
      <c r="J760" s="1040"/>
      <c r="K760" s="1040"/>
    </row>
    <row r="761" spans="7:11">
      <c r="G761" s="1040"/>
      <c r="H761" s="1040"/>
      <c r="I761" s="1040"/>
      <c r="J761" s="1040"/>
      <c r="K761" s="1040"/>
    </row>
    <row r="762" spans="7:11">
      <c r="G762" s="1040"/>
      <c r="H762" s="1040"/>
      <c r="I762" s="1040"/>
      <c r="J762" s="1040"/>
      <c r="K762" s="1040"/>
    </row>
    <row r="763" spans="7:11">
      <c r="G763" s="1040"/>
      <c r="H763" s="1040"/>
      <c r="I763" s="1040"/>
      <c r="J763" s="1040"/>
      <c r="K763" s="1040"/>
    </row>
    <row r="764" spans="7:11">
      <c r="G764" s="1040"/>
      <c r="H764" s="1040"/>
      <c r="I764" s="1040"/>
      <c r="J764" s="1040"/>
      <c r="K764" s="1040"/>
    </row>
    <row r="765" spans="7:11">
      <c r="G765" s="1040"/>
      <c r="H765" s="1040"/>
      <c r="I765" s="1040"/>
      <c r="J765" s="1040"/>
      <c r="K765" s="1040"/>
    </row>
    <row r="766" spans="7:11">
      <c r="G766" s="1040"/>
      <c r="H766" s="1040"/>
      <c r="I766" s="1040"/>
      <c r="J766" s="1040"/>
      <c r="K766" s="1040"/>
    </row>
    <row r="767" spans="7:11">
      <c r="G767" s="1040"/>
      <c r="H767" s="1040"/>
      <c r="I767" s="1040"/>
      <c r="J767" s="1040"/>
      <c r="K767" s="1040"/>
    </row>
    <row r="768" spans="7:11">
      <c r="G768" s="1040"/>
      <c r="H768" s="1040"/>
      <c r="I768" s="1040"/>
      <c r="J768" s="1040"/>
      <c r="K768" s="1040"/>
    </row>
    <row r="769" spans="7:11">
      <c r="G769" s="1040"/>
      <c r="H769" s="1040"/>
      <c r="I769" s="1040"/>
      <c r="J769" s="1040"/>
      <c r="K769" s="1040"/>
    </row>
    <row r="770" spans="7:11">
      <c r="G770" s="1040"/>
      <c r="H770" s="1040"/>
      <c r="I770" s="1040"/>
      <c r="J770" s="1040"/>
      <c r="K770" s="1040"/>
    </row>
    <row r="771" spans="7:11">
      <c r="G771" s="1040"/>
      <c r="H771" s="1040"/>
      <c r="I771" s="1040"/>
      <c r="J771" s="1040"/>
      <c r="K771" s="1040"/>
    </row>
    <row r="772" spans="7:11">
      <c r="G772" s="1040"/>
      <c r="H772" s="1040"/>
      <c r="I772" s="1040"/>
      <c r="J772" s="1040"/>
      <c r="K772" s="1040"/>
    </row>
    <row r="773" spans="7:11">
      <c r="G773" s="1040"/>
      <c r="H773" s="1040"/>
      <c r="I773" s="1040"/>
      <c r="J773" s="1040"/>
      <c r="K773" s="1040"/>
    </row>
    <row r="774" spans="7:11">
      <c r="G774" s="1040"/>
      <c r="H774" s="1040"/>
      <c r="I774" s="1040"/>
      <c r="J774" s="1040"/>
      <c r="K774" s="1040"/>
    </row>
    <row r="775" spans="7:11">
      <c r="G775" s="1040"/>
      <c r="H775" s="1040"/>
      <c r="I775" s="1040"/>
      <c r="J775" s="1040"/>
      <c r="K775" s="1040"/>
    </row>
    <row r="776" spans="7:11">
      <c r="G776" s="1040"/>
      <c r="H776" s="1040"/>
      <c r="I776" s="1040"/>
      <c r="J776" s="1040"/>
      <c r="K776" s="1040"/>
    </row>
    <row r="777" spans="7:11">
      <c r="G777" s="1040"/>
      <c r="H777" s="1040"/>
      <c r="I777" s="1040"/>
      <c r="J777" s="1040"/>
      <c r="K777" s="1040"/>
    </row>
    <row r="778" spans="7:11">
      <c r="G778" s="1040"/>
      <c r="H778" s="1040"/>
      <c r="I778" s="1040"/>
      <c r="J778" s="1040"/>
      <c r="K778" s="1040"/>
    </row>
    <row r="779" spans="7:11">
      <c r="G779" s="1040"/>
      <c r="H779" s="1040"/>
      <c r="I779" s="1040"/>
      <c r="J779" s="1040"/>
      <c r="K779" s="1040"/>
    </row>
    <row r="780" spans="7:11">
      <c r="G780" s="1040"/>
      <c r="H780" s="1040"/>
      <c r="I780" s="1040"/>
      <c r="J780" s="1040"/>
      <c r="K780" s="1040"/>
    </row>
    <row r="781" spans="7:11">
      <c r="G781" s="1040"/>
      <c r="H781" s="1040"/>
      <c r="I781" s="1040"/>
      <c r="J781" s="1040"/>
      <c r="K781" s="1040"/>
    </row>
    <row r="782" spans="7:11">
      <c r="G782" s="1040"/>
      <c r="H782" s="1040"/>
      <c r="I782" s="1040"/>
      <c r="J782" s="1040"/>
      <c r="K782" s="1040"/>
    </row>
    <row r="783" spans="7:11">
      <c r="G783" s="1040"/>
      <c r="H783" s="1040"/>
      <c r="I783" s="1040"/>
      <c r="J783" s="1040"/>
      <c r="K783" s="1040"/>
    </row>
    <row r="784" spans="7:11">
      <c r="G784" s="1040"/>
      <c r="H784" s="1040"/>
      <c r="I784" s="1040"/>
      <c r="J784" s="1040"/>
      <c r="K784" s="1040"/>
    </row>
    <row r="785" spans="7:11">
      <c r="G785" s="1040"/>
      <c r="H785" s="1040"/>
      <c r="I785" s="1040"/>
      <c r="J785" s="1040"/>
      <c r="K785" s="1040"/>
    </row>
    <row r="786" spans="7:11">
      <c r="G786" s="1040"/>
      <c r="H786" s="1040"/>
      <c r="I786" s="1040"/>
      <c r="J786" s="1040"/>
      <c r="K786" s="1040"/>
    </row>
    <row r="787" spans="7:11">
      <c r="G787" s="1040"/>
      <c r="H787" s="1040"/>
      <c r="I787" s="1040"/>
      <c r="J787" s="1040"/>
      <c r="K787" s="1040"/>
    </row>
    <row r="788" spans="7:11">
      <c r="G788" s="1040"/>
      <c r="H788" s="1040"/>
      <c r="I788" s="1040"/>
      <c r="J788" s="1040"/>
      <c r="K788" s="1040"/>
    </row>
    <row r="789" spans="7:11">
      <c r="G789" s="1040"/>
      <c r="H789" s="1040"/>
      <c r="I789" s="1040"/>
      <c r="J789" s="1040"/>
      <c r="K789" s="1040"/>
    </row>
    <row r="790" spans="7:11">
      <c r="G790" s="1040"/>
      <c r="H790" s="1040"/>
      <c r="I790" s="1040"/>
      <c r="J790" s="1040"/>
      <c r="K790" s="1040"/>
    </row>
    <row r="791" spans="7:11">
      <c r="G791" s="1040"/>
      <c r="H791" s="1040"/>
      <c r="I791" s="1040"/>
      <c r="J791" s="1040"/>
      <c r="K791" s="1040"/>
    </row>
    <row r="792" spans="7:11">
      <c r="G792" s="1040"/>
      <c r="H792" s="1040"/>
      <c r="I792" s="1040"/>
      <c r="J792" s="1040"/>
      <c r="K792" s="1040"/>
    </row>
    <row r="793" spans="7:11">
      <c r="G793" s="1040"/>
      <c r="H793" s="1040"/>
      <c r="I793" s="1040"/>
      <c r="J793" s="1040"/>
      <c r="K793" s="1040"/>
    </row>
    <row r="794" spans="7:11">
      <c r="G794" s="1040"/>
      <c r="H794" s="1040"/>
      <c r="I794" s="1040"/>
      <c r="J794" s="1040"/>
      <c r="K794" s="1040"/>
    </row>
    <row r="795" spans="7:11">
      <c r="G795" s="1040"/>
      <c r="H795" s="1040"/>
      <c r="I795" s="1040"/>
      <c r="J795" s="1040"/>
      <c r="K795" s="1040"/>
    </row>
    <row r="796" spans="7:11">
      <c r="G796" s="1040"/>
      <c r="H796" s="1040"/>
      <c r="I796" s="1040"/>
      <c r="J796" s="1040"/>
      <c r="K796" s="1040"/>
    </row>
    <row r="797" spans="7:11">
      <c r="G797" s="1040"/>
      <c r="H797" s="1040"/>
      <c r="I797" s="1040"/>
      <c r="J797" s="1040"/>
      <c r="K797" s="1040"/>
    </row>
    <row r="798" spans="7:11">
      <c r="G798" s="1040"/>
      <c r="H798" s="1040"/>
      <c r="I798" s="1040"/>
      <c r="J798" s="1040"/>
      <c r="K798" s="1040"/>
    </row>
    <row r="799" spans="7:11">
      <c r="G799" s="1040"/>
      <c r="H799" s="1040"/>
      <c r="I799" s="1040"/>
      <c r="J799" s="1040"/>
      <c r="K799" s="1040"/>
    </row>
    <row r="800" spans="7:11">
      <c r="G800" s="1040"/>
      <c r="H800" s="1040"/>
      <c r="I800" s="1040"/>
      <c r="J800" s="1040"/>
      <c r="K800" s="1040"/>
    </row>
    <row r="801" spans="7:11">
      <c r="G801" s="1040"/>
      <c r="H801" s="1040"/>
      <c r="I801" s="1040"/>
      <c r="J801" s="1040"/>
      <c r="K801" s="1040"/>
    </row>
    <row r="802" spans="7:11">
      <c r="G802" s="1040"/>
      <c r="H802" s="1040"/>
      <c r="I802" s="1040"/>
      <c r="J802" s="1040"/>
      <c r="K802" s="1040"/>
    </row>
    <row r="803" spans="7:11">
      <c r="G803" s="1040"/>
      <c r="H803" s="1040"/>
      <c r="I803" s="1040"/>
      <c r="J803" s="1040"/>
      <c r="K803" s="1040"/>
    </row>
    <row r="804" spans="7:11">
      <c r="G804" s="1040"/>
      <c r="H804" s="1040"/>
      <c r="I804" s="1040"/>
      <c r="J804" s="1040"/>
      <c r="K804" s="1040"/>
    </row>
    <row r="805" spans="7:11">
      <c r="G805" s="1040"/>
      <c r="H805" s="1040"/>
      <c r="I805" s="1040"/>
      <c r="J805" s="1040"/>
      <c r="K805" s="1040"/>
    </row>
    <row r="806" spans="7:11">
      <c r="G806" s="1040"/>
      <c r="H806" s="1040"/>
      <c r="I806" s="1040"/>
      <c r="J806" s="1040"/>
      <c r="K806" s="1040"/>
    </row>
    <row r="807" spans="7:11">
      <c r="G807" s="1040"/>
      <c r="H807" s="1040"/>
      <c r="I807" s="1040"/>
      <c r="J807" s="1040"/>
      <c r="K807" s="1040"/>
    </row>
    <row r="808" spans="7:11">
      <c r="G808" s="1040"/>
      <c r="H808" s="1040"/>
      <c r="I808" s="1040"/>
      <c r="J808" s="1040"/>
      <c r="K808" s="1040"/>
    </row>
    <row r="809" spans="7:11">
      <c r="G809" s="1040"/>
      <c r="H809" s="1040"/>
      <c r="I809" s="1040"/>
      <c r="J809" s="1040"/>
      <c r="K809" s="1040"/>
    </row>
    <row r="810" spans="7:11">
      <c r="G810" s="1040"/>
      <c r="H810" s="1040"/>
      <c r="I810" s="1040"/>
      <c r="J810" s="1040"/>
      <c r="K810" s="1040"/>
    </row>
    <row r="811" spans="7:11">
      <c r="G811" s="1040"/>
      <c r="H811" s="1040"/>
      <c r="I811" s="1040"/>
      <c r="J811" s="1040"/>
      <c r="K811" s="1040"/>
    </row>
    <row r="812" spans="7:11">
      <c r="G812" s="1040"/>
      <c r="H812" s="1040"/>
      <c r="I812" s="1040"/>
      <c r="J812" s="1040"/>
      <c r="K812" s="1040"/>
    </row>
    <row r="813" spans="7:11">
      <c r="G813" s="1040"/>
      <c r="H813" s="1040"/>
      <c r="I813" s="1040"/>
      <c r="J813" s="1040"/>
      <c r="K813" s="1040"/>
    </row>
    <row r="814" spans="7:11">
      <c r="G814" s="1040"/>
      <c r="H814" s="1040"/>
      <c r="I814" s="1040"/>
      <c r="J814" s="1040"/>
      <c r="K814" s="1040"/>
    </row>
    <row r="815" spans="7:11">
      <c r="G815" s="1040"/>
      <c r="H815" s="1040"/>
      <c r="I815" s="1040"/>
      <c r="J815" s="1040"/>
      <c r="K815" s="1040"/>
    </row>
    <row r="816" spans="7:11">
      <c r="G816" s="1040"/>
      <c r="H816" s="1040"/>
      <c r="I816" s="1040"/>
      <c r="J816" s="1040"/>
      <c r="K816" s="1040"/>
    </row>
    <row r="817" spans="7:11">
      <c r="G817" s="1040"/>
      <c r="H817" s="1040"/>
      <c r="I817" s="1040"/>
      <c r="J817" s="1040"/>
      <c r="K817" s="1040"/>
    </row>
    <row r="818" spans="7:11">
      <c r="G818" s="1040"/>
      <c r="H818" s="1040"/>
      <c r="I818" s="1040"/>
      <c r="J818" s="1040"/>
      <c r="K818" s="1040"/>
    </row>
    <row r="819" spans="7:11">
      <c r="G819" s="1040"/>
      <c r="H819" s="1040"/>
      <c r="I819" s="1040"/>
      <c r="J819" s="1040"/>
      <c r="K819" s="1040"/>
    </row>
    <row r="820" spans="7:11">
      <c r="G820" s="1040"/>
      <c r="H820" s="1040"/>
      <c r="I820" s="1040"/>
      <c r="J820" s="1040"/>
      <c r="K820" s="1040"/>
    </row>
    <row r="821" spans="7:11">
      <c r="G821" s="1040"/>
      <c r="H821" s="1040"/>
      <c r="I821" s="1040"/>
      <c r="J821" s="1040"/>
      <c r="K821" s="1040"/>
    </row>
    <row r="822" spans="7:11">
      <c r="G822" s="1040"/>
      <c r="H822" s="1040"/>
      <c r="I822" s="1040"/>
      <c r="J822" s="1040"/>
      <c r="K822" s="1040"/>
    </row>
    <row r="823" spans="7:11">
      <c r="G823" s="1040"/>
      <c r="H823" s="1040"/>
      <c r="I823" s="1040"/>
      <c r="J823" s="1040"/>
      <c r="K823" s="1040"/>
    </row>
    <row r="824" spans="7:11">
      <c r="G824" s="1040"/>
      <c r="H824" s="1040"/>
      <c r="I824" s="1040"/>
      <c r="J824" s="1040"/>
      <c r="K824" s="1040"/>
    </row>
    <row r="825" spans="7:11">
      <c r="G825" s="1040"/>
      <c r="H825" s="1040"/>
      <c r="I825" s="1040"/>
      <c r="J825" s="1040"/>
      <c r="K825" s="1040"/>
    </row>
    <row r="826" spans="7:11">
      <c r="G826" s="1040"/>
      <c r="H826" s="1040"/>
      <c r="I826" s="1040"/>
      <c r="J826" s="1040"/>
      <c r="K826" s="1040"/>
    </row>
    <row r="827" spans="7:11">
      <c r="G827" s="1040"/>
      <c r="H827" s="1040"/>
      <c r="I827" s="1040"/>
      <c r="J827" s="1040"/>
      <c r="K827" s="1040"/>
    </row>
    <row r="828" spans="7:11">
      <c r="G828" s="1040"/>
      <c r="H828" s="1040"/>
      <c r="I828" s="1040"/>
      <c r="J828" s="1040"/>
      <c r="K828" s="1040"/>
    </row>
    <row r="829" spans="7:11">
      <c r="G829" s="1040"/>
      <c r="H829" s="1040"/>
      <c r="I829" s="1040"/>
      <c r="J829" s="1040"/>
      <c r="K829" s="1040"/>
    </row>
    <row r="830" spans="7:11">
      <c r="G830" s="1040"/>
      <c r="H830" s="1040"/>
      <c r="I830" s="1040"/>
      <c r="J830" s="1040"/>
      <c r="K830" s="1040"/>
    </row>
    <row r="831" spans="7:11">
      <c r="G831" s="1040"/>
      <c r="H831" s="1040"/>
      <c r="I831" s="1040"/>
      <c r="J831" s="1040"/>
      <c r="K831" s="1040"/>
    </row>
    <row r="832" spans="7:11">
      <c r="G832" s="1040"/>
      <c r="H832" s="1040"/>
      <c r="I832" s="1040"/>
      <c r="J832" s="1040"/>
      <c r="K832" s="1040"/>
    </row>
    <row r="833" spans="7:11">
      <c r="G833" s="1040"/>
      <c r="H833" s="1040"/>
      <c r="I833" s="1040"/>
      <c r="J833" s="1040"/>
      <c r="K833" s="1040"/>
    </row>
    <row r="834" spans="7:11">
      <c r="G834" s="1040"/>
      <c r="H834" s="1040"/>
      <c r="I834" s="1040"/>
      <c r="J834" s="1040"/>
      <c r="K834" s="1040"/>
    </row>
    <row r="835" spans="7:11">
      <c r="G835" s="1040"/>
      <c r="H835" s="1040"/>
      <c r="I835" s="1040"/>
      <c r="J835" s="1040"/>
      <c r="K835" s="1040"/>
    </row>
    <row r="836" spans="7:11">
      <c r="G836" s="1040"/>
      <c r="H836" s="1040"/>
      <c r="I836" s="1040"/>
      <c r="J836" s="1040"/>
      <c r="K836" s="1040"/>
    </row>
    <row r="837" spans="7:11">
      <c r="G837" s="1040"/>
      <c r="H837" s="1040"/>
      <c r="I837" s="1040"/>
      <c r="J837" s="1040"/>
      <c r="K837" s="1040"/>
    </row>
    <row r="838" spans="7:11">
      <c r="G838" s="1040"/>
      <c r="H838" s="1040"/>
      <c r="I838" s="1040"/>
      <c r="J838" s="1040"/>
      <c r="K838" s="1040"/>
    </row>
    <row r="839" spans="7:11">
      <c r="G839" s="1040"/>
      <c r="H839" s="1040"/>
      <c r="I839" s="1040"/>
      <c r="J839" s="1040"/>
      <c r="K839" s="1040"/>
    </row>
    <row r="840" spans="7:11">
      <c r="G840" s="1040"/>
      <c r="H840" s="1040"/>
      <c r="I840" s="1040"/>
      <c r="J840" s="1040"/>
      <c r="K840" s="1040"/>
    </row>
    <row r="841" spans="7:11">
      <c r="G841" s="1040"/>
      <c r="H841" s="1040"/>
      <c r="I841" s="1040"/>
      <c r="J841" s="1040"/>
      <c r="K841" s="1040"/>
    </row>
    <row r="842" spans="7:11">
      <c r="G842" s="1040"/>
      <c r="H842" s="1040"/>
      <c r="I842" s="1040"/>
      <c r="J842" s="1040"/>
      <c r="K842" s="1040"/>
    </row>
    <row r="843" spans="7:11">
      <c r="G843" s="1040"/>
      <c r="H843" s="1040"/>
      <c r="I843" s="1040"/>
      <c r="J843" s="1040"/>
      <c r="K843" s="1040"/>
    </row>
    <row r="844" spans="7:11">
      <c r="G844" s="1040"/>
      <c r="H844" s="1040"/>
      <c r="I844" s="1040"/>
      <c r="J844" s="1040"/>
      <c r="K844" s="1040"/>
    </row>
    <row r="845" spans="7:11">
      <c r="G845" s="1040"/>
      <c r="H845" s="1040"/>
      <c r="I845" s="1040"/>
      <c r="J845" s="1040"/>
      <c r="K845" s="1040"/>
    </row>
    <row r="846" spans="7:11">
      <c r="G846" s="1040"/>
      <c r="H846" s="1040"/>
      <c r="I846" s="1040"/>
      <c r="J846" s="1040"/>
      <c r="K846" s="1040"/>
    </row>
    <row r="847" spans="7:11">
      <c r="G847" s="1040"/>
      <c r="H847" s="1040"/>
      <c r="I847" s="1040"/>
      <c r="J847" s="1040"/>
      <c r="K847" s="1040"/>
    </row>
    <row r="848" spans="7:11">
      <c r="G848" s="1040"/>
      <c r="H848" s="1040"/>
      <c r="I848" s="1040"/>
      <c r="J848" s="1040"/>
      <c r="K848" s="1040"/>
    </row>
    <row r="849" spans="7:11">
      <c r="G849" s="1040"/>
      <c r="H849" s="1040"/>
      <c r="I849" s="1040"/>
      <c r="J849" s="1040"/>
      <c r="K849" s="1040"/>
    </row>
    <row r="850" spans="7:11">
      <c r="G850" s="1040"/>
      <c r="H850" s="1040"/>
      <c r="I850" s="1040"/>
      <c r="J850" s="1040"/>
      <c r="K850" s="1040"/>
    </row>
    <row r="851" spans="7:11">
      <c r="G851" s="1040"/>
      <c r="H851" s="1040"/>
      <c r="I851" s="1040"/>
      <c r="J851" s="1040"/>
      <c r="K851" s="1040"/>
    </row>
    <row r="852" spans="7:11">
      <c r="G852" s="1040"/>
      <c r="H852" s="1040"/>
      <c r="I852" s="1040"/>
      <c r="J852" s="1040"/>
      <c r="K852" s="1040"/>
    </row>
    <row r="853" spans="7:11">
      <c r="G853" s="1040"/>
      <c r="H853" s="1040"/>
      <c r="I853" s="1040"/>
      <c r="J853" s="1040"/>
      <c r="K853" s="1040"/>
    </row>
    <row r="854" spans="7:11">
      <c r="G854" s="1040"/>
      <c r="H854" s="1040"/>
      <c r="I854" s="1040"/>
      <c r="J854" s="1040"/>
      <c r="K854" s="1040"/>
    </row>
    <row r="855" spans="7:11">
      <c r="G855" s="1040"/>
      <c r="H855" s="1040"/>
      <c r="I855" s="1040"/>
      <c r="J855" s="1040"/>
      <c r="K855" s="1040"/>
    </row>
    <row r="856" spans="7:11">
      <c r="G856" s="1040"/>
      <c r="H856" s="1040"/>
      <c r="I856" s="1040"/>
      <c r="J856" s="1040"/>
      <c r="K856" s="1040"/>
    </row>
    <row r="857" spans="7:11">
      <c r="G857" s="1040"/>
      <c r="H857" s="1040"/>
      <c r="I857" s="1040"/>
      <c r="J857" s="1040"/>
      <c r="K857" s="1040"/>
    </row>
    <row r="858" spans="7:11">
      <c r="G858" s="1040"/>
      <c r="H858" s="1040"/>
      <c r="I858" s="1040"/>
      <c r="J858" s="1040"/>
      <c r="K858" s="1040"/>
    </row>
    <row r="859" spans="7:11">
      <c r="G859" s="1040"/>
      <c r="H859" s="1040"/>
      <c r="I859" s="1040"/>
      <c r="J859" s="1040"/>
      <c r="K859" s="1040"/>
    </row>
    <row r="860" spans="7:11">
      <c r="G860" s="1040"/>
      <c r="H860" s="1040"/>
      <c r="I860" s="1040"/>
      <c r="J860" s="1040"/>
      <c r="K860" s="1040"/>
    </row>
    <row r="861" spans="7:11">
      <c r="G861" s="1040"/>
      <c r="H861" s="1040"/>
      <c r="I861" s="1040"/>
      <c r="J861" s="1040"/>
      <c r="K861" s="1040"/>
    </row>
    <row r="862" spans="7:11">
      <c r="G862" s="1040"/>
      <c r="H862" s="1040"/>
      <c r="I862" s="1040"/>
      <c r="J862" s="1040"/>
      <c r="K862" s="1040"/>
    </row>
    <row r="863" spans="7:11">
      <c r="G863" s="1040"/>
      <c r="H863" s="1040"/>
      <c r="I863" s="1040"/>
      <c r="J863" s="1040"/>
      <c r="K863" s="1040"/>
    </row>
    <row r="864" spans="7:11">
      <c r="G864" s="1040"/>
      <c r="H864" s="1040"/>
      <c r="I864" s="1040"/>
      <c r="J864" s="1040"/>
      <c r="K864" s="1040"/>
    </row>
    <row r="865" spans="7:11">
      <c r="G865" s="1040"/>
      <c r="H865" s="1040"/>
      <c r="I865" s="1040"/>
      <c r="J865" s="1040"/>
      <c r="K865" s="1040"/>
    </row>
    <row r="866" spans="7:11">
      <c r="G866" s="1040"/>
      <c r="H866" s="1040"/>
      <c r="I866" s="1040"/>
      <c r="J866" s="1040"/>
      <c r="K866" s="1040"/>
    </row>
    <row r="867" spans="7:11">
      <c r="G867" s="1040"/>
      <c r="H867" s="1040"/>
      <c r="I867" s="1040"/>
      <c r="J867" s="1040"/>
      <c r="K867" s="1040"/>
    </row>
    <row r="868" spans="7:11">
      <c r="G868" s="1040"/>
      <c r="H868" s="1040"/>
      <c r="I868" s="1040"/>
      <c r="J868" s="1040"/>
      <c r="K868" s="1040"/>
    </row>
    <row r="869" spans="7:11">
      <c r="G869" s="1040"/>
      <c r="H869" s="1040"/>
      <c r="I869" s="1040"/>
      <c r="J869" s="1040"/>
      <c r="K869" s="1040"/>
    </row>
    <row r="870" spans="7:11">
      <c r="G870" s="1040"/>
      <c r="H870" s="1040"/>
      <c r="I870" s="1040"/>
      <c r="J870" s="1040"/>
      <c r="K870" s="1040"/>
    </row>
    <row r="871" spans="7:11">
      <c r="G871" s="1040"/>
      <c r="H871" s="1040"/>
      <c r="I871" s="1040"/>
      <c r="J871" s="1040"/>
      <c r="K871" s="1040"/>
    </row>
    <row r="872" spans="7:11">
      <c r="G872" s="1040"/>
      <c r="H872" s="1040"/>
      <c r="I872" s="1040"/>
      <c r="J872" s="1040"/>
      <c r="K872" s="1040"/>
    </row>
    <row r="873" spans="7:11">
      <c r="G873" s="1040"/>
      <c r="H873" s="1040"/>
      <c r="I873" s="1040"/>
      <c r="J873" s="1040"/>
      <c r="K873" s="1040"/>
    </row>
    <row r="874" spans="7:11">
      <c r="G874" s="1040"/>
      <c r="H874" s="1040"/>
      <c r="I874" s="1040"/>
      <c r="J874" s="1040"/>
      <c r="K874" s="1040"/>
    </row>
    <row r="875" spans="7:11">
      <c r="G875" s="1040"/>
      <c r="H875" s="1040"/>
      <c r="I875" s="1040"/>
      <c r="J875" s="1040"/>
      <c r="K875" s="1040"/>
    </row>
    <row r="876" spans="7:11">
      <c r="G876" s="1040"/>
      <c r="H876" s="1040"/>
      <c r="I876" s="1040"/>
      <c r="J876" s="1040"/>
      <c r="K876" s="1040"/>
    </row>
    <row r="877" spans="7:11">
      <c r="G877" s="1040"/>
      <c r="H877" s="1040"/>
      <c r="I877" s="1040"/>
      <c r="J877" s="1040"/>
      <c r="K877" s="1040"/>
    </row>
    <row r="878" spans="7:11">
      <c r="G878" s="1040"/>
      <c r="H878" s="1040"/>
      <c r="I878" s="1040"/>
      <c r="J878" s="1040"/>
      <c r="K878" s="1040"/>
    </row>
    <row r="879" spans="7:11">
      <c r="G879" s="1040"/>
      <c r="H879" s="1040"/>
      <c r="I879" s="1040"/>
      <c r="J879" s="1040"/>
      <c r="K879" s="1040"/>
    </row>
    <row r="880" spans="7:11">
      <c r="G880" s="1040"/>
      <c r="H880" s="1040"/>
      <c r="I880" s="1040"/>
      <c r="J880" s="1040"/>
      <c r="K880" s="1040"/>
    </row>
    <row r="881" spans="7:11">
      <c r="G881" s="1040"/>
      <c r="H881" s="1040"/>
      <c r="I881" s="1040"/>
      <c r="J881" s="1040"/>
      <c r="K881" s="1040"/>
    </row>
    <row r="882" spans="7:11">
      <c r="G882" s="1040"/>
      <c r="H882" s="1040"/>
      <c r="I882" s="1040"/>
      <c r="J882" s="1040"/>
      <c r="K882" s="1040"/>
    </row>
    <row r="883" spans="7:11">
      <c r="G883" s="1040"/>
      <c r="H883" s="1040"/>
      <c r="I883" s="1040"/>
      <c r="J883" s="1040"/>
      <c r="K883" s="1040"/>
    </row>
    <row r="884" spans="7:11">
      <c r="G884" s="1040"/>
      <c r="H884" s="1040"/>
      <c r="I884" s="1040"/>
      <c r="J884" s="1040"/>
      <c r="K884" s="1040"/>
    </row>
    <row r="885" spans="7:11">
      <c r="G885" s="1040"/>
      <c r="H885" s="1040"/>
      <c r="I885" s="1040"/>
      <c r="J885" s="1040"/>
      <c r="K885" s="1040"/>
    </row>
    <row r="886" spans="7:11">
      <c r="G886" s="1040"/>
      <c r="H886" s="1040"/>
      <c r="I886" s="1040"/>
      <c r="J886" s="1040"/>
      <c r="K886" s="1040"/>
    </row>
    <row r="887" spans="7:11">
      <c r="G887" s="1040"/>
      <c r="H887" s="1040"/>
      <c r="I887" s="1040"/>
      <c r="J887" s="1040"/>
      <c r="K887" s="1040"/>
    </row>
    <row r="888" spans="7:11">
      <c r="G888" s="1040"/>
      <c r="H888" s="1040"/>
      <c r="I888" s="1040"/>
      <c r="J888" s="1040"/>
      <c r="K888" s="1040"/>
    </row>
    <row r="889" spans="7:11">
      <c r="G889" s="1040"/>
      <c r="H889" s="1040"/>
      <c r="I889" s="1040"/>
      <c r="J889" s="1040"/>
      <c r="K889" s="1040"/>
    </row>
    <row r="890" spans="7:11">
      <c r="G890" s="1040"/>
      <c r="H890" s="1040"/>
      <c r="I890" s="1040"/>
      <c r="J890" s="1040"/>
      <c r="K890" s="1040"/>
    </row>
    <row r="891" spans="7:11">
      <c r="G891" s="1040"/>
      <c r="H891" s="1040"/>
      <c r="I891" s="1040"/>
      <c r="J891" s="1040"/>
      <c r="K891" s="1040"/>
    </row>
    <row r="892" spans="7:11">
      <c r="G892" s="1040"/>
      <c r="H892" s="1040"/>
      <c r="I892" s="1040"/>
      <c r="J892" s="1040"/>
      <c r="K892" s="1040"/>
    </row>
    <row r="893" spans="7:11">
      <c r="G893" s="1040"/>
      <c r="H893" s="1040"/>
      <c r="I893" s="1040"/>
      <c r="J893" s="1040"/>
      <c r="K893" s="1040"/>
    </row>
    <row r="894" spans="7:11">
      <c r="G894" s="1040"/>
      <c r="H894" s="1040"/>
      <c r="I894" s="1040"/>
      <c r="J894" s="1040"/>
      <c r="K894" s="1040"/>
    </row>
    <row r="895" spans="7:11">
      <c r="G895" s="1040"/>
      <c r="H895" s="1040"/>
      <c r="I895" s="1040"/>
      <c r="J895" s="1040"/>
      <c r="K895" s="1040"/>
    </row>
    <row r="896" spans="7:11">
      <c r="G896" s="1040"/>
      <c r="H896" s="1040"/>
      <c r="I896" s="1040"/>
      <c r="J896" s="1040"/>
      <c r="K896" s="1040"/>
    </row>
    <row r="897" spans="7:11">
      <c r="G897" s="1040"/>
      <c r="H897" s="1040"/>
      <c r="I897" s="1040"/>
      <c r="J897" s="1040"/>
      <c r="K897" s="1040"/>
    </row>
    <row r="898" spans="7:11">
      <c r="G898" s="1040"/>
      <c r="H898" s="1040"/>
      <c r="I898" s="1040"/>
      <c r="J898" s="1040"/>
      <c r="K898" s="1040"/>
    </row>
    <row r="899" spans="7:11">
      <c r="G899" s="1040"/>
      <c r="H899" s="1040"/>
      <c r="I899" s="1040"/>
      <c r="J899" s="1040"/>
      <c r="K899" s="1040"/>
    </row>
    <row r="900" spans="7:11">
      <c r="G900" s="1040"/>
      <c r="H900" s="1040"/>
      <c r="I900" s="1040"/>
      <c r="J900" s="1040"/>
      <c r="K900" s="1040"/>
    </row>
    <row r="901" spans="7:11">
      <c r="G901" s="1040"/>
      <c r="H901" s="1040"/>
      <c r="I901" s="1040"/>
      <c r="J901" s="1040"/>
      <c r="K901" s="1040"/>
    </row>
    <row r="902" spans="7:11">
      <c r="G902" s="1040"/>
      <c r="H902" s="1040"/>
      <c r="I902" s="1040"/>
      <c r="J902" s="1040"/>
      <c r="K902" s="1040"/>
    </row>
    <row r="903" spans="7:11">
      <c r="G903" s="1040"/>
      <c r="H903" s="1040"/>
      <c r="I903" s="1040"/>
      <c r="J903" s="1040"/>
      <c r="K903" s="1040"/>
    </row>
    <row r="904" spans="7:11">
      <c r="G904" s="1040"/>
      <c r="H904" s="1040"/>
      <c r="I904" s="1040"/>
      <c r="J904" s="1040"/>
      <c r="K904" s="1040"/>
    </row>
    <row r="905" spans="7:11">
      <c r="G905" s="1040"/>
      <c r="H905" s="1040"/>
      <c r="I905" s="1040"/>
      <c r="J905" s="1040"/>
      <c r="K905" s="1040"/>
    </row>
    <row r="906" spans="7:11">
      <c r="G906" s="1040"/>
      <c r="H906" s="1040"/>
      <c r="I906" s="1040"/>
      <c r="J906" s="1040"/>
      <c r="K906" s="1040"/>
    </row>
    <row r="907" spans="7:11">
      <c r="G907" s="1040"/>
      <c r="H907" s="1040"/>
      <c r="I907" s="1040"/>
      <c r="J907" s="1040"/>
      <c r="K907" s="1040"/>
    </row>
    <row r="908" spans="7:11">
      <c r="G908" s="1040"/>
      <c r="H908" s="1040"/>
      <c r="I908" s="1040"/>
      <c r="J908" s="1040"/>
      <c r="K908" s="1040"/>
    </row>
    <row r="909" spans="7:11">
      <c r="G909" s="1040"/>
      <c r="H909" s="1040"/>
      <c r="I909" s="1040"/>
      <c r="J909" s="1040"/>
      <c r="K909" s="1040"/>
    </row>
    <row r="910" spans="7:11">
      <c r="G910" s="1040"/>
      <c r="H910" s="1040"/>
      <c r="I910" s="1040"/>
      <c r="J910" s="1040"/>
      <c r="K910" s="1040"/>
    </row>
    <row r="911" spans="7:11">
      <c r="G911" s="1040"/>
      <c r="H911" s="1040"/>
      <c r="I911" s="1040"/>
      <c r="J911" s="1040"/>
      <c r="K911" s="1040"/>
    </row>
    <row r="912" spans="7:11">
      <c r="G912" s="1040"/>
      <c r="H912" s="1040"/>
      <c r="I912" s="1040"/>
      <c r="J912" s="1040"/>
      <c r="K912" s="1040"/>
    </row>
    <row r="913" spans="7:11">
      <c r="G913" s="1040"/>
      <c r="H913" s="1040"/>
      <c r="I913" s="1040"/>
      <c r="J913" s="1040"/>
      <c r="K913" s="1040"/>
    </row>
    <row r="914" spans="7:11">
      <c r="G914" s="1040"/>
      <c r="H914" s="1040"/>
      <c r="I914" s="1040"/>
      <c r="J914" s="1040"/>
      <c r="K914" s="1040"/>
    </row>
    <row r="915" spans="7:11">
      <c r="G915" s="1040"/>
      <c r="H915" s="1040"/>
      <c r="I915" s="1040"/>
      <c r="J915" s="1040"/>
      <c r="K915" s="1040"/>
    </row>
    <row r="916" spans="7:11">
      <c r="G916" s="1040"/>
      <c r="H916" s="1040"/>
      <c r="I916" s="1040"/>
      <c r="J916" s="1040"/>
      <c r="K916" s="1040"/>
    </row>
    <row r="917" spans="7:11">
      <c r="G917" s="1040"/>
      <c r="H917" s="1040"/>
      <c r="I917" s="1040"/>
      <c r="J917" s="1040"/>
      <c r="K917" s="1040"/>
    </row>
    <row r="918" spans="7:11">
      <c r="G918" s="1040"/>
      <c r="H918" s="1040"/>
      <c r="I918" s="1040"/>
      <c r="J918" s="1040"/>
      <c r="K918" s="1040"/>
    </row>
    <row r="919" spans="7:11">
      <c r="G919" s="1040"/>
      <c r="H919" s="1040"/>
      <c r="I919" s="1040"/>
      <c r="J919" s="1040"/>
      <c r="K919" s="1040"/>
    </row>
    <row r="920" spans="7:11">
      <c r="G920" s="1040"/>
      <c r="H920" s="1040"/>
      <c r="I920" s="1040"/>
      <c r="J920" s="1040"/>
      <c r="K920" s="1040"/>
    </row>
    <row r="921" spans="7:11">
      <c r="G921" s="1040"/>
      <c r="H921" s="1040"/>
      <c r="I921" s="1040"/>
      <c r="J921" s="1040"/>
      <c r="K921" s="1040"/>
    </row>
    <row r="922" spans="7:11">
      <c r="G922" s="1040"/>
      <c r="H922" s="1040"/>
      <c r="I922" s="1040"/>
      <c r="J922" s="1040"/>
      <c r="K922" s="1040"/>
    </row>
    <row r="923" spans="7:11">
      <c r="G923" s="1040"/>
      <c r="H923" s="1040"/>
      <c r="I923" s="1040"/>
      <c r="J923" s="1040"/>
      <c r="K923" s="1040"/>
    </row>
    <row r="924" spans="7:11">
      <c r="G924" s="1040"/>
      <c r="H924" s="1040"/>
      <c r="I924" s="1040"/>
      <c r="J924" s="1040"/>
      <c r="K924" s="1040"/>
    </row>
    <row r="925" spans="7:11">
      <c r="G925" s="1040"/>
      <c r="H925" s="1040"/>
      <c r="I925" s="1040"/>
      <c r="J925" s="1040"/>
      <c r="K925" s="1040"/>
    </row>
    <row r="926" spans="7:11">
      <c r="G926" s="1040"/>
      <c r="H926" s="1040"/>
      <c r="I926" s="1040"/>
      <c r="J926" s="1040"/>
      <c r="K926" s="1040"/>
    </row>
    <row r="927" spans="7:11">
      <c r="G927" s="1040"/>
      <c r="H927" s="1040"/>
      <c r="I927" s="1040"/>
      <c r="J927" s="1040"/>
      <c r="K927" s="1040"/>
    </row>
    <row r="928" spans="7:11">
      <c r="G928" s="1040"/>
      <c r="H928" s="1040"/>
      <c r="I928" s="1040"/>
      <c r="J928" s="1040"/>
      <c r="K928" s="1040"/>
    </row>
    <row r="929" spans="7:11">
      <c r="G929" s="1040"/>
      <c r="H929" s="1040"/>
      <c r="I929" s="1040"/>
      <c r="J929" s="1040"/>
      <c r="K929" s="1040"/>
    </row>
    <row r="930" spans="7:11">
      <c r="G930" s="1040"/>
      <c r="H930" s="1040"/>
      <c r="I930" s="1040"/>
      <c r="J930" s="1040"/>
      <c r="K930" s="1040"/>
    </row>
    <row r="931" spans="7:11">
      <c r="G931" s="1040"/>
      <c r="H931" s="1040"/>
      <c r="I931" s="1040"/>
      <c r="J931" s="1040"/>
      <c r="K931" s="1040"/>
    </row>
    <row r="932" spans="7:11">
      <c r="G932" s="1040"/>
      <c r="H932" s="1040"/>
      <c r="I932" s="1040"/>
      <c r="J932" s="1040"/>
      <c r="K932" s="1040"/>
    </row>
    <row r="933" spans="7:11">
      <c r="G933" s="1040"/>
      <c r="H933" s="1040"/>
      <c r="I933" s="1040"/>
      <c r="J933" s="1040"/>
      <c r="K933" s="1040"/>
    </row>
    <row r="934" spans="7:11">
      <c r="G934" s="1040"/>
      <c r="H934" s="1040"/>
      <c r="I934" s="1040"/>
      <c r="J934" s="1040"/>
      <c r="K934" s="1040"/>
    </row>
    <row r="935" spans="7:11">
      <c r="G935" s="1040"/>
      <c r="H935" s="1040"/>
      <c r="I935" s="1040"/>
      <c r="J935" s="1040"/>
      <c r="K935" s="1040"/>
    </row>
    <row r="936" spans="7:11">
      <c r="G936" s="1040"/>
      <c r="H936" s="1040"/>
      <c r="I936" s="1040"/>
      <c r="J936" s="1040"/>
      <c r="K936" s="1040"/>
    </row>
    <row r="937" spans="7:11">
      <c r="G937" s="1040"/>
      <c r="H937" s="1040"/>
      <c r="I937" s="1040"/>
      <c r="J937" s="1040"/>
      <c r="K937" s="1040"/>
    </row>
    <row r="938" spans="7:11">
      <c r="G938" s="1040"/>
      <c r="H938" s="1040"/>
      <c r="I938" s="1040"/>
      <c r="J938" s="1040"/>
      <c r="K938" s="1040"/>
    </row>
    <row r="939" spans="7:11">
      <c r="G939" s="1040"/>
      <c r="H939" s="1040"/>
      <c r="I939" s="1040"/>
      <c r="J939" s="1040"/>
      <c r="K939" s="1040"/>
    </row>
    <row r="940" spans="7:11">
      <c r="G940" s="1040"/>
      <c r="H940" s="1040"/>
      <c r="I940" s="1040"/>
      <c r="J940" s="1040"/>
      <c r="K940" s="1040"/>
    </row>
    <row r="941" spans="7:11">
      <c r="G941" s="1040"/>
      <c r="H941" s="1040"/>
      <c r="I941" s="1040"/>
      <c r="J941" s="1040"/>
      <c r="K941" s="1040"/>
    </row>
    <row r="942" spans="7:11">
      <c r="G942" s="1040"/>
      <c r="H942" s="1040"/>
      <c r="I942" s="1040"/>
      <c r="J942" s="1040"/>
      <c r="K942" s="1040"/>
    </row>
    <row r="943" spans="7:11">
      <c r="G943" s="1040"/>
      <c r="H943" s="1040"/>
      <c r="I943" s="1040"/>
      <c r="J943" s="1040"/>
      <c r="K943" s="1040"/>
    </row>
    <row r="944" spans="7:11">
      <c r="G944" s="1040"/>
      <c r="H944" s="1040"/>
      <c r="I944" s="1040"/>
      <c r="J944" s="1040"/>
      <c r="K944" s="1040"/>
    </row>
    <row r="945" spans="7:11">
      <c r="G945" s="1040"/>
      <c r="H945" s="1040"/>
      <c r="I945" s="1040"/>
      <c r="J945" s="1040"/>
      <c r="K945" s="1040"/>
    </row>
    <row r="946" spans="7:11">
      <c r="G946" s="1040"/>
      <c r="H946" s="1040"/>
      <c r="I946" s="1040"/>
      <c r="J946" s="1040"/>
      <c r="K946" s="1040"/>
    </row>
    <row r="947" spans="7:11">
      <c r="G947" s="1040"/>
      <c r="H947" s="1040"/>
      <c r="I947" s="1040"/>
      <c r="J947" s="1040"/>
      <c r="K947" s="1040"/>
    </row>
    <row r="948" spans="7:11">
      <c r="G948" s="1040"/>
      <c r="H948" s="1040"/>
      <c r="I948" s="1040"/>
      <c r="J948" s="1040"/>
      <c r="K948" s="1040"/>
    </row>
    <row r="949" spans="7:11">
      <c r="G949" s="1040"/>
      <c r="H949" s="1040"/>
      <c r="I949" s="1040"/>
      <c r="J949" s="1040"/>
      <c r="K949" s="1040"/>
    </row>
    <row r="950" spans="7:11">
      <c r="G950" s="1040"/>
      <c r="H950" s="1040"/>
      <c r="I950" s="1040"/>
      <c r="J950" s="1040"/>
      <c r="K950" s="1040"/>
    </row>
    <row r="951" spans="7:11">
      <c r="G951" s="1040"/>
      <c r="H951" s="1040"/>
      <c r="I951" s="1040"/>
      <c r="J951" s="1040"/>
      <c r="K951" s="1040"/>
    </row>
    <row r="952" spans="7:11">
      <c r="G952" s="1040"/>
      <c r="H952" s="1040"/>
      <c r="I952" s="1040"/>
      <c r="J952" s="1040"/>
      <c r="K952" s="1040"/>
    </row>
    <row r="953" spans="7:11">
      <c r="G953" s="1040"/>
      <c r="H953" s="1040"/>
      <c r="I953" s="1040"/>
      <c r="J953" s="1040"/>
      <c r="K953" s="1040"/>
    </row>
    <row r="954" spans="7:11">
      <c r="G954" s="1040"/>
      <c r="H954" s="1040"/>
      <c r="I954" s="1040"/>
      <c r="J954" s="1040"/>
      <c r="K954" s="1040"/>
    </row>
    <row r="955" spans="7:11">
      <c r="G955" s="1040"/>
      <c r="H955" s="1040"/>
      <c r="I955" s="1040"/>
      <c r="J955" s="1040"/>
      <c r="K955" s="1040"/>
    </row>
    <row r="956" spans="7:11">
      <c r="G956" s="1040"/>
      <c r="H956" s="1040"/>
      <c r="I956" s="1040"/>
      <c r="J956" s="1040"/>
      <c r="K956" s="1040"/>
    </row>
    <row r="957" spans="7:11">
      <c r="G957" s="1040"/>
      <c r="H957" s="1040"/>
      <c r="I957" s="1040"/>
      <c r="J957" s="1040"/>
      <c r="K957" s="1040"/>
    </row>
    <row r="958" spans="7:11">
      <c r="G958" s="1040"/>
      <c r="H958" s="1040"/>
      <c r="I958" s="1040"/>
      <c r="J958" s="1040"/>
      <c r="K958" s="1040"/>
    </row>
    <row r="959" spans="7:11">
      <c r="G959" s="1040"/>
      <c r="H959" s="1040"/>
      <c r="I959" s="1040"/>
      <c r="J959" s="1040"/>
      <c r="K959" s="1040"/>
    </row>
    <row r="960" spans="7:11">
      <c r="G960" s="1040"/>
      <c r="H960" s="1040"/>
      <c r="I960" s="1040"/>
      <c r="J960" s="1040"/>
      <c r="K960" s="1040"/>
    </row>
    <row r="961" spans="7:11">
      <c r="G961" s="1040"/>
      <c r="H961" s="1040"/>
      <c r="I961" s="1040"/>
      <c r="J961" s="1040"/>
      <c r="K961" s="1040"/>
    </row>
    <row r="962" spans="7:11">
      <c r="G962" s="1040"/>
      <c r="H962" s="1040"/>
      <c r="I962" s="1040"/>
      <c r="J962" s="1040"/>
      <c r="K962" s="1040"/>
    </row>
    <row r="963" spans="7:11">
      <c r="G963" s="1040"/>
      <c r="H963" s="1040"/>
      <c r="I963" s="1040"/>
      <c r="J963" s="1040"/>
      <c r="K963" s="1040"/>
    </row>
    <row r="964" spans="7:11">
      <c r="G964" s="1040"/>
      <c r="H964" s="1040"/>
      <c r="I964" s="1040"/>
      <c r="J964" s="1040"/>
      <c r="K964" s="1040"/>
    </row>
    <row r="965" spans="7:11">
      <c r="G965" s="1040"/>
      <c r="H965" s="1040"/>
      <c r="I965" s="1040"/>
      <c r="J965" s="1040"/>
      <c r="K965" s="1040"/>
    </row>
    <row r="966" spans="7:11">
      <c r="G966" s="1040"/>
      <c r="H966" s="1040"/>
      <c r="I966" s="1040"/>
      <c r="J966" s="1040"/>
      <c r="K966" s="1040"/>
    </row>
    <row r="967" spans="7:11">
      <c r="G967" s="1040"/>
      <c r="H967" s="1040"/>
      <c r="I967" s="1040"/>
      <c r="J967" s="1040"/>
      <c r="K967" s="1040"/>
    </row>
    <row r="968" spans="7:11">
      <c r="G968" s="1040"/>
      <c r="H968" s="1040"/>
      <c r="I968" s="1040"/>
      <c r="J968" s="1040"/>
      <c r="K968" s="1040"/>
    </row>
    <row r="969" spans="7:11">
      <c r="G969" s="1040"/>
      <c r="H969" s="1040"/>
      <c r="I969" s="1040"/>
      <c r="J969" s="1040"/>
      <c r="K969" s="1040"/>
    </row>
    <row r="970" spans="7:11">
      <c r="G970" s="1040"/>
      <c r="H970" s="1040"/>
      <c r="I970" s="1040"/>
      <c r="J970" s="1040"/>
      <c r="K970" s="1040"/>
    </row>
    <row r="971" spans="7:11">
      <c r="G971" s="1040"/>
      <c r="H971" s="1040"/>
      <c r="I971" s="1040"/>
      <c r="J971" s="1040"/>
      <c r="K971" s="1040"/>
    </row>
    <row r="972" spans="7:11">
      <c r="G972" s="1040"/>
      <c r="H972" s="1040"/>
      <c r="I972" s="1040"/>
      <c r="J972" s="1040"/>
      <c r="K972" s="1040"/>
    </row>
    <row r="973" spans="7:11">
      <c r="G973" s="1040"/>
      <c r="H973" s="1040"/>
      <c r="I973" s="1040"/>
      <c r="J973" s="1040"/>
      <c r="K973" s="1040"/>
    </row>
    <row r="974" spans="7:11">
      <c r="G974" s="1040"/>
      <c r="H974" s="1040"/>
      <c r="I974" s="1040"/>
      <c r="J974" s="1040"/>
      <c r="K974" s="1040"/>
    </row>
    <row r="975" spans="7:11">
      <c r="G975" s="1040"/>
      <c r="H975" s="1040"/>
      <c r="I975" s="1040"/>
      <c r="J975" s="1040"/>
      <c r="K975" s="1040"/>
    </row>
    <row r="976" spans="7:11">
      <c r="G976" s="1040"/>
      <c r="H976" s="1040"/>
      <c r="I976" s="1040"/>
      <c r="J976" s="1040"/>
      <c r="K976" s="1040"/>
    </row>
    <row r="977" spans="7:11">
      <c r="G977" s="1040"/>
      <c r="H977" s="1040"/>
      <c r="I977" s="1040"/>
      <c r="J977" s="1040"/>
      <c r="K977" s="1040"/>
    </row>
    <row r="978" spans="7:11">
      <c r="G978" s="1040"/>
      <c r="H978" s="1040"/>
      <c r="I978" s="1040"/>
      <c r="J978" s="1040"/>
      <c r="K978" s="1040"/>
    </row>
    <row r="979" spans="7:11">
      <c r="G979" s="1040"/>
      <c r="H979" s="1040"/>
      <c r="I979" s="1040"/>
      <c r="J979" s="1040"/>
      <c r="K979" s="1040"/>
    </row>
    <row r="980" spans="7:11">
      <c r="G980" s="1040"/>
      <c r="H980" s="1040"/>
      <c r="I980" s="1040"/>
      <c r="J980" s="1040"/>
      <c r="K980" s="1040"/>
    </row>
    <row r="981" spans="7:11">
      <c r="G981" s="1040"/>
      <c r="H981" s="1040"/>
      <c r="I981" s="1040"/>
      <c r="J981" s="1040"/>
      <c r="K981" s="1040"/>
    </row>
    <row r="982" spans="7:11">
      <c r="G982" s="1040"/>
      <c r="H982" s="1040"/>
      <c r="I982" s="1040"/>
      <c r="J982" s="1040"/>
      <c r="K982" s="1040"/>
    </row>
    <row r="983" spans="7:11">
      <c r="G983" s="1040"/>
      <c r="H983" s="1040"/>
      <c r="I983" s="1040"/>
      <c r="J983" s="1040"/>
      <c r="K983" s="1040"/>
    </row>
    <row r="984" spans="7:11">
      <c r="G984" s="1040"/>
      <c r="H984" s="1040"/>
      <c r="I984" s="1040"/>
      <c r="J984" s="1040"/>
      <c r="K984" s="1040"/>
    </row>
    <row r="985" spans="7:11">
      <c r="G985" s="1040"/>
      <c r="H985" s="1040"/>
      <c r="I985" s="1040"/>
      <c r="J985" s="1040"/>
      <c r="K985" s="1040"/>
    </row>
    <row r="986" spans="7:11">
      <c r="G986" s="1040"/>
      <c r="H986" s="1040"/>
      <c r="I986" s="1040"/>
      <c r="J986" s="1040"/>
      <c r="K986" s="1040"/>
    </row>
    <row r="987" spans="7:11">
      <c r="G987" s="1040"/>
      <c r="H987" s="1040"/>
      <c r="I987" s="1040"/>
      <c r="J987" s="1040"/>
      <c r="K987" s="1040"/>
    </row>
    <row r="988" spans="7:11">
      <c r="G988" s="1040"/>
      <c r="H988" s="1040"/>
      <c r="I988" s="1040"/>
      <c r="J988" s="1040"/>
      <c r="K988" s="1040"/>
    </row>
    <row r="989" spans="7:11">
      <c r="G989" s="1040"/>
      <c r="H989" s="1040"/>
      <c r="I989" s="1040"/>
      <c r="J989" s="1040"/>
      <c r="K989" s="1040"/>
    </row>
    <row r="990" spans="7:11">
      <c r="G990" s="1040"/>
      <c r="H990" s="1040"/>
      <c r="I990" s="1040"/>
      <c r="J990" s="1040"/>
      <c r="K990" s="1040"/>
    </row>
    <row r="991" spans="7:11">
      <c r="G991" s="1040"/>
      <c r="H991" s="1040"/>
      <c r="I991" s="1040"/>
      <c r="J991" s="1040"/>
      <c r="K991" s="1040"/>
    </row>
    <row r="992" spans="7:11">
      <c r="G992" s="1040"/>
      <c r="H992" s="1040"/>
      <c r="I992" s="1040"/>
      <c r="J992" s="1040"/>
      <c r="K992" s="1040"/>
    </row>
    <row r="993" spans="7:11">
      <c r="G993" s="1040"/>
      <c r="H993" s="1040"/>
      <c r="I993" s="1040"/>
      <c r="J993" s="1040"/>
      <c r="K993" s="1040"/>
    </row>
    <row r="994" spans="7:11">
      <c r="G994" s="1040"/>
      <c r="H994" s="1040"/>
      <c r="I994" s="1040"/>
      <c r="J994" s="1040"/>
      <c r="K994" s="1040"/>
    </row>
    <row r="995" spans="7:11">
      <c r="G995" s="1040"/>
      <c r="H995" s="1040"/>
      <c r="I995" s="1040"/>
      <c r="J995" s="1040"/>
      <c r="K995" s="1040"/>
    </row>
    <row r="996" spans="7:11">
      <c r="G996" s="1040"/>
      <c r="H996" s="1040"/>
      <c r="I996" s="1040"/>
      <c r="J996" s="1040"/>
      <c r="K996" s="1040"/>
    </row>
    <row r="997" spans="7:11">
      <c r="G997" s="1040"/>
      <c r="H997" s="1040"/>
      <c r="I997" s="1040"/>
      <c r="J997" s="1040"/>
      <c r="K997" s="1040"/>
    </row>
    <row r="998" spans="7:11">
      <c r="G998" s="1040"/>
      <c r="H998" s="1040"/>
      <c r="I998" s="1040"/>
      <c r="J998" s="1040"/>
      <c r="K998" s="1040"/>
    </row>
    <row r="999" spans="7:11">
      <c r="G999" s="1040"/>
      <c r="H999" s="1040"/>
      <c r="I999" s="1040"/>
      <c r="J999" s="1040"/>
      <c r="K999" s="1040"/>
    </row>
    <row r="1000" spans="7:11">
      <c r="G1000" s="1040"/>
      <c r="H1000" s="1040"/>
      <c r="I1000" s="1040"/>
      <c r="J1000" s="1040"/>
      <c r="K1000" s="1040"/>
    </row>
    <row r="1001" spans="7:11">
      <c r="G1001" s="1040"/>
      <c r="H1001" s="1040"/>
      <c r="I1001" s="1040"/>
      <c r="J1001" s="1040"/>
      <c r="K1001" s="1040"/>
    </row>
    <row r="1002" spans="7:11">
      <c r="G1002" s="1040"/>
      <c r="H1002" s="1040"/>
      <c r="I1002" s="1040"/>
      <c r="J1002" s="1040"/>
      <c r="K1002" s="1040"/>
    </row>
    <row r="1003" spans="7:11">
      <c r="G1003" s="1040"/>
      <c r="H1003" s="1040"/>
      <c r="I1003" s="1040"/>
      <c r="J1003" s="1040"/>
      <c r="K1003" s="1040"/>
    </row>
    <row r="1004" spans="7:11">
      <c r="G1004" s="1040"/>
      <c r="H1004" s="1040"/>
      <c r="I1004" s="1040"/>
      <c r="J1004" s="1040"/>
      <c r="K1004" s="1040"/>
    </row>
    <row r="1005" spans="7:11">
      <c r="G1005" s="1040"/>
      <c r="H1005" s="1040"/>
      <c r="I1005" s="1040"/>
      <c r="J1005" s="1040"/>
      <c r="K1005" s="1040"/>
    </row>
    <row r="1006" spans="7:11">
      <c r="G1006" s="1040"/>
      <c r="H1006" s="1040"/>
      <c r="I1006" s="1040"/>
      <c r="J1006" s="1040"/>
      <c r="K1006" s="1040"/>
    </row>
    <row r="1007" spans="7:11">
      <c r="G1007" s="1040"/>
      <c r="H1007" s="1040"/>
      <c r="I1007" s="1040"/>
      <c r="J1007" s="1040"/>
      <c r="K1007" s="1040"/>
    </row>
    <row r="1008" spans="7:11">
      <c r="G1008" s="1040"/>
      <c r="H1008" s="1040"/>
      <c r="I1008" s="1040"/>
      <c r="J1008" s="1040"/>
      <c r="K1008" s="1040"/>
    </row>
  </sheetData>
  <mergeCells count="2">
    <mergeCell ref="B1:E1"/>
    <mergeCell ref="B2:E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652F-86C9-43FA-BDA3-AA7F154E742E}">
  <dimension ref="A1:F99"/>
  <sheetViews>
    <sheetView topLeftCell="B1" zoomScale="85" zoomScaleNormal="85" workbookViewId="0">
      <selection activeCell="H58" sqref="H58"/>
    </sheetView>
  </sheetViews>
  <sheetFormatPr baseColWidth="10" defaultRowHeight="14.5"/>
  <cols>
    <col min="1" max="1" width="255.6328125" bestFit="1" customWidth="1"/>
    <col min="2" max="2" width="53.1796875" bestFit="1" customWidth="1"/>
    <col min="3" max="3" width="23.453125" bestFit="1" customWidth="1"/>
    <col min="4" max="4" width="38.1796875" bestFit="1" customWidth="1"/>
  </cols>
  <sheetData>
    <row r="1" spans="1:4" ht="17">
      <c r="A1" s="1012" t="s">
        <v>1369</v>
      </c>
    </row>
    <row r="2" spans="1:4">
      <c r="A2" s="1013" t="s">
        <v>1370</v>
      </c>
    </row>
    <row r="4" spans="1:4">
      <c r="A4" s="34" t="s">
        <v>1371</v>
      </c>
      <c r="B4" t="s">
        <v>1372</v>
      </c>
    </row>
    <row r="6" spans="1:4">
      <c r="A6" s="1014" t="s">
        <v>1373</v>
      </c>
      <c r="B6" s="1014" t="s">
        <v>1374</v>
      </c>
      <c r="C6" s="1014" t="s">
        <v>1375</v>
      </c>
      <c r="D6" s="1014" t="s">
        <v>1376</v>
      </c>
    </row>
    <row r="7" spans="1:4">
      <c r="A7" t="s">
        <v>1377</v>
      </c>
      <c r="B7" s="1015">
        <f>'Availabilities EU Austria'!AG119</f>
        <v>5.1880428594768198</v>
      </c>
      <c r="C7" t="s">
        <v>1378</v>
      </c>
      <c r="D7" s="1016" t="s">
        <v>1379</v>
      </c>
    </row>
    <row r="8" spans="1:4">
      <c r="A8" t="s">
        <v>1380</v>
      </c>
      <c r="B8" s="1017">
        <f>'Conversion factors selected IV '!G10</f>
        <v>0.15387272727272727</v>
      </c>
      <c r="C8" t="s">
        <v>1381</v>
      </c>
      <c r="D8" s="1016" t="s">
        <v>1382</v>
      </c>
    </row>
    <row r="9" spans="1:4">
      <c r="A9" t="s">
        <v>1383</v>
      </c>
      <c r="B9" s="1018">
        <f>'Conversion factors selected IV '!L10</f>
        <v>0.16170822585267985</v>
      </c>
      <c r="C9" t="s">
        <v>1384</v>
      </c>
      <c r="D9" s="1016" t="s">
        <v>1385</v>
      </c>
    </row>
    <row r="10" spans="1:4">
      <c r="A10" t="s">
        <v>1386</v>
      </c>
      <c r="B10" s="1019">
        <f>'Availabilities EU Austria'!AE14</f>
        <v>0.125</v>
      </c>
      <c r="C10" t="s">
        <v>1387</v>
      </c>
      <c r="D10" s="1016" t="s">
        <v>1388</v>
      </c>
    </row>
    <row r="11" spans="1:4">
      <c r="A11" t="s">
        <v>1389</v>
      </c>
      <c r="B11" s="1015">
        <f>'Conversion factors selected IV '!I10</f>
        <v>17.36</v>
      </c>
      <c r="C11" t="s">
        <v>539</v>
      </c>
      <c r="D11" s="1016" t="s">
        <v>1390</v>
      </c>
    </row>
    <row r="12" spans="1:4">
      <c r="A12" t="s">
        <v>1391</v>
      </c>
      <c r="B12" s="1020">
        <v>41.868000000000002</v>
      </c>
      <c r="C12" t="s">
        <v>1392</v>
      </c>
      <c r="D12" t="s">
        <v>1393</v>
      </c>
    </row>
    <row r="14" spans="1:4">
      <c r="A14" s="1021" t="s">
        <v>1394</v>
      </c>
      <c r="B14" s="1021" t="s">
        <v>1374</v>
      </c>
      <c r="C14" s="1021" t="s">
        <v>1375</v>
      </c>
      <c r="D14" s="1021" t="s">
        <v>1395</v>
      </c>
    </row>
    <row r="15" spans="1:4">
      <c r="A15" s="34" t="s">
        <v>1396</v>
      </c>
      <c r="B15" s="1022">
        <f>1/B9</f>
        <v>6.1839773130095708</v>
      </c>
      <c r="C15" s="34" t="s">
        <v>1397</v>
      </c>
      <c r="D15" s="1016" t="s">
        <v>1398</v>
      </c>
    </row>
    <row r="16" spans="1:4">
      <c r="A16" t="s">
        <v>1399</v>
      </c>
      <c r="B16" s="1023">
        <f>B15*B11/B12</f>
        <v>2.5641025641025639</v>
      </c>
      <c r="C16" t="s">
        <v>1400</v>
      </c>
      <c r="D16" s="1016" t="s">
        <v>1401</v>
      </c>
    </row>
    <row r="17" spans="1:4">
      <c r="A17" t="s">
        <v>1402</v>
      </c>
      <c r="B17" s="309">
        <f>1/B16</f>
        <v>0.39</v>
      </c>
      <c r="C17" t="s">
        <v>1403</v>
      </c>
      <c r="D17" s="1016" t="s">
        <v>1404</v>
      </c>
    </row>
    <row r="18" spans="1:4">
      <c r="A18" t="s">
        <v>1405</v>
      </c>
      <c r="B18" s="1023">
        <f>1/(B9*B10)</f>
        <v>49.471818504076566</v>
      </c>
      <c r="C18" t="s">
        <v>1406</v>
      </c>
      <c r="D18" s="1016" t="s">
        <v>1407</v>
      </c>
    </row>
    <row r="20" spans="1:4">
      <c r="A20" s="34" t="s">
        <v>1408</v>
      </c>
    </row>
    <row r="21" spans="1:4">
      <c r="A21" t="s">
        <v>1409</v>
      </c>
      <c r="B21" s="1024">
        <f>'Availabilities EU Austria'!AB14</f>
        <v>0.64850535743460247</v>
      </c>
      <c r="C21" t="s">
        <v>1378</v>
      </c>
    </row>
    <row r="22" spans="1:4">
      <c r="A22" t="s">
        <v>1410</v>
      </c>
      <c r="B22" s="1024">
        <f>'Availabilities EU Austria'!AG14</f>
        <v>0.10486865080670757</v>
      </c>
      <c r="C22" t="s">
        <v>1411</v>
      </c>
    </row>
    <row r="23" spans="1:4">
      <c r="A23" t="s">
        <v>1412</v>
      </c>
      <c r="B23" s="1023">
        <f>B21/B22</f>
        <v>6.1839773130095708</v>
      </c>
      <c r="C23" t="s">
        <v>1397</v>
      </c>
    </row>
    <row r="24" spans="1:4">
      <c r="A24" t="s">
        <v>1413</v>
      </c>
      <c r="B24" s="1025">
        <f>B23-B15</f>
        <v>0</v>
      </c>
    </row>
    <row r="26" spans="1:4">
      <c r="A26" s="34" t="s">
        <v>1414</v>
      </c>
    </row>
    <row r="27" spans="1:4">
      <c r="A27" s="1026" t="s">
        <v>1415</v>
      </c>
    </row>
    <row r="30" spans="1:4" ht="15.5">
      <c r="A30" s="1027" t="s">
        <v>1416</v>
      </c>
    </row>
    <row r="31" spans="1:4">
      <c r="A31" s="1014" t="s">
        <v>1417</v>
      </c>
      <c r="B31" s="1014" t="s">
        <v>1374</v>
      </c>
      <c r="C31" s="1014" t="s">
        <v>1375</v>
      </c>
      <c r="D31" s="1014" t="s">
        <v>1418</v>
      </c>
    </row>
    <row r="32" spans="1:4">
      <c r="A32" t="s">
        <v>1419</v>
      </c>
      <c r="B32" s="1028">
        <f>B7</f>
        <v>5.1880428594768198</v>
      </c>
      <c r="C32" t="s">
        <v>1378</v>
      </c>
      <c r="D32" s="1016" t="s">
        <v>1420</v>
      </c>
    </row>
    <row r="33" spans="1:6">
      <c r="A33" t="s">
        <v>1421</v>
      </c>
      <c r="B33" s="1028">
        <f>B32*B10</f>
        <v>0.64850535743460247</v>
      </c>
      <c r="C33" t="s">
        <v>1378</v>
      </c>
      <c r="D33" s="1016" t="s">
        <v>1422</v>
      </c>
    </row>
    <row r="34" spans="1:6">
      <c r="A34" t="s">
        <v>1423</v>
      </c>
      <c r="B34" s="1029">
        <f>B33*B9</f>
        <v>0.10486865080670757</v>
      </c>
      <c r="C34" t="s">
        <v>1411</v>
      </c>
      <c r="D34" s="1016" t="s">
        <v>1424</v>
      </c>
    </row>
    <row r="35" spans="1:6">
      <c r="A35" t="s">
        <v>1425</v>
      </c>
      <c r="B35" s="1028">
        <f>B33/B15</f>
        <v>0.10486865080670757</v>
      </c>
      <c r="C35" t="s">
        <v>1411</v>
      </c>
      <c r="D35" s="1016" t="s">
        <v>1426</v>
      </c>
    </row>
    <row r="36" spans="1:6">
      <c r="A36" t="s">
        <v>1427</v>
      </c>
      <c r="B36" s="1024">
        <f>'Availabilities EU Austria'!AG14</f>
        <v>0.10486865080670757</v>
      </c>
      <c r="C36" t="s">
        <v>1411</v>
      </c>
      <c r="D36" s="1016" t="s">
        <v>1428</v>
      </c>
    </row>
    <row r="38" spans="1:6">
      <c r="A38" s="34" t="s">
        <v>1429</v>
      </c>
    </row>
    <row r="39" spans="1:6">
      <c r="A39" t="s">
        <v>1430</v>
      </c>
      <c r="B39" s="1024">
        <f>'Availabilities EU Austria'!AG13</f>
        <v>0.13</v>
      </c>
      <c r="C39" t="s">
        <v>1411</v>
      </c>
      <c r="D39" s="1016" t="s">
        <v>1445</v>
      </c>
    </row>
    <row r="40" spans="1:6">
      <c r="A40" t="s">
        <v>1431</v>
      </c>
      <c r="B40" s="1024">
        <f>'Availabilities EU Austria'!AG14</f>
        <v>0.10486865080670757</v>
      </c>
      <c r="C40" t="s">
        <v>1411</v>
      </c>
      <c r="D40" s="1016" t="s">
        <v>1446</v>
      </c>
    </row>
    <row r="41" spans="1:6">
      <c r="A41" t="s">
        <v>1432</v>
      </c>
      <c r="B41" s="1024">
        <f>'Availabilities EU Austria'!AG15</f>
        <v>6.1449125824018347E-2</v>
      </c>
      <c r="C41" t="s">
        <v>1411</v>
      </c>
      <c r="D41" s="1016" t="s">
        <v>1447</v>
      </c>
      <c r="E41" s="3" t="s">
        <v>1448</v>
      </c>
      <c r="F41" s="1032" t="s">
        <v>1413</v>
      </c>
    </row>
    <row r="42" spans="1:6">
      <c r="A42" s="34" t="s">
        <v>1433</v>
      </c>
      <c r="B42" s="1030">
        <f>SUM(B39:B41)</f>
        <v>0.29631777663072589</v>
      </c>
      <c r="C42" s="34" t="s">
        <v>1411</v>
      </c>
      <c r="D42" s="34" t="str">
        <f>"muss AG10 entsprechen"</f>
        <v>muss AG10 entsprechen</v>
      </c>
      <c r="E42" s="1024">
        <f>'Availabilities EU Austria'!AG10</f>
        <v>0.29631777663072589</v>
      </c>
      <c r="F42" s="1025">
        <f>B42-E42</f>
        <v>0</v>
      </c>
    </row>
    <row r="43" spans="1:6">
      <c r="A43" t="s">
        <v>1434</v>
      </c>
      <c r="B43" s="309">
        <f>B40/B42</f>
        <v>0.35390603965483958</v>
      </c>
      <c r="C43" t="s">
        <v>1387</v>
      </c>
      <c r="D43" s="1016" t="s">
        <v>1435</v>
      </c>
    </row>
    <row r="45" spans="1:6">
      <c r="A45" s="34" t="s">
        <v>1436</v>
      </c>
    </row>
    <row r="46" spans="1:6">
      <c r="A46" t="s">
        <v>1437</v>
      </c>
      <c r="B46" s="1031">
        <v>1</v>
      </c>
      <c r="C46" t="s">
        <v>1411</v>
      </c>
      <c r="D46" t="s">
        <v>1438</v>
      </c>
    </row>
    <row r="47" spans="1:6">
      <c r="A47" t="s">
        <v>1439</v>
      </c>
      <c r="B47" s="1023">
        <f>B46*B15</f>
        <v>6.1839773130095708</v>
      </c>
      <c r="C47" t="s">
        <v>1378</v>
      </c>
      <c r="D47" s="1016" t="s">
        <v>1440</v>
      </c>
    </row>
    <row r="48" spans="1:6">
      <c r="A48" t="s">
        <v>1441</v>
      </c>
      <c r="B48" s="1023">
        <f>B46*B18</f>
        <v>49.471818504076566</v>
      </c>
      <c r="C48" t="s">
        <v>1378</v>
      </c>
      <c r="D48" s="1016" t="s">
        <v>1442</v>
      </c>
    </row>
    <row r="49" spans="1:4">
      <c r="A49" t="s">
        <v>1443</v>
      </c>
      <c r="B49" s="309">
        <f>B32/B48</f>
        <v>0.10486865080670757</v>
      </c>
      <c r="C49" t="s">
        <v>1387</v>
      </c>
      <c r="D49" s="1016" t="s">
        <v>1444</v>
      </c>
    </row>
    <row r="52" spans="1:4">
      <c r="A52" t="s">
        <v>1450</v>
      </c>
      <c r="B52" t="s">
        <v>1449</v>
      </c>
    </row>
    <row r="53" spans="1:4">
      <c r="A53" s="1"/>
      <c r="C53">
        <v>2030</v>
      </c>
      <c r="D53" s="9">
        <f>'[8]GAP analysis Sc. 1'!$C$37</f>
        <v>0.25222126683863599</v>
      </c>
    </row>
    <row r="54" spans="1:4">
      <c r="C54">
        <v>2035</v>
      </c>
      <c r="D54" s="9">
        <f>'[8]GAP analysis Sc. 1'!$C$75</f>
        <v>0.62304658177401118</v>
      </c>
    </row>
    <row r="55" spans="1:4">
      <c r="C55">
        <v>2040</v>
      </c>
      <c r="D55" s="9">
        <f>'[8]GAP analysis Sc. 1'!$C$114</f>
        <v>0.82572438548362936</v>
      </c>
    </row>
    <row r="56" spans="1:4">
      <c r="B56" t="s">
        <v>1451</v>
      </c>
    </row>
    <row r="57" spans="1:4">
      <c r="C57">
        <v>2030</v>
      </c>
      <c r="D57" s="9">
        <f>'[8]GAP analysis Sc. 2'!$C$38</f>
        <v>0</v>
      </c>
    </row>
    <row r="58" spans="1:4">
      <c r="C58">
        <v>2035</v>
      </c>
      <c r="D58" s="9">
        <f>'[8]GAP analysis Sc. 2'!$C$69</f>
        <v>0</v>
      </c>
    </row>
    <row r="59" spans="1:4">
      <c r="C59">
        <v>2040</v>
      </c>
      <c r="D59" s="9">
        <f>'[8]GAP analysis Sc. 2'!$F$105</f>
        <v>0.32413219826146089</v>
      </c>
    </row>
    <row r="60" spans="1:4">
      <c r="B60" t="s">
        <v>1452</v>
      </c>
    </row>
    <row r="61" spans="1:4">
      <c r="C61">
        <v>2030</v>
      </c>
    </row>
    <row r="62" spans="1:4">
      <c r="C62">
        <v>2035</v>
      </c>
    </row>
    <row r="63" spans="1:4">
      <c r="C63">
        <v>2040</v>
      </c>
    </row>
    <row r="66" spans="1:6" ht="15.5">
      <c r="A66" s="1027" t="s">
        <v>1453</v>
      </c>
    </row>
    <row r="67" spans="1:6">
      <c r="A67" s="1014" t="s">
        <v>1454</v>
      </c>
      <c r="B67" s="1014" t="s">
        <v>1455</v>
      </c>
      <c r="C67" s="1014" t="s">
        <v>391</v>
      </c>
      <c r="D67" s="1014" t="s">
        <v>1394</v>
      </c>
      <c r="E67" s="1014" t="s">
        <v>1456</v>
      </c>
      <c r="F67" s="1014" t="s">
        <v>1457</v>
      </c>
    </row>
    <row r="68" spans="1:6">
      <c r="A68" s="1013" t="s">
        <v>1375</v>
      </c>
      <c r="B68" s="1013" t="s">
        <v>1411</v>
      </c>
      <c r="C68" s="1013" t="s">
        <v>1458</v>
      </c>
      <c r="D68" s="1013" t="s">
        <v>1459</v>
      </c>
      <c r="E68" s="1013" t="s">
        <v>1378</v>
      </c>
    </row>
    <row r="69" spans="1:6">
      <c r="A69" t="s">
        <v>1460</v>
      </c>
      <c r="B69" s="1031">
        <v>0.32</v>
      </c>
      <c r="C69" s="1018">
        <f>'Availabilities EU Austria'!AA14</f>
        <v>0.16170822585267985</v>
      </c>
      <c r="D69" s="1023">
        <f>1/C69</f>
        <v>6.1839773130095708</v>
      </c>
      <c r="E69" s="1029">
        <f>B69*D69</f>
        <v>1.9788727401630626</v>
      </c>
      <c r="F69" s="1016" t="s">
        <v>1385</v>
      </c>
    </row>
    <row r="70" spans="1:6">
      <c r="A70" t="s">
        <v>1461</v>
      </c>
      <c r="B70" s="1031">
        <v>0.93</v>
      </c>
      <c r="C70" s="1018">
        <f>'Availabilities EU Austria'!AA24</f>
        <v>0.15803303890148257</v>
      </c>
      <c r="D70" s="1023">
        <f>1/C70</f>
        <v>6.3277907388935146</v>
      </c>
      <c r="E70" s="1029">
        <f>B70*D70</f>
        <v>5.8848453871709685</v>
      </c>
      <c r="F70" s="1016" t="s">
        <v>1462</v>
      </c>
    </row>
    <row r="71" spans="1:6">
      <c r="A71" s="34" t="s">
        <v>1463</v>
      </c>
      <c r="B71" s="1033">
        <f>SUM(B69:B70)</f>
        <v>1.25</v>
      </c>
      <c r="E71" s="1030">
        <f>SUM(E69:E70)</f>
        <v>7.8637181273340309</v>
      </c>
    </row>
    <row r="73" spans="1:6">
      <c r="A73" s="34" t="s">
        <v>1464</v>
      </c>
    </row>
    <row r="74" spans="1:6">
      <c r="A74" t="s">
        <v>1465</v>
      </c>
      <c r="B74" s="1028">
        <f>B7</f>
        <v>5.1880428594768198</v>
      </c>
      <c r="C74" t="s">
        <v>1378</v>
      </c>
    </row>
    <row r="75" spans="1:6">
      <c r="A75" s="34" t="s">
        <v>1466</v>
      </c>
      <c r="B75" s="1024">
        <f>'Availabilities EU Austria'!AI119</f>
        <v>7.4086926412541239</v>
      </c>
      <c r="C75" t="s">
        <v>1378</v>
      </c>
    </row>
    <row r="76" spans="1:6">
      <c r="A76" t="s">
        <v>1467</v>
      </c>
      <c r="B76" s="309">
        <f>B74/E71</f>
        <v>0.6597442552579994</v>
      </c>
      <c r="C76" t="s">
        <v>1387</v>
      </c>
    </row>
    <row r="77" spans="1:6">
      <c r="A77" s="34" t="s">
        <v>1468</v>
      </c>
      <c r="B77" s="309">
        <f>B75/E71</f>
        <v>0.94213608897065459</v>
      </c>
      <c r="C77" t="s">
        <v>1387</v>
      </c>
    </row>
    <row r="78" spans="1:6">
      <c r="A78" t="s">
        <v>1469</v>
      </c>
      <c r="B78" s="1028">
        <f>E71-B74</f>
        <v>2.6756752678572111</v>
      </c>
      <c r="C78" t="s">
        <v>1378</v>
      </c>
    </row>
    <row r="80" spans="1:6">
      <c r="A80" s="1026" t="s">
        <v>1470</v>
      </c>
    </row>
    <row r="83" spans="1:4" ht="15.5">
      <c r="A83" s="1027" t="s">
        <v>1471</v>
      </c>
    </row>
    <row r="84" spans="1:4">
      <c r="A84" s="1013" t="s">
        <v>1472</v>
      </c>
    </row>
    <row r="86" spans="1:4">
      <c r="A86" s="1014" t="s">
        <v>1473</v>
      </c>
      <c r="B86" s="1014" t="s">
        <v>44</v>
      </c>
      <c r="C86" s="1014" t="s">
        <v>45</v>
      </c>
      <c r="D86" s="1014" t="s">
        <v>1376</v>
      </c>
    </row>
    <row r="87" spans="1:4">
      <c r="A87" t="s">
        <v>1455</v>
      </c>
      <c r="B87" s="1028">
        <f>B69</f>
        <v>0.32</v>
      </c>
      <c r="C87" s="1028">
        <f>B70</f>
        <v>0.93</v>
      </c>
      <c r="D87" s="1016" t="s">
        <v>1474</v>
      </c>
    </row>
    <row r="88" spans="1:4">
      <c r="A88" t="s">
        <v>1333</v>
      </c>
      <c r="B88" s="1024">
        <f>'Availabilities EU Austria'!AG13</f>
        <v>0.13</v>
      </c>
      <c r="C88" s="1024">
        <f>'Availabilities EU Austria'!AG23</f>
        <v>0.13</v>
      </c>
      <c r="D88" t="s">
        <v>1475</v>
      </c>
    </row>
    <row r="89" spans="1:4">
      <c r="A89" t="s">
        <v>977</v>
      </c>
      <c r="B89" s="1024">
        <f>'Availabilities EU Austria'!AG15</f>
        <v>6.1449125824018347E-2</v>
      </c>
      <c r="C89" s="1024">
        <f>'Availabilities EU Austria'!AG25</f>
        <v>6.0052554782563362E-2</v>
      </c>
      <c r="D89" t="s">
        <v>1476</v>
      </c>
    </row>
    <row r="90" spans="1:4">
      <c r="A90" t="s">
        <v>1477</v>
      </c>
      <c r="B90" s="1028">
        <v>0</v>
      </c>
      <c r="C90" s="1024">
        <f>'Availabilities EU Austria'!AG21</f>
        <v>0.22063346303182502</v>
      </c>
      <c r="D90" t="s">
        <v>1478</v>
      </c>
    </row>
    <row r="91" spans="1:4">
      <c r="A91" s="34" t="s">
        <v>1479</v>
      </c>
      <c r="B91" s="1029">
        <f>SUM(B88:B90)</f>
        <v>0.19144912582401835</v>
      </c>
      <c r="C91" s="1029">
        <f>SUM(C88:C90)</f>
        <v>0.4106860178143884</v>
      </c>
    </row>
    <row r="92" spans="1:4">
      <c r="A92" t="s">
        <v>1480</v>
      </c>
      <c r="B92" s="1028">
        <f>MAX(0,B87-B91)</f>
        <v>0.12855087417598166</v>
      </c>
      <c r="C92" s="1028">
        <f>MAX(0,C87-C91)</f>
        <v>0.51931398218561164</v>
      </c>
      <c r="D92" s="1016" t="s">
        <v>1481</v>
      </c>
    </row>
    <row r="93" spans="1:4">
      <c r="A93" t="s">
        <v>1394</v>
      </c>
      <c r="B93" s="1023">
        <f>D69</f>
        <v>6.1839773130095708</v>
      </c>
      <c r="C93" s="1023">
        <f>D70</f>
        <v>6.3277907388935146</v>
      </c>
      <c r="D93" t="s">
        <v>1482</v>
      </c>
    </row>
    <row r="94" spans="1:4">
      <c r="A94" s="34" t="s">
        <v>1456</v>
      </c>
      <c r="B94" s="1029">
        <f>B92*B93</f>
        <v>0.79495568947181849</v>
      </c>
      <c r="C94" s="1029">
        <f>C92*C93</f>
        <v>3.2861102070520252</v>
      </c>
      <c r="D94" t="s">
        <v>1378</v>
      </c>
    </row>
    <row r="95" spans="1:4">
      <c r="A95" s="34" t="s">
        <v>1483</v>
      </c>
      <c r="B95" s="1030">
        <f>B94+C94</f>
        <v>4.0810658965238433</v>
      </c>
      <c r="C95" t="s">
        <v>1378</v>
      </c>
      <c r="D95" t="str">
        <f>"vs. "&amp;TEXT(E71,"0,000")&amp;" Mt in Abschnitt 6 (FPBO allein)"</f>
        <v>vs. 7,864 Mt in Abschnitt 6 (FPBO allein)</v>
      </c>
    </row>
    <row r="97" spans="1:2">
      <c r="A97" t="s">
        <v>1484</v>
      </c>
      <c r="B97" s="309">
        <f>B74/B95</f>
        <v>1.2712470200238308</v>
      </c>
    </row>
    <row r="98" spans="1:2">
      <c r="A98" t="s">
        <v>1485</v>
      </c>
      <c r="B98" s="309">
        <f>B75/B95</f>
        <v>1.8153817725816863</v>
      </c>
    </row>
    <row r="99" spans="1:2">
      <c r="A99" s="1026" t="s">
        <v>1486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67C2-8289-430B-A38A-1F26F7C8E322}">
  <sheetPr codeName="Tabelle4">
    <tabColor rgb="FFFFFF00"/>
  </sheetPr>
  <dimension ref="A1:R30"/>
  <sheetViews>
    <sheetView zoomScale="98" zoomScaleNormal="98" workbookViewId="0">
      <selection activeCell="P9" sqref="P9"/>
    </sheetView>
  </sheetViews>
  <sheetFormatPr baseColWidth="10" defaultRowHeight="17.5" customHeight="1"/>
  <cols>
    <col min="1" max="1" width="39.54296875" customWidth="1"/>
    <col min="2" max="2" width="34" customWidth="1"/>
    <col min="3" max="3" width="22.54296875" style="482" customWidth="1"/>
    <col min="4" max="17" width="5.81640625" style="6" customWidth="1"/>
    <col min="18" max="18" width="10.81640625" style="1"/>
  </cols>
  <sheetData>
    <row r="1" spans="1:18" s="34" customFormat="1" ht="145.5" customHeight="1">
      <c r="A1" s="34" t="s">
        <v>1022</v>
      </c>
      <c r="B1" s="34" t="s">
        <v>1021</v>
      </c>
      <c r="C1" s="491" t="s">
        <v>782</v>
      </c>
      <c r="D1" s="490" t="s">
        <v>1020</v>
      </c>
      <c r="E1" s="490" t="s">
        <v>1019</v>
      </c>
      <c r="F1" s="490" t="s">
        <v>1218</v>
      </c>
      <c r="G1" s="490" t="s">
        <v>1017</v>
      </c>
      <c r="H1" s="490" t="s">
        <v>1016</v>
      </c>
      <c r="I1" s="490" t="s">
        <v>1015</v>
      </c>
      <c r="J1" s="490" t="s">
        <v>1014</v>
      </c>
      <c r="K1" s="490" t="s">
        <v>1013</v>
      </c>
      <c r="L1" s="490" t="s">
        <v>1011</v>
      </c>
      <c r="M1" s="490" t="s">
        <v>1010</v>
      </c>
      <c r="N1" s="490" t="s">
        <v>1009</v>
      </c>
      <c r="O1" s="490" t="s">
        <v>1336</v>
      </c>
      <c r="P1" s="490" t="s">
        <v>1007</v>
      </c>
      <c r="Q1" s="490" t="s">
        <v>1351</v>
      </c>
      <c r="R1" s="492" t="s">
        <v>1027</v>
      </c>
    </row>
    <row r="2" spans="1:18" ht="17.5" customHeight="1">
      <c r="A2" t="s">
        <v>1001</v>
      </c>
      <c r="B2" t="s">
        <v>1003</v>
      </c>
      <c r="C2" s="482" t="s">
        <v>1002</v>
      </c>
      <c r="F2" s="6" t="s">
        <v>969</v>
      </c>
      <c r="H2" s="6" t="s">
        <v>969</v>
      </c>
      <c r="I2" s="6" t="s">
        <v>969</v>
      </c>
      <c r="L2" s="6" t="s">
        <v>969</v>
      </c>
      <c r="N2" s="6" t="s">
        <v>969</v>
      </c>
      <c r="P2" s="6" t="s">
        <v>969</v>
      </c>
      <c r="Q2" s="6" t="s">
        <v>1352</v>
      </c>
      <c r="R2" s="1">
        <f>COUNTA(D2:Q2)</f>
        <v>7</v>
      </c>
    </row>
    <row r="3" spans="1:18" ht="17.5" customHeight="1">
      <c r="A3" t="s">
        <v>1001</v>
      </c>
      <c r="B3" t="s">
        <v>264</v>
      </c>
      <c r="C3" s="482" t="s">
        <v>1000</v>
      </c>
      <c r="E3" s="6" t="s">
        <v>969</v>
      </c>
      <c r="R3" s="1">
        <f t="shared" ref="R3:R28" si="0">COUNTA(D3:Q3)</f>
        <v>1</v>
      </c>
    </row>
    <row r="4" spans="1:18" ht="17.5" customHeight="1">
      <c r="A4" t="s">
        <v>998</v>
      </c>
      <c r="B4" t="s">
        <v>276</v>
      </c>
      <c r="C4" s="482" t="s">
        <v>999</v>
      </c>
      <c r="F4" s="6" t="s">
        <v>969</v>
      </c>
      <c r="H4" s="6" t="s">
        <v>969</v>
      </c>
      <c r="I4" s="6" t="s">
        <v>969</v>
      </c>
      <c r="L4" s="6" t="s">
        <v>969</v>
      </c>
      <c r="N4" s="6" t="s">
        <v>969</v>
      </c>
      <c r="P4" s="6" t="s">
        <v>969</v>
      </c>
      <c r="Q4" s="6" t="s">
        <v>969</v>
      </c>
      <c r="R4" s="1">
        <f t="shared" si="0"/>
        <v>7</v>
      </c>
    </row>
    <row r="5" spans="1:18" ht="17.5" customHeight="1">
      <c r="A5" t="s">
        <v>998</v>
      </c>
      <c r="B5" t="s">
        <v>997</v>
      </c>
      <c r="C5" s="482" t="s">
        <v>881</v>
      </c>
      <c r="D5" s="6" t="s">
        <v>969</v>
      </c>
      <c r="E5" s="6" t="s">
        <v>969</v>
      </c>
      <c r="R5" s="1">
        <f t="shared" si="0"/>
        <v>2</v>
      </c>
    </row>
    <row r="6" spans="1:18" ht="17.5" customHeight="1">
      <c r="A6" t="s">
        <v>996</v>
      </c>
      <c r="B6" t="s">
        <v>293</v>
      </c>
      <c r="C6" s="482" t="s">
        <v>995</v>
      </c>
      <c r="I6" s="6" t="s">
        <v>969</v>
      </c>
      <c r="L6" s="6" t="s">
        <v>969</v>
      </c>
      <c r="N6" s="6" t="s">
        <v>969</v>
      </c>
      <c r="P6" s="6" t="s">
        <v>969</v>
      </c>
      <c r="Q6" s="6" t="s">
        <v>969</v>
      </c>
      <c r="R6" s="1">
        <f t="shared" si="0"/>
        <v>5</v>
      </c>
    </row>
    <row r="7" spans="1:18" ht="17.5" customHeight="1">
      <c r="A7" t="s">
        <v>994</v>
      </c>
      <c r="B7" t="s">
        <v>993</v>
      </c>
      <c r="E7" s="6" t="s">
        <v>969</v>
      </c>
      <c r="H7" s="6" t="s">
        <v>969</v>
      </c>
      <c r="R7" s="1">
        <f t="shared" si="0"/>
        <v>2</v>
      </c>
    </row>
    <row r="8" spans="1:18" ht="17.5" customHeight="1">
      <c r="A8" t="s">
        <v>990</v>
      </c>
      <c r="B8" t="s">
        <v>992</v>
      </c>
      <c r="C8" s="482" t="s">
        <v>273</v>
      </c>
      <c r="F8" s="6" t="s">
        <v>969</v>
      </c>
      <c r="H8" s="6" t="s">
        <v>969</v>
      </c>
      <c r="I8" s="6" t="s">
        <v>969</v>
      </c>
      <c r="L8" s="6" t="s">
        <v>969</v>
      </c>
      <c r="N8" s="6" t="s">
        <v>969</v>
      </c>
      <c r="P8" s="6" t="s">
        <v>969</v>
      </c>
      <c r="Q8" s="6" t="s">
        <v>969</v>
      </c>
      <c r="R8" s="1">
        <f t="shared" si="0"/>
        <v>7</v>
      </c>
    </row>
    <row r="9" spans="1:18" ht="17.5" customHeight="1">
      <c r="A9" t="s">
        <v>990</v>
      </c>
      <c r="B9" t="s">
        <v>290</v>
      </c>
      <c r="C9" s="482" t="s">
        <v>991</v>
      </c>
      <c r="H9" s="6" t="s">
        <v>969</v>
      </c>
      <c r="I9" s="6" t="s">
        <v>969</v>
      </c>
      <c r="L9" s="6" t="s">
        <v>969</v>
      </c>
      <c r="N9" s="6" t="s">
        <v>969</v>
      </c>
      <c r="P9" s="6" t="s">
        <v>969</v>
      </c>
      <c r="Q9" s="6" t="s">
        <v>969</v>
      </c>
      <c r="R9" s="1">
        <f t="shared" si="0"/>
        <v>6</v>
      </c>
    </row>
    <row r="10" spans="1:18" ht="17.5" customHeight="1">
      <c r="A10" t="s">
        <v>990</v>
      </c>
      <c r="B10" t="s">
        <v>283</v>
      </c>
      <c r="C10" s="482" t="s">
        <v>284</v>
      </c>
      <c r="H10" s="6" t="s">
        <v>969</v>
      </c>
      <c r="R10" s="1">
        <f t="shared" si="0"/>
        <v>1</v>
      </c>
    </row>
    <row r="11" spans="1:18" ht="28.5" customHeight="1">
      <c r="A11" t="s">
        <v>986</v>
      </c>
      <c r="B11" t="s">
        <v>281</v>
      </c>
      <c r="C11" s="482" t="s">
        <v>989</v>
      </c>
      <c r="H11" s="6" t="s">
        <v>969</v>
      </c>
      <c r="R11" s="1">
        <f t="shared" si="0"/>
        <v>1</v>
      </c>
    </row>
    <row r="12" spans="1:18" ht="17.5" customHeight="1">
      <c r="A12" t="s">
        <v>986</v>
      </c>
      <c r="B12" t="s">
        <v>988</v>
      </c>
      <c r="C12" s="482">
        <v>4217</v>
      </c>
      <c r="H12" s="6" t="s">
        <v>969</v>
      </c>
      <c r="R12" s="1">
        <f t="shared" si="0"/>
        <v>1</v>
      </c>
    </row>
    <row r="13" spans="1:18" ht="17.5" customHeight="1">
      <c r="A13" t="s">
        <v>986</v>
      </c>
      <c r="B13" t="s">
        <v>987</v>
      </c>
      <c r="C13" s="482">
        <v>4204</v>
      </c>
      <c r="I13" s="6" t="s">
        <v>969</v>
      </c>
      <c r="L13" s="6" t="s">
        <v>969</v>
      </c>
      <c r="N13" s="6" t="s">
        <v>969</v>
      </c>
      <c r="P13" s="6" t="s">
        <v>969</v>
      </c>
      <c r="Q13" s="6" t="s">
        <v>969</v>
      </c>
      <c r="R13" s="1">
        <f t="shared" si="0"/>
        <v>5</v>
      </c>
    </row>
    <row r="14" spans="1:18" ht="17.5" customHeight="1">
      <c r="A14" t="s">
        <v>986</v>
      </c>
      <c r="B14" t="s">
        <v>193</v>
      </c>
      <c r="C14" s="482" t="s">
        <v>854</v>
      </c>
      <c r="D14" s="6" t="s">
        <v>969</v>
      </c>
      <c r="E14" s="6" t="s">
        <v>969</v>
      </c>
      <c r="R14" s="1">
        <f t="shared" si="0"/>
        <v>2</v>
      </c>
    </row>
    <row r="15" spans="1:18" ht="17.5" customHeight="1">
      <c r="A15" t="s">
        <v>984</v>
      </c>
      <c r="B15" t="s">
        <v>985</v>
      </c>
      <c r="C15" s="482">
        <v>413201</v>
      </c>
      <c r="E15" s="6" t="s">
        <v>969</v>
      </c>
      <c r="R15" s="1">
        <f t="shared" si="0"/>
        <v>1</v>
      </c>
    </row>
    <row r="16" spans="1:18" ht="17.5" customHeight="1">
      <c r="A16" t="s">
        <v>984</v>
      </c>
      <c r="B16" t="s">
        <v>270</v>
      </c>
      <c r="C16" s="482" t="s">
        <v>271</v>
      </c>
      <c r="F16" s="6" t="s">
        <v>969</v>
      </c>
      <c r="I16" s="6" t="s">
        <v>969</v>
      </c>
      <c r="L16" s="6" t="s">
        <v>969</v>
      </c>
      <c r="N16" s="6" t="s">
        <v>969</v>
      </c>
      <c r="P16" s="6" t="s">
        <v>969</v>
      </c>
      <c r="Q16" s="6" t="s">
        <v>969</v>
      </c>
      <c r="R16" s="1">
        <f t="shared" si="0"/>
        <v>6</v>
      </c>
    </row>
    <row r="17" spans="1:18" ht="17.5" customHeight="1">
      <c r="A17" t="s">
        <v>980</v>
      </c>
      <c r="B17" t="s">
        <v>983</v>
      </c>
      <c r="C17" s="482" t="s">
        <v>982</v>
      </c>
      <c r="D17" s="6" t="s">
        <v>969</v>
      </c>
      <c r="E17" s="6" t="s">
        <v>969</v>
      </c>
      <c r="R17" s="1">
        <f t="shared" si="0"/>
        <v>2</v>
      </c>
    </row>
    <row r="18" spans="1:18" ht="17.5" customHeight="1">
      <c r="A18" t="s">
        <v>980</v>
      </c>
      <c r="B18" t="s">
        <v>285</v>
      </c>
      <c r="C18" s="489">
        <v>5108</v>
      </c>
      <c r="H18" s="6" t="s">
        <v>969</v>
      </c>
      <c r="I18" s="6" t="s">
        <v>969</v>
      </c>
      <c r="L18" s="6" t="s">
        <v>969</v>
      </c>
      <c r="N18" s="6" t="s">
        <v>969</v>
      </c>
      <c r="R18" s="1">
        <f>COUNTA(D18:Q18)</f>
        <v>4</v>
      </c>
    </row>
    <row r="19" spans="1:18" ht="17.5" customHeight="1">
      <c r="A19" t="s">
        <v>980</v>
      </c>
      <c r="B19" t="s">
        <v>793</v>
      </c>
      <c r="C19" s="482" t="s">
        <v>981</v>
      </c>
      <c r="H19" s="6" t="s">
        <v>969</v>
      </c>
      <c r="R19" s="1">
        <f t="shared" si="0"/>
        <v>1</v>
      </c>
    </row>
    <row r="20" spans="1:18" ht="17.5" customHeight="1">
      <c r="A20" t="s">
        <v>980</v>
      </c>
      <c r="B20" t="s">
        <v>979</v>
      </c>
      <c r="C20" s="482" t="s">
        <v>978</v>
      </c>
      <c r="I20" s="6" t="s">
        <v>969</v>
      </c>
      <c r="L20" s="6" t="s">
        <v>969</v>
      </c>
      <c r="N20" s="6" t="s">
        <v>969</v>
      </c>
      <c r="P20" s="6" t="s">
        <v>969</v>
      </c>
      <c r="Q20" s="6" t="s">
        <v>969</v>
      </c>
      <c r="R20" s="1">
        <f t="shared" si="0"/>
        <v>5</v>
      </c>
    </row>
    <row r="21" spans="1:18" ht="17.5" customHeight="1">
      <c r="A21" t="s">
        <v>973</v>
      </c>
      <c r="B21" t="s">
        <v>977</v>
      </c>
      <c r="E21" s="6" t="s">
        <v>969</v>
      </c>
      <c r="R21" s="1">
        <f t="shared" si="0"/>
        <v>1</v>
      </c>
    </row>
    <row r="22" spans="1:18" ht="17.5" customHeight="1">
      <c r="A22" t="s">
        <v>973</v>
      </c>
      <c r="B22" t="s">
        <v>368</v>
      </c>
      <c r="E22" s="6" t="s">
        <v>969</v>
      </c>
      <c r="I22" s="6" t="s">
        <v>969</v>
      </c>
      <c r="L22" s="6" t="s">
        <v>969</v>
      </c>
      <c r="N22" s="6" t="s">
        <v>969</v>
      </c>
      <c r="R22" s="1">
        <f t="shared" si="0"/>
        <v>4</v>
      </c>
    </row>
    <row r="23" spans="1:18" ht="17.5" customHeight="1">
      <c r="A23" t="s">
        <v>973</v>
      </c>
      <c r="B23" t="s">
        <v>976</v>
      </c>
      <c r="R23" s="1">
        <f t="shared" si="0"/>
        <v>0</v>
      </c>
    </row>
    <row r="24" spans="1:18" ht="17.5" customHeight="1">
      <c r="A24" t="s">
        <v>973</v>
      </c>
      <c r="B24" t="s">
        <v>975</v>
      </c>
      <c r="G24" s="6" t="s">
        <v>969</v>
      </c>
      <c r="R24" s="1">
        <f t="shared" si="0"/>
        <v>1</v>
      </c>
    </row>
    <row r="25" spans="1:18" ht="17.5" customHeight="1">
      <c r="A25" t="s">
        <v>973</v>
      </c>
      <c r="B25" t="s">
        <v>50</v>
      </c>
      <c r="J25" s="6" t="s">
        <v>969</v>
      </c>
      <c r="R25" s="1">
        <f t="shared" si="0"/>
        <v>1</v>
      </c>
    </row>
    <row r="26" spans="1:18" ht="17.5" customHeight="1">
      <c r="A26" t="s">
        <v>973</v>
      </c>
      <c r="B26" t="s">
        <v>974</v>
      </c>
      <c r="D26" s="488"/>
      <c r="E26" s="487"/>
      <c r="F26" s="487"/>
      <c r="R26" s="1">
        <f t="shared" si="0"/>
        <v>0</v>
      </c>
    </row>
    <row r="27" spans="1:18" ht="17.5" customHeight="1">
      <c r="A27" t="s">
        <v>973</v>
      </c>
      <c r="B27" t="s">
        <v>972</v>
      </c>
      <c r="O27" s="6" t="s">
        <v>969</v>
      </c>
      <c r="R27" s="1">
        <f t="shared" si="0"/>
        <v>1</v>
      </c>
    </row>
    <row r="28" spans="1:18" ht="17.5" customHeight="1">
      <c r="A28" t="s">
        <v>971</v>
      </c>
      <c r="B28" t="s">
        <v>970</v>
      </c>
      <c r="K28" s="6" t="s">
        <v>969</v>
      </c>
      <c r="M28" s="6" t="s">
        <v>969</v>
      </c>
      <c r="R28" s="1">
        <f t="shared" si="0"/>
        <v>2</v>
      </c>
    </row>
    <row r="29" spans="1:18" s="483" customFormat="1" ht="17.5" customHeight="1" thickBot="1">
      <c r="C29" s="486"/>
      <c r="D29" s="485">
        <f t="shared" ref="D29:P29" si="1">COUNTA(D2:D28)</f>
        <v>3</v>
      </c>
      <c r="E29" s="485">
        <f t="shared" si="1"/>
        <v>8</v>
      </c>
      <c r="F29" s="485"/>
      <c r="G29" s="485">
        <f t="shared" si="1"/>
        <v>1</v>
      </c>
      <c r="H29" s="485">
        <f t="shared" si="1"/>
        <v>10</v>
      </c>
      <c r="I29" s="485">
        <f t="shared" si="1"/>
        <v>10</v>
      </c>
      <c r="J29" s="485">
        <f t="shared" si="1"/>
        <v>1</v>
      </c>
      <c r="K29" s="485">
        <f t="shared" si="1"/>
        <v>1</v>
      </c>
      <c r="L29" s="485">
        <f t="shared" si="1"/>
        <v>10</v>
      </c>
      <c r="M29" s="485"/>
      <c r="N29" s="485"/>
      <c r="O29" s="485"/>
      <c r="P29" s="485">
        <f t="shared" si="1"/>
        <v>8</v>
      </c>
      <c r="Q29" s="485"/>
      <c r="R29" s="493"/>
    </row>
    <row r="30" spans="1:18" ht="17.5" customHeight="1" thickTop="1"/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A6E1-5E85-404C-95EB-4792E631080B}">
  <sheetPr codeName="Tabelle9">
    <tabColor rgb="FFFFC000"/>
  </sheetPr>
  <dimension ref="A1:T30"/>
  <sheetViews>
    <sheetView zoomScale="70" zoomScaleNormal="70" workbookViewId="0">
      <selection activeCell="T9" sqref="T9"/>
    </sheetView>
  </sheetViews>
  <sheetFormatPr baseColWidth="10" defaultRowHeight="17.5" customHeight="1"/>
  <cols>
    <col min="1" max="1" width="39.54296875" customWidth="1"/>
    <col min="2" max="2" width="34" customWidth="1"/>
    <col min="3" max="3" width="22.54296875" style="482" customWidth="1"/>
    <col min="4" max="11" width="5.81640625" style="6" customWidth="1"/>
    <col min="12" max="12" width="5.81640625" style="6" hidden="1" customWidth="1"/>
    <col min="13" max="18" width="5.81640625" style="6" customWidth="1"/>
    <col min="19" max="19" width="5.81640625" style="6" hidden="1" customWidth="1"/>
    <col min="20" max="20" width="10.81640625" style="111"/>
  </cols>
  <sheetData>
    <row r="1" spans="1:20" s="34" customFormat="1" ht="145.5" customHeight="1">
      <c r="A1" s="34" t="s">
        <v>1022</v>
      </c>
      <c r="B1" s="34" t="s">
        <v>1021</v>
      </c>
      <c r="C1" s="491" t="s">
        <v>782</v>
      </c>
      <c r="D1" s="490" t="s">
        <v>1020</v>
      </c>
      <c r="E1" s="490" t="s">
        <v>1019</v>
      </c>
      <c r="F1" s="490" t="s">
        <v>1018</v>
      </c>
      <c r="G1" s="490" t="s">
        <v>1017</v>
      </c>
      <c r="H1" s="490" t="s">
        <v>1016</v>
      </c>
      <c r="I1" s="490" t="s">
        <v>1015</v>
      </c>
      <c r="J1" s="490" t="s">
        <v>1014</v>
      </c>
      <c r="K1" s="490" t="s">
        <v>1013</v>
      </c>
      <c r="L1" s="490" t="s">
        <v>1012</v>
      </c>
      <c r="M1" s="490" t="s">
        <v>1011</v>
      </c>
      <c r="N1" s="490" t="s">
        <v>1010</v>
      </c>
      <c r="O1" s="490" t="s">
        <v>1009</v>
      </c>
      <c r="P1" s="490" t="s">
        <v>1008</v>
      </c>
      <c r="Q1" s="490" t="s">
        <v>1007</v>
      </c>
      <c r="R1" s="490" t="s">
        <v>1006</v>
      </c>
      <c r="S1" s="490" t="s">
        <v>1005</v>
      </c>
      <c r="T1" s="492" t="s">
        <v>1004</v>
      </c>
    </row>
    <row r="2" spans="1:20" ht="17.5" customHeight="1">
      <c r="A2" t="s">
        <v>1001</v>
      </c>
      <c r="B2" t="s">
        <v>1003</v>
      </c>
      <c r="C2" s="482" t="s">
        <v>1002</v>
      </c>
      <c r="F2" s="6" t="s">
        <v>969</v>
      </c>
      <c r="H2" s="6" t="s">
        <v>969</v>
      </c>
      <c r="I2" s="6" t="s">
        <v>969</v>
      </c>
      <c r="M2" s="6" t="s">
        <v>969</v>
      </c>
      <c r="O2" s="6" t="s">
        <v>969</v>
      </c>
      <c r="Q2" s="6" t="s">
        <v>969</v>
      </c>
      <c r="R2" s="6" t="s">
        <v>969</v>
      </c>
      <c r="S2" s="6" t="s">
        <v>969</v>
      </c>
      <c r="T2" s="1">
        <f>COUNTA(D2:R2)</f>
        <v>7</v>
      </c>
    </row>
    <row r="3" spans="1:20" ht="17.5" customHeight="1">
      <c r="A3" t="s">
        <v>1001</v>
      </c>
      <c r="B3" t="s">
        <v>264</v>
      </c>
      <c r="C3" s="482" t="s">
        <v>1000</v>
      </c>
      <c r="D3" s="6" t="s">
        <v>969</v>
      </c>
      <c r="E3" s="6" t="s">
        <v>969</v>
      </c>
      <c r="T3" s="1">
        <f t="shared" ref="T3:T28" si="0">COUNTA(D3:R3)</f>
        <v>2</v>
      </c>
    </row>
    <row r="4" spans="1:20" ht="17.5" customHeight="1">
      <c r="A4" t="s">
        <v>998</v>
      </c>
      <c r="B4" t="s">
        <v>276</v>
      </c>
      <c r="C4" s="482" t="s">
        <v>999</v>
      </c>
      <c r="F4" s="6" t="s">
        <v>969</v>
      </c>
      <c r="H4" s="6" t="s">
        <v>969</v>
      </c>
      <c r="I4" s="6" t="s">
        <v>969</v>
      </c>
      <c r="M4" s="6" t="s">
        <v>969</v>
      </c>
      <c r="O4" s="6" t="s">
        <v>969</v>
      </c>
      <c r="Q4" s="6" t="s">
        <v>969</v>
      </c>
      <c r="R4" s="6" t="s">
        <v>969</v>
      </c>
      <c r="S4" s="6" t="s">
        <v>969</v>
      </c>
      <c r="T4" s="1">
        <f t="shared" si="0"/>
        <v>7</v>
      </c>
    </row>
    <row r="5" spans="1:20" ht="17.5" customHeight="1">
      <c r="A5" t="s">
        <v>998</v>
      </c>
      <c r="B5" t="s">
        <v>997</v>
      </c>
      <c r="C5" s="482" t="s">
        <v>881</v>
      </c>
      <c r="D5" s="6" t="s">
        <v>969</v>
      </c>
      <c r="E5" s="6" t="s">
        <v>969</v>
      </c>
      <c r="T5" s="1">
        <f t="shared" si="0"/>
        <v>2</v>
      </c>
    </row>
    <row r="6" spans="1:20" ht="17.5" customHeight="1">
      <c r="A6" t="s">
        <v>996</v>
      </c>
      <c r="B6" t="s">
        <v>293</v>
      </c>
      <c r="C6" s="482" t="s">
        <v>995</v>
      </c>
      <c r="I6" s="6" t="s">
        <v>969</v>
      </c>
      <c r="M6" s="6" t="s">
        <v>969</v>
      </c>
      <c r="O6" s="6" t="s">
        <v>969</v>
      </c>
      <c r="Q6" s="6" t="s">
        <v>969</v>
      </c>
      <c r="R6" s="6" t="s">
        <v>969</v>
      </c>
      <c r="S6" s="6" t="s">
        <v>969</v>
      </c>
      <c r="T6" s="1">
        <f t="shared" si="0"/>
        <v>5</v>
      </c>
    </row>
    <row r="7" spans="1:20" ht="17.5" customHeight="1">
      <c r="A7" t="s">
        <v>994</v>
      </c>
      <c r="B7" t="s">
        <v>993</v>
      </c>
      <c r="E7" s="6" t="s">
        <v>969</v>
      </c>
      <c r="H7" s="6" t="s">
        <v>969</v>
      </c>
      <c r="S7" s="6" t="s">
        <v>969</v>
      </c>
      <c r="T7" s="1">
        <f t="shared" si="0"/>
        <v>2</v>
      </c>
    </row>
    <row r="8" spans="1:20" ht="17.5" customHeight="1">
      <c r="A8" t="s">
        <v>990</v>
      </c>
      <c r="B8" t="s">
        <v>992</v>
      </c>
      <c r="C8" s="482" t="s">
        <v>273</v>
      </c>
      <c r="F8" s="6" t="s">
        <v>969</v>
      </c>
      <c r="H8" s="6" t="s">
        <v>969</v>
      </c>
      <c r="I8" s="6" t="s">
        <v>969</v>
      </c>
      <c r="M8" s="6" t="s">
        <v>969</v>
      </c>
      <c r="O8" s="6" t="s">
        <v>969</v>
      </c>
      <c r="Q8" s="6" t="s">
        <v>969</v>
      </c>
      <c r="R8" s="6" t="s">
        <v>969</v>
      </c>
      <c r="T8" s="1">
        <f t="shared" si="0"/>
        <v>7</v>
      </c>
    </row>
    <row r="9" spans="1:20" s="886" customFormat="1" ht="17.5" customHeight="1">
      <c r="A9" s="886" t="s">
        <v>990</v>
      </c>
      <c r="B9" s="886" t="s">
        <v>290</v>
      </c>
      <c r="C9" s="958" t="s">
        <v>991</v>
      </c>
      <c r="D9" s="959"/>
      <c r="E9" s="959"/>
      <c r="F9" s="959"/>
      <c r="G9" s="959"/>
      <c r="H9" s="959" t="s">
        <v>969</v>
      </c>
      <c r="I9" s="959" t="s">
        <v>969</v>
      </c>
      <c r="J9" s="959"/>
      <c r="K9" s="959"/>
      <c r="L9" s="959"/>
      <c r="M9" s="959" t="s">
        <v>969</v>
      </c>
      <c r="N9" s="959"/>
      <c r="O9" s="959" t="s">
        <v>969</v>
      </c>
      <c r="P9" s="959"/>
      <c r="Q9" s="959" t="s">
        <v>969</v>
      </c>
      <c r="R9" s="959" t="s">
        <v>969</v>
      </c>
      <c r="S9" s="959" t="s">
        <v>969</v>
      </c>
      <c r="T9" s="960">
        <f t="shared" si="0"/>
        <v>6</v>
      </c>
    </row>
    <row r="10" spans="1:20" ht="17.5" customHeight="1">
      <c r="A10" t="s">
        <v>990</v>
      </c>
      <c r="B10" t="s">
        <v>283</v>
      </c>
      <c r="C10" s="482" t="s">
        <v>284</v>
      </c>
      <c r="H10" s="6" t="s">
        <v>969</v>
      </c>
      <c r="T10" s="1">
        <f t="shared" si="0"/>
        <v>1</v>
      </c>
    </row>
    <row r="11" spans="1:20" ht="26" customHeight="1">
      <c r="A11" t="s">
        <v>986</v>
      </c>
      <c r="B11" t="s">
        <v>281</v>
      </c>
      <c r="C11" s="482" t="s">
        <v>989</v>
      </c>
      <c r="H11" s="6" t="s">
        <v>969</v>
      </c>
      <c r="T11" s="1">
        <f t="shared" si="0"/>
        <v>1</v>
      </c>
    </row>
    <row r="12" spans="1:20" ht="17.5" customHeight="1">
      <c r="A12" t="s">
        <v>986</v>
      </c>
      <c r="B12" t="s">
        <v>988</v>
      </c>
      <c r="C12" s="482">
        <v>4217</v>
      </c>
      <c r="H12" s="6" t="s">
        <v>969</v>
      </c>
      <c r="T12" s="1">
        <f t="shared" si="0"/>
        <v>1</v>
      </c>
    </row>
    <row r="13" spans="1:20" ht="17.5" customHeight="1">
      <c r="A13" t="s">
        <v>986</v>
      </c>
      <c r="B13" t="s">
        <v>987</v>
      </c>
      <c r="C13" s="482">
        <v>4204</v>
      </c>
      <c r="I13" s="6" t="s">
        <v>969</v>
      </c>
      <c r="M13" s="6" t="s">
        <v>969</v>
      </c>
      <c r="O13" s="6" t="s">
        <v>969</v>
      </c>
      <c r="Q13" s="6" t="s">
        <v>969</v>
      </c>
      <c r="R13" s="6" t="s">
        <v>969</v>
      </c>
      <c r="S13" s="6" t="s">
        <v>969</v>
      </c>
      <c r="T13" s="1">
        <f t="shared" si="0"/>
        <v>5</v>
      </c>
    </row>
    <row r="14" spans="1:20" ht="17.5" customHeight="1">
      <c r="A14" t="s">
        <v>986</v>
      </c>
      <c r="B14" t="s">
        <v>193</v>
      </c>
      <c r="C14" s="482" t="s">
        <v>854</v>
      </c>
      <c r="D14" s="6" t="s">
        <v>969</v>
      </c>
      <c r="E14" s="6" t="s">
        <v>969</v>
      </c>
      <c r="T14" s="1">
        <f t="shared" si="0"/>
        <v>2</v>
      </c>
    </row>
    <row r="15" spans="1:20" ht="17.5" customHeight="1">
      <c r="A15" t="s">
        <v>984</v>
      </c>
      <c r="B15" t="s">
        <v>985</v>
      </c>
      <c r="C15" s="482">
        <v>413201</v>
      </c>
      <c r="E15" s="6" t="s">
        <v>969</v>
      </c>
      <c r="T15" s="1">
        <f t="shared" si="0"/>
        <v>1</v>
      </c>
    </row>
    <row r="16" spans="1:20" ht="17.5" customHeight="1">
      <c r="A16" t="s">
        <v>984</v>
      </c>
      <c r="B16" t="s">
        <v>270</v>
      </c>
      <c r="C16" s="482" t="s">
        <v>271</v>
      </c>
      <c r="F16" s="6" t="s">
        <v>969</v>
      </c>
      <c r="I16" s="6" t="s">
        <v>969</v>
      </c>
      <c r="M16" s="6" t="s">
        <v>969</v>
      </c>
      <c r="O16" s="6" t="s">
        <v>969</v>
      </c>
      <c r="Q16" s="6" t="s">
        <v>969</v>
      </c>
      <c r="R16" s="6" t="s">
        <v>969</v>
      </c>
      <c r="S16" s="6" t="s">
        <v>969</v>
      </c>
      <c r="T16" s="1">
        <f t="shared" si="0"/>
        <v>6</v>
      </c>
    </row>
    <row r="17" spans="1:20" ht="17.5" customHeight="1">
      <c r="A17" t="s">
        <v>980</v>
      </c>
      <c r="B17" t="s">
        <v>983</v>
      </c>
      <c r="C17" s="482" t="s">
        <v>982</v>
      </c>
      <c r="D17" s="6" t="s">
        <v>969</v>
      </c>
      <c r="E17" s="6" t="s">
        <v>969</v>
      </c>
      <c r="T17" s="1">
        <f t="shared" si="0"/>
        <v>2</v>
      </c>
    </row>
    <row r="18" spans="1:20" ht="17.5" customHeight="1">
      <c r="A18" t="s">
        <v>980</v>
      </c>
      <c r="B18" t="s">
        <v>285</v>
      </c>
      <c r="C18" s="489">
        <v>5108</v>
      </c>
      <c r="H18" s="6" t="s">
        <v>969</v>
      </c>
      <c r="I18" s="6" t="s">
        <v>969</v>
      </c>
      <c r="M18" s="6" t="s">
        <v>969</v>
      </c>
      <c r="O18" s="6" t="s">
        <v>969</v>
      </c>
      <c r="T18" s="1">
        <f t="shared" si="0"/>
        <v>4</v>
      </c>
    </row>
    <row r="19" spans="1:20" ht="17.5" customHeight="1">
      <c r="A19" t="s">
        <v>980</v>
      </c>
      <c r="B19" t="s">
        <v>793</v>
      </c>
      <c r="C19" s="482" t="s">
        <v>981</v>
      </c>
      <c r="H19" s="6" t="s">
        <v>969</v>
      </c>
      <c r="T19" s="1">
        <f t="shared" si="0"/>
        <v>1</v>
      </c>
    </row>
    <row r="20" spans="1:20" ht="17.5" customHeight="1">
      <c r="A20" t="s">
        <v>980</v>
      </c>
      <c r="B20" t="s">
        <v>979</v>
      </c>
      <c r="C20" s="482" t="s">
        <v>978</v>
      </c>
      <c r="I20" s="6" t="s">
        <v>969</v>
      </c>
      <c r="M20" s="6" t="s">
        <v>969</v>
      </c>
      <c r="O20" s="6" t="s">
        <v>969</v>
      </c>
      <c r="Q20" s="6" t="s">
        <v>969</v>
      </c>
      <c r="R20" s="6" t="s">
        <v>969</v>
      </c>
      <c r="S20" s="6" t="s">
        <v>969</v>
      </c>
      <c r="T20" s="1">
        <f t="shared" si="0"/>
        <v>5</v>
      </c>
    </row>
    <row r="21" spans="1:20" ht="17.5" customHeight="1">
      <c r="A21" t="s">
        <v>973</v>
      </c>
      <c r="B21" t="s">
        <v>977</v>
      </c>
      <c r="E21" s="6" t="s">
        <v>969</v>
      </c>
      <c r="T21" s="1">
        <f t="shared" si="0"/>
        <v>1</v>
      </c>
    </row>
    <row r="22" spans="1:20" ht="17.5" customHeight="1">
      <c r="A22" t="s">
        <v>973</v>
      </c>
      <c r="B22" t="s">
        <v>368</v>
      </c>
      <c r="E22" s="6" t="s">
        <v>969</v>
      </c>
      <c r="I22" s="6" t="s">
        <v>969</v>
      </c>
      <c r="M22" s="6" t="s">
        <v>969</v>
      </c>
      <c r="O22" s="6" t="s">
        <v>969</v>
      </c>
      <c r="T22" s="1">
        <f t="shared" si="0"/>
        <v>4</v>
      </c>
    </row>
    <row r="23" spans="1:20" ht="17.5" customHeight="1">
      <c r="A23" t="s">
        <v>973</v>
      </c>
      <c r="B23" t="s">
        <v>976</v>
      </c>
      <c r="T23" s="1">
        <f t="shared" si="0"/>
        <v>0</v>
      </c>
    </row>
    <row r="24" spans="1:20" ht="17.5" customHeight="1">
      <c r="A24" t="s">
        <v>973</v>
      </c>
      <c r="B24" t="s">
        <v>975</v>
      </c>
      <c r="G24" s="6" t="s">
        <v>969</v>
      </c>
      <c r="T24" s="1">
        <f t="shared" si="0"/>
        <v>1</v>
      </c>
    </row>
    <row r="25" spans="1:20" ht="17.5" customHeight="1">
      <c r="A25" t="s">
        <v>973</v>
      </c>
      <c r="B25" t="s">
        <v>50</v>
      </c>
      <c r="J25" s="6" t="s">
        <v>969</v>
      </c>
      <c r="T25" s="1">
        <f t="shared" si="0"/>
        <v>1</v>
      </c>
    </row>
    <row r="26" spans="1:20" ht="17.5" customHeight="1">
      <c r="A26" t="s">
        <v>973</v>
      </c>
      <c r="B26" t="s">
        <v>974</v>
      </c>
      <c r="D26" s="488"/>
      <c r="E26" s="487"/>
      <c r="L26" s="6" t="s">
        <v>969</v>
      </c>
      <c r="T26" s="1">
        <f t="shared" si="0"/>
        <v>1</v>
      </c>
    </row>
    <row r="27" spans="1:20" ht="17.5" customHeight="1">
      <c r="A27" t="s">
        <v>973</v>
      </c>
      <c r="B27" t="s">
        <v>972</v>
      </c>
      <c r="P27" s="6" t="s">
        <v>969</v>
      </c>
      <c r="T27" s="1">
        <f t="shared" si="0"/>
        <v>1</v>
      </c>
    </row>
    <row r="28" spans="1:20" ht="17.5" customHeight="1">
      <c r="A28" t="s">
        <v>971</v>
      </c>
      <c r="B28" t="s">
        <v>970</v>
      </c>
      <c r="K28" s="6" t="s">
        <v>969</v>
      </c>
      <c r="N28" s="6" t="s">
        <v>969</v>
      </c>
      <c r="T28" s="1">
        <f t="shared" si="0"/>
        <v>2</v>
      </c>
    </row>
    <row r="29" spans="1:20" s="483" customFormat="1" ht="17.5" customHeight="1" thickBot="1">
      <c r="C29" s="486"/>
      <c r="D29" s="485">
        <f t="shared" ref="D29:S29" si="1">COUNTA(D2:D28)</f>
        <v>4</v>
      </c>
      <c r="E29" s="485">
        <f t="shared" si="1"/>
        <v>8</v>
      </c>
      <c r="F29" s="485">
        <f t="shared" si="1"/>
        <v>4</v>
      </c>
      <c r="G29" s="485">
        <f t="shared" si="1"/>
        <v>1</v>
      </c>
      <c r="H29" s="485">
        <f t="shared" si="1"/>
        <v>10</v>
      </c>
      <c r="I29" s="485">
        <f t="shared" si="1"/>
        <v>10</v>
      </c>
      <c r="J29" s="485">
        <f t="shared" si="1"/>
        <v>1</v>
      </c>
      <c r="K29" s="485">
        <f t="shared" si="1"/>
        <v>1</v>
      </c>
      <c r="L29" s="485">
        <f t="shared" si="1"/>
        <v>1</v>
      </c>
      <c r="M29" s="485">
        <f t="shared" si="1"/>
        <v>10</v>
      </c>
      <c r="N29" s="485">
        <f t="shared" si="1"/>
        <v>1</v>
      </c>
      <c r="O29" s="485">
        <f t="shared" si="1"/>
        <v>10</v>
      </c>
      <c r="P29" s="485">
        <f t="shared" si="1"/>
        <v>1</v>
      </c>
      <c r="Q29" s="485">
        <f t="shared" si="1"/>
        <v>8</v>
      </c>
      <c r="R29" s="485">
        <f t="shared" si="1"/>
        <v>8</v>
      </c>
      <c r="S29" s="485">
        <f t="shared" si="1"/>
        <v>8</v>
      </c>
      <c r="T29" s="484"/>
    </row>
    <row r="30" spans="1:20" ht="17.5" customHeight="1" thickTop="1"/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95DD-8F4C-4285-8271-E1175A1E1E19}">
  <sheetPr codeName="Tabelle6"/>
  <dimension ref="A1:M89"/>
  <sheetViews>
    <sheetView topLeftCell="A68" zoomScaleNormal="100" workbookViewId="0">
      <selection activeCell="B60" sqref="B60:B61"/>
    </sheetView>
  </sheetViews>
  <sheetFormatPr baseColWidth="10" defaultRowHeight="14.5"/>
  <cols>
    <col min="1" max="2" width="29.1796875" customWidth="1"/>
    <col min="3" max="3" width="29" customWidth="1"/>
    <col min="4" max="4" width="29.26953125" customWidth="1"/>
    <col min="5" max="5" width="23.453125" customWidth="1"/>
    <col min="6" max="7" width="23.54296875" customWidth="1"/>
    <col min="8" max="8" width="24.54296875" customWidth="1"/>
    <col min="9" max="11" width="23.1796875" customWidth="1"/>
    <col min="12" max="12" width="21.26953125" customWidth="1"/>
  </cols>
  <sheetData>
    <row r="1" spans="1:13" s="646" customFormat="1">
      <c r="H1"/>
      <c r="I1"/>
      <c r="J1"/>
      <c r="K1"/>
      <c r="L1"/>
      <c r="M1"/>
    </row>
    <row r="2" spans="1:13">
      <c r="A2" s="646" t="s">
        <v>1254</v>
      </c>
      <c r="B2" s="646"/>
      <c r="C2" s="646"/>
      <c r="D2" s="646"/>
      <c r="E2" s="646"/>
      <c r="F2" s="646"/>
      <c r="G2" s="646"/>
    </row>
    <row r="3" spans="1:13">
      <c r="A3" s="63" t="s">
        <v>1122</v>
      </c>
      <c r="B3" s="63"/>
      <c r="C3" s="30" t="s">
        <v>1123</v>
      </c>
      <c r="D3" s="30" t="s">
        <v>1124</v>
      </c>
      <c r="E3" s="70" t="s">
        <v>1127</v>
      </c>
      <c r="F3" s="74" t="s">
        <v>1125</v>
      </c>
      <c r="G3" s="643" t="s">
        <v>1283</v>
      </c>
      <c r="H3" s="34"/>
      <c r="I3" s="34"/>
    </row>
    <row r="4" spans="1:13">
      <c r="A4" t="s">
        <v>120</v>
      </c>
      <c r="C4" s="319">
        <f>'Availabilities EU Austria'!AH150</f>
        <v>30168.469227857709</v>
      </c>
      <c r="D4" s="891">
        <f>C4*3600</f>
        <v>108606489.22028776</v>
      </c>
      <c r="E4" s="787">
        <f>'Availabilities EU Austria'!AJ150</f>
        <v>48561.661203974218</v>
      </c>
      <c r="F4" s="788">
        <f>E4*3600</f>
        <v>174821980.33430719</v>
      </c>
      <c r="G4" s="893">
        <f>'Availabilities EU Austria'!$AI$150</f>
        <v>4.1755512643142065</v>
      </c>
      <c r="H4" s="811"/>
    </row>
    <row r="5" spans="1:13">
      <c r="A5" t="s">
        <v>239</v>
      </c>
      <c r="C5" s="319">
        <f>'Availabilities EU Austria'!AH151</f>
        <v>68521.177935148109</v>
      </c>
      <c r="D5" s="891">
        <f>C5*3600</f>
        <v>246676240.56653318</v>
      </c>
      <c r="E5" s="787">
        <f>'Availabilities EU Austria'!AJ151</f>
        <v>102319.07998383761</v>
      </c>
      <c r="F5" s="788">
        <f>E5*3600</f>
        <v>368348687.94181538</v>
      </c>
      <c r="G5" s="893">
        <f>'Availabilities EU Austria'!$AI$151</f>
        <v>8.7978572643024613</v>
      </c>
    </row>
    <row r="6" spans="1:13">
      <c r="A6" t="s">
        <v>559</v>
      </c>
      <c r="C6" s="891">
        <f>'Availabilities EU Austria'!AH152</f>
        <v>559931.03673517844</v>
      </c>
      <c r="D6" s="891">
        <f>C6*3600</f>
        <v>2015751732.2466424</v>
      </c>
      <c r="E6" s="787">
        <f>'Availabilities EU Austria'!AJ152</f>
        <v>801709.06455369748</v>
      </c>
      <c r="F6" s="788">
        <f>E6*3600</f>
        <v>2886152632.393311</v>
      </c>
      <c r="G6" s="893">
        <f>'Availabilities EU Austria'!$AI$152</f>
        <v>68.934571328778787</v>
      </c>
    </row>
    <row r="7" spans="1:13">
      <c r="A7" t="s">
        <v>220</v>
      </c>
      <c r="C7" s="319">
        <f>'Availabilities EU Austria'!AH153</f>
        <v>5968.1821049523915</v>
      </c>
      <c r="D7" s="891">
        <f>C7*3600</f>
        <v>21485455.577828608</v>
      </c>
      <c r="E7" s="787">
        <f>'Availabilities EU Austria'!AJ153</f>
        <v>11482.050283089686</v>
      </c>
      <c r="F7" s="788">
        <f>E7*3600</f>
        <v>41335381.019122869</v>
      </c>
      <c r="G7" s="893">
        <f>'Availabilities EU Austria'!$AI$153</f>
        <v>0.98727861419515794</v>
      </c>
    </row>
    <row r="8" spans="1:13">
      <c r="A8" t="s">
        <v>1184</v>
      </c>
      <c r="C8" s="319"/>
      <c r="D8" s="891"/>
      <c r="E8" s="787">
        <f>'Availabilities EU Austria'!AJ154</f>
        <v>210886.7856401749</v>
      </c>
      <c r="F8" s="788">
        <f>E8*3600</f>
        <v>759192428.30462968</v>
      </c>
      <c r="G8" s="893">
        <f>'Availabilities EU Austria'!$AI$154</f>
        <v>18.132999625122519</v>
      </c>
    </row>
    <row r="9" spans="1:13" s="34" customFormat="1">
      <c r="A9" s="34" t="s">
        <v>1149</v>
      </c>
      <c r="C9" s="892">
        <f>SUM(C4:C7)</f>
        <v>664588.86600313662</v>
      </c>
      <c r="D9" s="892">
        <f>SUM(D4:D7)</f>
        <v>2392519917.6112919</v>
      </c>
      <c r="E9" s="789">
        <f>SUM(E4:E7)</f>
        <v>964071.85602459894</v>
      </c>
      <c r="F9" s="790">
        <f>SUM(F4:F8)</f>
        <v>4229851109.9931865</v>
      </c>
      <c r="G9" s="790">
        <f>SUM(G4:G8)</f>
        <v>101.02825809671315</v>
      </c>
      <c r="H9" s="890"/>
      <c r="I9" s="890"/>
    </row>
    <row r="11" spans="1:13" s="806" customFormat="1" ht="30.65" customHeight="1">
      <c r="A11" s="806" t="s">
        <v>1255</v>
      </c>
      <c r="G11" s="807"/>
    </row>
    <row r="12" spans="1:13" s="808" customFormat="1" ht="26.15" customHeight="1">
      <c r="A12" s="808" t="s">
        <v>1252</v>
      </c>
      <c r="B12" s="808" t="s">
        <v>606</v>
      </c>
      <c r="C12" s="808" t="s">
        <v>1201</v>
      </c>
      <c r="D12" s="808" t="s">
        <v>1214</v>
      </c>
      <c r="E12" s="808" t="s">
        <v>1213</v>
      </c>
    </row>
    <row r="13" spans="1:13">
      <c r="A13" s="889" t="s">
        <v>1194</v>
      </c>
      <c r="B13">
        <v>22.4</v>
      </c>
      <c r="D13">
        <f>B13*11630</f>
        <v>260511.99999999997</v>
      </c>
      <c r="E13" s="338">
        <f>D13*3600</f>
        <v>937843199.99999988</v>
      </c>
    </row>
    <row r="14" spans="1:13" s="140" customFormat="1">
      <c r="A14" s="140" t="s">
        <v>1203</v>
      </c>
      <c r="B14" s="140">
        <f>B29-B20-B17</f>
        <v>16.349999999999998</v>
      </c>
      <c r="D14" s="140">
        <f t="shared" ref="D14:D22" si="0">B14*11630</f>
        <v>190150.49999999997</v>
      </c>
      <c r="E14" s="876">
        <f t="shared" ref="E14:E25" si="1">D14*3600</f>
        <v>684541799.99999988</v>
      </c>
    </row>
    <row r="15" spans="1:13">
      <c r="A15" t="s">
        <v>1204</v>
      </c>
      <c r="B15">
        <f>B13-B14</f>
        <v>6.0500000000000007</v>
      </c>
      <c r="D15">
        <f t="shared" si="0"/>
        <v>70361.500000000015</v>
      </c>
      <c r="E15" s="338">
        <f t="shared" si="1"/>
        <v>253301400.00000006</v>
      </c>
    </row>
    <row r="16" spans="1:13">
      <c r="A16" s="889" t="s">
        <v>1195</v>
      </c>
      <c r="B16">
        <v>1.9</v>
      </c>
      <c r="D16">
        <f t="shared" si="0"/>
        <v>22097</v>
      </c>
      <c r="E16" s="338">
        <f t="shared" si="1"/>
        <v>79549200</v>
      </c>
      <c r="G16" s="792"/>
    </row>
    <row r="17" spans="1:7" s="140" customFormat="1">
      <c r="A17" s="140" t="s">
        <v>1203</v>
      </c>
      <c r="B17" s="140">
        <f>B16/2</f>
        <v>0.95</v>
      </c>
      <c r="D17" s="140">
        <f t="shared" si="0"/>
        <v>11048.5</v>
      </c>
      <c r="E17" s="876">
        <f t="shared" si="1"/>
        <v>39774600</v>
      </c>
      <c r="G17" s="877"/>
    </row>
    <row r="18" spans="1:7">
      <c r="A18" t="s">
        <v>1204</v>
      </c>
      <c r="B18">
        <f>B16/2</f>
        <v>0.95</v>
      </c>
      <c r="D18">
        <f t="shared" si="0"/>
        <v>11048.5</v>
      </c>
      <c r="E18" s="338">
        <f t="shared" si="1"/>
        <v>39774600</v>
      </c>
      <c r="G18" s="792"/>
    </row>
    <row r="19" spans="1:7">
      <c r="A19" s="889" t="s">
        <v>1196</v>
      </c>
      <c r="B19">
        <v>2.2000000000000002</v>
      </c>
      <c r="D19">
        <f t="shared" si="0"/>
        <v>25586.000000000004</v>
      </c>
      <c r="E19" s="338">
        <f t="shared" si="1"/>
        <v>92109600.000000015</v>
      </c>
      <c r="G19" s="786"/>
    </row>
    <row r="20" spans="1:7" s="140" customFormat="1">
      <c r="A20" s="140" t="s">
        <v>1203</v>
      </c>
      <c r="B20" s="140">
        <f>B19/2</f>
        <v>1.1000000000000001</v>
      </c>
      <c r="C20" s="140" t="s">
        <v>1205</v>
      </c>
      <c r="D20" s="140">
        <f t="shared" si="0"/>
        <v>12793.000000000002</v>
      </c>
      <c r="E20" s="876">
        <f t="shared" si="1"/>
        <v>46054800.000000007</v>
      </c>
      <c r="G20" s="878"/>
    </row>
    <row r="21" spans="1:7">
      <c r="A21" t="s">
        <v>1204</v>
      </c>
      <c r="B21">
        <f>B19/2</f>
        <v>1.1000000000000001</v>
      </c>
      <c r="D21">
        <f t="shared" si="0"/>
        <v>12793.000000000002</v>
      </c>
      <c r="E21" s="338">
        <f t="shared" si="1"/>
        <v>46054800.000000007</v>
      </c>
      <c r="G21" s="786"/>
    </row>
    <row r="22" spans="1:7">
      <c r="A22" s="889" t="s">
        <v>1200</v>
      </c>
      <c r="B22">
        <f>2.9-1.9</f>
        <v>1</v>
      </c>
      <c r="C22" t="s">
        <v>1202</v>
      </c>
      <c r="D22">
        <f t="shared" si="0"/>
        <v>11630</v>
      </c>
      <c r="E22" s="338">
        <f t="shared" si="1"/>
        <v>41868000</v>
      </c>
      <c r="G22" s="786"/>
    </row>
    <row r="23" spans="1:7">
      <c r="A23" t="s">
        <v>1203</v>
      </c>
      <c r="B23" t="s">
        <v>1284</v>
      </c>
      <c r="E23" s="338"/>
      <c r="G23" s="786"/>
    </row>
    <row r="24" spans="1:7">
      <c r="A24" t="s">
        <v>1204</v>
      </c>
      <c r="B24" t="s">
        <v>1284</v>
      </c>
      <c r="E24" s="338"/>
      <c r="G24" s="786">
        <f>0.5+1.4+2.7+0.1+1.5+0.3+0.1+1.2+1.7+6.7</f>
        <v>16.2</v>
      </c>
    </row>
    <row r="25" spans="1:7">
      <c r="A25" t="s">
        <v>1256</v>
      </c>
      <c r="B25">
        <f>B13+B16+B19+B22</f>
        <v>27.499999999999996</v>
      </c>
      <c r="D25">
        <f>B25*11630</f>
        <v>319824.99999999994</v>
      </c>
      <c r="E25" s="338">
        <f t="shared" si="1"/>
        <v>1151369999.9999998</v>
      </c>
      <c r="G25" s="786"/>
    </row>
    <row r="26" spans="1:7" s="886" customFormat="1">
      <c r="A26" s="886" t="s">
        <v>1257</v>
      </c>
      <c r="B26" s="886">
        <f>B14+B17+B20</f>
        <v>18.399999999999999</v>
      </c>
      <c r="C26" s="886" t="s">
        <v>1263</v>
      </c>
      <c r="D26" s="886">
        <f>B26*11630</f>
        <v>213991.99999999997</v>
      </c>
      <c r="E26" s="887">
        <f>D26*3600</f>
        <v>770371199.99999988</v>
      </c>
      <c r="G26" s="888"/>
    </row>
    <row r="27" spans="1:7" s="808" customFormat="1" ht="28" customHeight="1">
      <c r="A27" s="808" t="s">
        <v>1312</v>
      </c>
      <c r="B27" s="879" t="s">
        <v>203</v>
      </c>
    </row>
    <row r="28" spans="1:7">
      <c r="A28" t="s">
        <v>1197</v>
      </c>
      <c r="B28">
        <v>10.6</v>
      </c>
      <c r="C28" t="s">
        <v>1285</v>
      </c>
    </row>
    <row r="29" spans="1:7" s="23" customFormat="1">
      <c r="A29" s="23" t="s">
        <v>1198</v>
      </c>
      <c r="B29" s="871">
        <v>18.399999999999999</v>
      </c>
      <c r="C29" t="s">
        <v>1285</v>
      </c>
      <c r="D29" s="897" t="s">
        <v>1286</v>
      </c>
    </row>
    <row r="30" spans="1:7">
      <c r="A30" t="s">
        <v>1280</v>
      </c>
      <c r="B30">
        <v>9</v>
      </c>
      <c r="C30" t="s">
        <v>1285</v>
      </c>
    </row>
    <row r="31" spans="1:7">
      <c r="A31" s="34" t="s">
        <v>1199</v>
      </c>
      <c r="B31" s="34">
        <f>SUM(B28:B30)</f>
        <v>38</v>
      </c>
    </row>
    <row r="32" spans="1:7">
      <c r="A32" t="s">
        <v>1266</v>
      </c>
      <c r="B32">
        <f>SUM(B33:B39)</f>
        <v>24.099999999999998</v>
      </c>
      <c r="D32">
        <f>B32+B40</f>
        <v>34.799999999999997</v>
      </c>
    </row>
    <row r="33" spans="1:9" s="882" customFormat="1">
      <c r="A33" s="882" t="s">
        <v>1269</v>
      </c>
      <c r="B33" s="884">
        <f>1.5+2.8+0.2+2.4+0.1</f>
        <v>7</v>
      </c>
    </row>
    <row r="34" spans="1:9" s="882" customFormat="1">
      <c r="B34" s="882" t="s">
        <v>1276</v>
      </c>
      <c r="C34" s="882">
        <f>1.4+0.1+0.05</f>
        <v>1.55</v>
      </c>
    </row>
    <row r="35" spans="1:9" s="882" customFormat="1">
      <c r="B35" s="882" t="s">
        <v>1281</v>
      </c>
      <c r="C35" s="882">
        <f>0.1+0.1+0.1</f>
        <v>0.30000000000000004</v>
      </c>
    </row>
    <row r="36" spans="1:9" s="882" customFormat="1">
      <c r="B36" s="882" t="s">
        <v>1282</v>
      </c>
      <c r="C36" s="882">
        <f>0.1+0.1+0.2+0.1</f>
        <v>0.5</v>
      </c>
    </row>
    <row r="37" spans="1:9" s="882" customFormat="1">
      <c r="A37" s="882" t="s">
        <v>1270</v>
      </c>
      <c r="B37" s="882">
        <f>2.2+1.6</f>
        <v>3.8000000000000003</v>
      </c>
    </row>
    <row r="38" spans="1:9" s="882" customFormat="1">
      <c r="A38" s="882" t="s">
        <v>1268</v>
      </c>
      <c r="B38" s="882">
        <f>5.1+5.3</f>
        <v>10.399999999999999</v>
      </c>
    </row>
    <row r="39" spans="1:9" s="882" customFormat="1">
      <c r="A39" s="882" t="s">
        <v>1271</v>
      </c>
      <c r="B39" s="882">
        <f>1.2+1.7</f>
        <v>2.9</v>
      </c>
      <c r="C39" s="8" t="s">
        <v>1289</v>
      </c>
      <c r="E39" s="883" t="s">
        <v>1278</v>
      </c>
      <c r="F39" s="883"/>
    </row>
    <row r="40" spans="1:9">
      <c r="A40" t="s">
        <v>1262</v>
      </c>
      <c r="B40">
        <f>SUM(B41:B44)</f>
        <v>10.7</v>
      </c>
      <c r="E40" s="883" t="s">
        <v>1194</v>
      </c>
      <c r="F40" s="883">
        <v>33</v>
      </c>
    </row>
    <row r="41" spans="1:9">
      <c r="A41" s="882" t="s">
        <v>1269</v>
      </c>
      <c r="B41" s="884">
        <f>0.3</f>
        <v>0.3</v>
      </c>
      <c r="E41" s="883" t="s">
        <v>1196</v>
      </c>
      <c r="F41" s="883">
        <v>2.2000000000000002</v>
      </c>
    </row>
    <row r="42" spans="1:9">
      <c r="A42" s="882" t="s">
        <v>1270</v>
      </c>
      <c r="B42" s="882">
        <v>0</v>
      </c>
      <c r="E42" s="883" t="s">
        <v>1195</v>
      </c>
      <c r="F42" s="883">
        <v>2.9</v>
      </c>
    </row>
    <row r="43" spans="1:9">
      <c r="A43" s="882" t="s">
        <v>1268</v>
      </c>
      <c r="B43" s="882">
        <f>3.7</f>
        <v>3.7</v>
      </c>
    </row>
    <row r="44" spans="1:9">
      <c r="A44" s="882" t="s">
        <v>1279</v>
      </c>
      <c r="B44" s="884">
        <f>6.7</f>
        <v>6.7</v>
      </c>
      <c r="C44" s="8" t="s">
        <v>1289</v>
      </c>
    </row>
    <row r="45" spans="1:9">
      <c r="A45" t="s">
        <v>1267</v>
      </c>
      <c r="B45">
        <f>0.1+0.1+0.7</f>
        <v>0.89999999999999991</v>
      </c>
      <c r="C45" t="s">
        <v>1274</v>
      </c>
      <c r="I45" s="391"/>
    </row>
    <row r="46" spans="1:9" s="1" customFormat="1">
      <c r="A46" s="1" t="s">
        <v>1272</v>
      </c>
      <c r="B46" s="885">
        <v>1.5</v>
      </c>
      <c r="C46" s="1" t="s">
        <v>601</v>
      </c>
    </row>
    <row r="47" spans="1:9" s="1" customFormat="1">
      <c r="B47" s="30" t="s">
        <v>1276</v>
      </c>
      <c r="C47" s="30">
        <v>0.5</v>
      </c>
    </row>
    <row r="48" spans="1:9" s="1" customFormat="1">
      <c r="B48" s="30" t="s">
        <v>1277</v>
      </c>
      <c r="C48" s="30">
        <v>1.1000000000000001</v>
      </c>
    </row>
    <row r="49" spans="1:11" s="1" customFormat="1">
      <c r="A49" s="1" t="s">
        <v>1273</v>
      </c>
      <c r="B49" s="1">
        <f>0.2+0.4</f>
        <v>0.60000000000000009</v>
      </c>
      <c r="C49" s="1" t="s">
        <v>1275</v>
      </c>
    </row>
    <row r="50" spans="1:11" s="641" customFormat="1" ht="53.5" customHeight="1">
      <c r="A50" s="641" t="s">
        <v>1322</v>
      </c>
    </row>
    <row r="51" spans="1:11" s="1" customFormat="1">
      <c r="A51" s="1" t="s">
        <v>1225</v>
      </c>
      <c r="B51" s="1">
        <f>SUM(B52:B60)</f>
        <v>10.11</v>
      </c>
    </row>
    <row r="52" spans="1:11" s="1" customFormat="1">
      <c r="A52" s="30" t="s">
        <v>1291</v>
      </c>
      <c r="B52" s="30">
        <v>1.5</v>
      </c>
      <c r="D52" s="1" t="s">
        <v>1197</v>
      </c>
      <c r="E52" s="1">
        <f>5.13+5.25+3.74</f>
        <v>14.12</v>
      </c>
      <c r="F52" s="1" t="s">
        <v>1327</v>
      </c>
    </row>
    <row r="53" spans="1:11" s="1" customFormat="1">
      <c r="A53" s="30" t="s">
        <v>1292</v>
      </c>
      <c r="B53" s="30">
        <v>0.21</v>
      </c>
    </row>
    <row r="54" spans="1:11" s="1" customFormat="1">
      <c r="A54" s="30" t="s">
        <v>1293</v>
      </c>
      <c r="B54" s="30">
        <v>0.14000000000000001</v>
      </c>
    </row>
    <row r="55" spans="1:11" s="1" customFormat="1">
      <c r="A55" s="30" t="s">
        <v>1294</v>
      </c>
      <c r="B55" s="30">
        <f>0.18/2</f>
        <v>0.09</v>
      </c>
      <c r="G55" s="899"/>
      <c r="H55" s="899" t="s">
        <v>113</v>
      </c>
      <c r="I55" s="900" t="s">
        <v>1288</v>
      </c>
      <c r="J55" s="1" t="s">
        <v>1314</v>
      </c>
      <c r="K55" s="903" t="s">
        <v>1290</v>
      </c>
    </row>
    <row r="56" spans="1:11" s="1" customFormat="1">
      <c r="A56" s="30" t="s">
        <v>1295</v>
      </c>
      <c r="B56" s="30">
        <v>0.03</v>
      </c>
      <c r="G56" s="899" t="s">
        <v>1287</v>
      </c>
      <c r="H56" s="899">
        <f>SUM(H57:H63)</f>
        <v>22.17</v>
      </c>
      <c r="I56" s="901">
        <f>SUM(I57:I63)</f>
        <v>101.02825809671315</v>
      </c>
      <c r="J56" s="901">
        <f>SUM(J57:J63)</f>
        <v>38.042601574294451</v>
      </c>
      <c r="K56" s="903"/>
    </row>
    <row r="57" spans="1:11" s="1" customFormat="1">
      <c r="A57" s="920" t="s">
        <v>1296</v>
      </c>
      <c r="B57" s="920">
        <v>1.7</v>
      </c>
      <c r="C57" s="8" t="s">
        <v>1317</v>
      </c>
      <c r="G57" s="898" t="s">
        <v>1225</v>
      </c>
      <c r="H57" s="898">
        <f>B51</f>
        <v>10.11</v>
      </c>
      <c r="I57" s="902">
        <f>'Availabilities EU Austria'!$AI$150</f>
        <v>4.1755512643142065</v>
      </c>
      <c r="J57" s="917">
        <f t="shared" ref="J57:J63" si="2">I57</f>
        <v>4.1755512643142065</v>
      </c>
      <c r="K57" s="904">
        <f>H57-I57</f>
        <v>5.9344487356857929</v>
      </c>
    </row>
    <row r="58" spans="1:11" s="1" customFormat="1">
      <c r="A58" s="920" t="s">
        <v>1297</v>
      </c>
      <c r="B58" s="920">
        <v>1.19</v>
      </c>
      <c r="C58" s="8" t="s">
        <v>1317</v>
      </c>
      <c r="G58" s="899" t="s">
        <v>1226</v>
      </c>
      <c r="H58" s="899">
        <f>B61</f>
        <v>7.09</v>
      </c>
      <c r="I58" s="901">
        <f>'Availabilities EU Austria'!$AI$151</f>
        <v>8.7978572643024613</v>
      </c>
      <c r="J58" s="917">
        <f t="shared" si="2"/>
        <v>8.7978572643024613</v>
      </c>
      <c r="K58" s="903"/>
    </row>
    <row r="59" spans="1:11" s="1" customFormat="1">
      <c r="A59" s="30" t="s">
        <v>1323</v>
      </c>
      <c r="B59" s="30">
        <v>2.83</v>
      </c>
      <c r="C59" s="8" t="s">
        <v>1325</v>
      </c>
      <c r="G59" s="899"/>
      <c r="H59" s="899"/>
      <c r="I59" s="901"/>
      <c r="J59" s="917"/>
      <c r="K59" s="903"/>
    </row>
    <row r="60" spans="1:11" s="1" customFormat="1">
      <c r="A60" s="30" t="s">
        <v>1324</v>
      </c>
      <c r="B60" s="30">
        <v>2.42</v>
      </c>
      <c r="C60" s="8" t="s">
        <v>1325</v>
      </c>
      <c r="G60" s="899"/>
      <c r="H60" s="899"/>
      <c r="I60" s="901"/>
      <c r="J60" s="917"/>
      <c r="K60" s="903"/>
    </row>
    <row r="61" spans="1:11" s="1" customFormat="1">
      <c r="A61" s="1" t="s">
        <v>1298</v>
      </c>
      <c r="B61" s="1">
        <f>SUM(B62:B64)</f>
        <v>7.09</v>
      </c>
      <c r="G61" s="899" t="s">
        <v>1227</v>
      </c>
      <c r="H61" s="899">
        <f>B65</f>
        <v>1.53</v>
      </c>
      <c r="I61" s="901">
        <f>'Availabilities EU Austria'!$AI$152</f>
        <v>68.934571328778787</v>
      </c>
      <c r="J61" s="918">
        <f>0.1*'Availabilities EU Austria'!AI40+0.05*'Availabilities EU Austria'!AI69</f>
        <v>5.9489148063601105</v>
      </c>
      <c r="K61" s="903"/>
    </row>
    <row r="62" spans="1:11" s="1" customFormat="1">
      <c r="A62" s="30" t="s">
        <v>1299</v>
      </c>
      <c r="B62" s="30">
        <v>0.32</v>
      </c>
      <c r="G62" s="899" t="s">
        <v>1247</v>
      </c>
      <c r="H62" s="899">
        <f>B68</f>
        <v>3.23</v>
      </c>
      <c r="I62" s="901">
        <f>'Availabilities EU Austria'!$AI$153</f>
        <v>0.98727861419515794</v>
      </c>
      <c r="J62" s="917">
        <f t="shared" si="2"/>
        <v>0.98727861419515794</v>
      </c>
      <c r="K62" s="903"/>
    </row>
    <row r="63" spans="1:11" s="1" customFormat="1">
      <c r="A63" s="30" t="s">
        <v>1300</v>
      </c>
      <c r="B63" s="30">
        <f>0.18/2</f>
        <v>0.09</v>
      </c>
      <c r="G63" s="899" t="s">
        <v>1248</v>
      </c>
      <c r="H63" s="899">
        <f>B73</f>
        <v>0.21</v>
      </c>
      <c r="I63" s="901">
        <f>'Availabilities EU Austria'!$AI$154</f>
        <v>18.132999625122519</v>
      </c>
      <c r="J63" s="917">
        <f t="shared" si="2"/>
        <v>18.132999625122519</v>
      </c>
      <c r="K63" s="903"/>
    </row>
    <row r="64" spans="1:11" s="1" customFormat="1">
      <c r="A64" s="920" t="s">
        <v>1303</v>
      </c>
      <c r="B64" s="920">
        <v>6.68</v>
      </c>
    </row>
    <row r="65" spans="1:7" s="1" customFormat="1">
      <c r="A65" s="1" t="s">
        <v>1227</v>
      </c>
      <c r="B65" s="1">
        <f>SUM(B66:B67)</f>
        <v>1.53</v>
      </c>
      <c r="G65" s="8" t="s">
        <v>1311</v>
      </c>
    </row>
    <row r="66" spans="1:7" s="1" customFormat="1">
      <c r="A66" s="30" t="s">
        <v>1301</v>
      </c>
      <c r="B66" s="30">
        <v>1.5</v>
      </c>
    </row>
    <row r="67" spans="1:7" s="1" customFormat="1">
      <c r="A67" s="30" t="s">
        <v>1302</v>
      </c>
      <c r="B67" s="30">
        <v>0.03</v>
      </c>
    </row>
    <row r="68" spans="1:7" s="1" customFormat="1">
      <c r="A68" s="1" t="s">
        <v>1247</v>
      </c>
      <c r="B68" s="1">
        <f>SUM(B69:B72)</f>
        <v>3.23</v>
      </c>
      <c r="G68" s="1" t="s">
        <v>1318</v>
      </c>
    </row>
    <row r="69" spans="1:7" s="1" customFormat="1">
      <c r="A69" s="30" t="s">
        <v>1304</v>
      </c>
      <c r="B69" s="30">
        <v>0.1</v>
      </c>
      <c r="G69" s="1" t="s">
        <v>1225</v>
      </c>
    </row>
    <row r="70" spans="1:7" s="1" customFormat="1">
      <c r="A70" s="30" t="s">
        <v>1305</v>
      </c>
      <c r="B70" s="30">
        <v>0.05</v>
      </c>
      <c r="G70" s="1" t="s">
        <v>1319</v>
      </c>
    </row>
    <row r="71" spans="1:7" s="1" customFormat="1">
      <c r="A71" s="30" t="s">
        <v>1309</v>
      </c>
      <c r="B71" s="30">
        <f>2.42</f>
        <v>2.42</v>
      </c>
      <c r="C71" s="8" t="s">
        <v>1310</v>
      </c>
      <c r="G71" s="1" t="s">
        <v>1320</v>
      </c>
    </row>
    <row r="72" spans="1:7" s="1" customFormat="1">
      <c r="A72" s="920" t="s">
        <v>1306</v>
      </c>
      <c r="B72" s="920">
        <v>0.66</v>
      </c>
      <c r="G72" s="1" t="s">
        <v>1321</v>
      </c>
    </row>
    <row r="73" spans="1:7" s="1" customFormat="1">
      <c r="A73" s="1" t="s">
        <v>1248</v>
      </c>
      <c r="B73" s="1">
        <f>SUM(B74:B75)</f>
        <v>0.21</v>
      </c>
    </row>
    <row r="74" spans="1:7" s="1" customFormat="1">
      <c r="A74" s="30" t="s">
        <v>1313</v>
      </c>
      <c r="B74" s="30">
        <v>0.21</v>
      </c>
    </row>
    <row r="75" spans="1:7" s="1" customFormat="1">
      <c r="A75" s="30" t="s">
        <v>1307</v>
      </c>
      <c r="B75" s="361" t="s">
        <v>1308</v>
      </c>
      <c r="C75" s="8" t="s">
        <v>1316</v>
      </c>
    </row>
    <row r="76" spans="1:7" s="808" customFormat="1" ht="27.65" customHeight="1">
      <c r="A76" s="808" t="s">
        <v>1206</v>
      </c>
      <c r="B76" s="879" t="s">
        <v>203</v>
      </c>
      <c r="C76" s="808" t="s">
        <v>1245</v>
      </c>
    </row>
    <row r="77" spans="1:7">
      <c r="A77" t="s">
        <v>1192</v>
      </c>
      <c r="B77">
        <v>22.4</v>
      </c>
      <c r="C77" t="s">
        <v>1246</v>
      </c>
      <c r="D77" s="763" t="s">
        <v>1228</v>
      </c>
    </row>
    <row r="78" spans="1:7">
      <c r="A78" t="s">
        <v>1196</v>
      </c>
      <c r="B78">
        <v>2.17</v>
      </c>
      <c r="C78" t="s">
        <v>1247</v>
      </c>
      <c r="D78" s="763" t="s">
        <v>1244</v>
      </c>
    </row>
    <row r="79" spans="1:7">
      <c r="A79" t="s">
        <v>1195</v>
      </c>
      <c r="B79">
        <v>1.93</v>
      </c>
      <c r="C79" t="s">
        <v>1248</v>
      </c>
    </row>
    <row r="80" spans="1:7">
      <c r="A80" s="72" t="s">
        <v>1207</v>
      </c>
      <c r="B80" s="72">
        <v>0.49</v>
      </c>
    </row>
    <row r="81" spans="1:3">
      <c r="A81" s="72" t="s">
        <v>646</v>
      </c>
      <c r="B81" s="72">
        <v>0.06</v>
      </c>
    </row>
    <row r="82" spans="1:3">
      <c r="A82" t="s">
        <v>1235</v>
      </c>
      <c r="B82" t="s">
        <v>1236</v>
      </c>
      <c r="C82" t="s">
        <v>1249</v>
      </c>
    </row>
    <row r="83" spans="1:3">
      <c r="A83" t="s">
        <v>638</v>
      </c>
      <c r="B83">
        <f>SUM(B77:B81)</f>
        <v>27.049999999999997</v>
      </c>
    </row>
    <row r="84" spans="1:3" s="808" customFormat="1" ht="26.25" customHeight="1">
      <c r="A84" s="808" t="s">
        <v>1260</v>
      </c>
      <c r="B84" s="879" t="s">
        <v>203</v>
      </c>
      <c r="C84" s="808" t="s">
        <v>1259</v>
      </c>
    </row>
    <row r="85" spans="1:3">
      <c r="A85" t="s">
        <v>1258</v>
      </c>
      <c r="B85">
        <v>312.7</v>
      </c>
    </row>
    <row r="86" spans="1:3">
      <c r="A86" t="s">
        <v>62</v>
      </c>
      <c r="B86">
        <v>214.5</v>
      </c>
    </row>
    <row r="87" spans="1:3">
      <c r="A87" t="s">
        <v>63</v>
      </c>
      <c r="B87">
        <v>43.5</v>
      </c>
    </row>
    <row r="88" spans="1:3">
      <c r="A88" t="s">
        <v>1261</v>
      </c>
      <c r="B88">
        <v>54.8</v>
      </c>
    </row>
    <row r="89" spans="1:3">
      <c r="A89" t="s">
        <v>1315</v>
      </c>
      <c r="B89" s="105">
        <f>0.045*B85</f>
        <v>14.071499999999999</v>
      </c>
    </row>
  </sheetData>
  <phoneticPr fontId="44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A77C-8CAB-4678-9B33-AFEDDAEA539C}">
  <dimension ref="A1:H25"/>
  <sheetViews>
    <sheetView workbookViewId="0">
      <selection activeCell="G24" sqref="G24"/>
    </sheetView>
  </sheetViews>
  <sheetFormatPr baseColWidth="10" defaultRowHeight="14.5"/>
  <cols>
    <col min="2" max="2" width="15.26953125" customWidth="1"/>
    <col min="3" max="3" width="16.81640625" customWidth="1"/>
    <col min="4" max="4" width="19.81640625" customWidth="1"/>
    <col min="5" max="5" width="22.81640625" customWidth="1"/>
    <col min="6" max="6" width="26.54296875" customWidth="1"/>
    <col min="7" max="7" width="23.54296875" customWidth="1"/>
  </cols>
  <sheetData>
    <row r="1" spans="1:7" ht="27.5" customHeight="1">
      <c r="A1" s="646" t="s">
        <v>1328</v>
      </c>
      <c r="B1" s="646"/>
      <c r="C1" s="646"/>
      <c r="D1" s="646"/>
      <c r="E1" s="646"/>
      <c r="F1" s="646"/>
      <c r="G1" s="646"/>
    </row>
    <row r="2" spans="1:7">
      <c r="A2" s="63" t="s">
        <v>1122</v>
      </c>
      <c r="B2" s="63" t="s">
        <v>1191</v>
      </c>
      <c r="C2" s="63" t="s">
        <v>1123</v>
      </c>
      <c r="D2" s="63" t="s">
        <v>1124</v>
      </c>
      <c r="E2" s="63" t="s">
        <v>1127</v>
      </c>
      <c r="F2" s="63" t="s">
        <v>1125</v>
      </c>
      <c r="G2" s="803" t="s">
        <v>1193</v>
      </c>
    </row>
    <row r="3" spans="1:7">
      <c r="A3" t="s">
        <v>120</v>
      </c>
      <c r="B3" s="804">
        <f>'Availabilities EU Austria'!AG312</f>
        <v>0.12993839650710565</v>
      </c>
      <c r="C3" s="9">
        <f>'Availabilities EU Austria'!AH312</f>
        <v>1495.1619326682244</v>
      </c>
      <c r="D3" s="338">
        <f>C3*3600</f>
        <v>5382582.9576056078</v>
      </c>
      <c r="E3" s="809">
        <f>'Availabilities EU Austria'!AJ312</f>
        <v>2078.6338818049958</v>
      </c>
      <c r="F3" s="331">
        <f>E3*3600</f>
        <v>7483081.9744979851</v>
      </c>
      <c r="G3" s="105">
        <f>'Availabilities EU Austria'!AI312</f>
        <v>0.17873034237360239</v>
      </c>
    </row>
    <row r="4" spans="1:7">
      <c r="A4" t="s">
        <v>239</v>
      </c>
      <c r="B4" s="804">
        <f>'Availabilities EU Austria'!AG313</f>
        <v>0.2089205697210417</v>
      </c>
      <c r="C4" s="331">
        <f>'Availabilities EU Austria'!AH313</f>
        <v>2429.7462258557148</v>
      </c>
      <c r="D4" s="338">
        <f>C4*3600</f>
        <v>8747086.4130805731</v>
      </c>
      <c r="E4" s="809">
        <f>'Availabilities EU Austria'!AJ313</f>
        <v>3534.9905414468258</v>
      </c>
      <c r="F4" s="331">
        <f>E4*3600</f>
        <v>12725965.949208573</v>
      </c>
      <c r="G4" s="105">
        <f>'Availabilities EU Austria'!AI313</f>
        <v>0.30395447475897042</v>
      </c>
    </row>
    <row r="5" spans="1:7">
      <c r="A5" t="s">
        <v>559</v>
      </c>
      <c r="B5" s="804">
        <f>'Availabilities EU Austria'!AG314</f>
        <v>0.92590370504654584</v>
      </c>
      <c r="C5" s="338">
        <f>'Availabilities EU Austria'!AH314</f>
        <v>10768.260089691328</v>
      </c>
      <c r="D5" s="338">
        <f>C5*3600</f>
        <v>38765736.322888784</v>
      </c>
      <c r="E5" s="809">
        <f>'Availabilities EU Austria'!AJ314</f>
        <v>15552.262282655363</v>
      </c>
      <c r="F5" s="331">
        <f t="shared" ref="F5:F7" si="0">E5*3600</f>
        <v>55988144.217559308</v>
      </c>
      <c r="G5" s="105">
        <f>'Availabilities EU Austria'!AI314</f>
        <v>1.3372538506152507</v>
      </c>
    </row>
    <row r="6" spans="1:7">
      <c r="A6" t="s">
        <v>220</v>
      </c>
      <c r="B6" s="804">
        <f>'Availabilities EU Austria'!AG315</f>
        <v>1.3776112389866136E-3</v>
      </c>
      <c r="C6" s="9">
        <f>'Availabilities EU Austria'!AH315</f>
        <v>16.021618709414316</v>
      </c>
      <c r="D6" s="338">
        <f>C6*3600</f>
        <v>57677.827353891538</v>
      </c>
      <c r="E6" s="809">
        <f>'Availabilities EU Austria'!AJ315</f>
        <v>355.64633993366749</v>
      </c>
      <c r="F6" s="331">
        <f t="shared" si="0"/>
        <v>1280326.8237612029</v>
      </c>
      <c r="G6" s="105">
        <f>'Availabilities EU Austria'!AI315</f>
        <v>3.0580080819747849E-2</v>
      </c>
    </row>
    <row r="7" spans="1:7">
      <c r="A7" t="s">
        <v>1184</v>
      </c>
      <c r="B7" s="804">
        <f>'Availabilities EU Austria'!AG316</f>
        <v>0.19982866340087085</v>
      </c>
      <c r="C7" s="9">
        <f>'Availabilities EU Austria'!AH316</f>
        <v>2324.0073553521283</v>
      </c>
      <c r="D7" s="338">
        <f>C7*3600</f>
        <v>8366426.4792676624</v>
      </c>
      <c r="E7" s="805">
        <f>'Availabilities EU Austria'!AJ316</f>
        <v>2968.6818306918585</v>
      </c>
      <c r="F7" s="331">
        <f t="shared" si="0"/>
        <v>10687254.590490691</v>
      </c>
      <c r="G7" s="105">
        <f>'Availabilities EU Austria'!AI316</f>
        <v>0.25526069051520706</v>
      </c>
    </row>
    <row r="8" spans="1:7">
      <c r="A8" t="s">
        <v>1149</v>
      </c>
      <c r="B8" s="312">
        <f>SUM(B3:B7)</f>
        <v>1.4659689459145508</v>
      </c>
      <c r="C8" s="810">
        <f>SUM(C3:C7)</f>
        <v>17033.197222276809</v>
      </c>
      <c r="D8" s="312">
        <f t="shared" ref="D8:G8" si="1">SUM(D3:D7)</f>
        <v>61319510.000196524</v>
      </c>
      <c r="E8" s="810">
        <f t="shared" si="1"/>
        <v>24490.214876532711</v>
      </c>
      <c r="F8" s="338">
        <f t="shared" si="1"/>
        <v>88164773.555517763</v>
      </c>
      <c r="G8" s="89">
        <f t="shared" si="1"/>
        <v>2.1057794390827782</v>
      </c>
    </row>
    <row r="9" spans="1:7">
      <c r="A9" t="s">
        <v>1217</v>
      </c>
      <c r="C9" s="331">
        <f>C8-C5</f>
        <v>6264.9371325854809</v>
      </c>
      <c r="D9" s="331">
        <f t="shared" ref="D9" si="2">D8-D5</f>
        <v>22553773.67730774</v>
      </c>
      <c r="E9" s="331">
        <f>E8-E5</f>
        <v>8937.9525938773477</v>
      </c>
      <c r="F9" s="331">
        <f t="shared" ref="F9:G9" si="3">F8-F5</f>
        <v>32176629.337958455</v>
      </c>
      <c r="G9" s="331">
        <f t="shared" si="3"/>
        <v>0.7685255884675275</v>
      </c>
    </row>
    <row r="10" spans="1:7">
      <c r="C10" s="331"/>
      <c r="D10" s="331"/>
      <c r="E10" s="331"/>
      <c r="F10" s="331"/>
      <c r="G10" s="331"/>
    </row>
    <row r="11" spans="1:7" s="40" customFormat="1" ht="22" customHeight="1">
      <c r="A11" s="40" t="s">
        <v>1329</v>
      </c>
      <c r="C11" s="921"/>
      <c r="D11" s="921"/>
      <c r="E11" s="921"/>
      <c r="F11" s="921"/>
      <c r="G11" s="921"/>
    </row>
    <row r="12" spans="1:7">
      <c r="C12" s="331"/>
      <c r="D12" s="331"/>
      <c r="E12" s="331"/>
      <c r="F12" s="331"/>
      <c r="G12" s="331"/>
    </row>
    <row r="13" spans="1:7">
      <c r="C13" s="331"/>
      <c r="D13" s="331"/>
      <c r="E13" s="331"/>
      <c r="F13" s="331"/>
      <c r="G13" s="331"/>
    </row>
    <row r="14" spans="1:7">
      <c r="C14" s="331"/>
      <c r="D14" s="331"/>
      <c r="E14" s="331"/>
      <c r="F14" s="331"/>
      <c r="G14" s="331"/>
    </row>
    <row r="15" spans="1:7">
      <c r="C15" s="331"/>
      <c r="D15" s="331"/>
      <c r="E15" s="331"/>
      <c r="F15" s="331"/>
      <c r="G15" s="331"/>
    </row>
    <row r="16" spans="1:7">
      <c r="C16" s="331"/>
      <c r="D16" s="331"/>
      <c r="E16" s="331"/>
      <c r="F16" s="331"/>
      <c r="G16" s="331"/>
    </row>
    <row r="17" spans="1:8">
      <c r="C17" s="331"/>
      <c r="D17" s="331"/>
      <c r="E17" s="331"/>
      <c r="F17" s="331"/>
      <c r="G17" s="331"/>
    </row>
    <row r="18" spans="1:8" ht="29.5" customHeight="1">
      <c r="A18" s="806" t="s">
        <v>1253</v>
      </c>
      <c r="B18" s="806"/>
      <c r="C18" s="806"/>
      <c r="D18" s="806"/>
      <c r="E18" s="806"/>
      <c r="F18" s="806"/>
      <c r="G18" s="806"/>
      <c r="H18" s="806"/>
    </row>
    <row r="19" spans="1:8">
      <c r="A19" s="808" t="s">
        <v>1208</v>
      </c>
      <c r="B19" s="808" t="s">
        <v>1210</v>
      </c>
      <c r="C19" s="808"/>
      <c r="D19" s="808"/>
      <c r="E19" s="808" t="s">
        <v>1214</v>
      </c>
      <c r="F19" s="808" t="s">
        <v>1213</v>
      </c>
      <c r="G19" s="808" t="s">
        <v>203</v>
      </c>
      <c r="H19" s="808" t="s">
        <v>192</v>
      </c>
    </row>
    <row r="20" spans="1:8">
      <c r="A20" t="s">
        <v>1211</v>
      </c>
      <c r="B20">
        <v>373</v>
      </c>
      <c r="E20" s="9">
        <f>F20/3600</f>
        <v>103611.11111111111</v>
      </c>
      <c r="F20" s="338">
        <f>B20*1000000</f>
        <v>373000000</v>
      </c>
      <c r="G20" s="9">
        <f>E20/11630</f>
        <v>8.9089519442055991</v>
      </c>
      <c r="H20" t="s">
        <v>1209</v>
      </c>
    </row>
    <row r="21" spans="1:8">
      <c r="A21" s="73" t="s">
        <v>1212</v>
      </c>
      <c r="B21" s="73">
        <v>35</v>
      </c>
      <c r="C21" s="73"/>
      <c r="D21" s="73"/>
      <c r="E21" s="894">
        <f>F21/3600</f>
        <v>9722.2222222222226</v>
      </c>
      <c r="F21" s="894">
        <f>B21*1000000</f>
        <v>35000000</v>
      </c>
      <c r="G21" s="895">
        <f>E21/11630</f>
        <v>0.83596063819623578</v>
      </c>
      <c r="H21" s="73"/>
    </row>
    <row r="22" spans="1:8">
      <c r="A22" t="s">
        <v>1215</v>
      </c>
      <c r="B22">
        <v>0.7</v>
      </c>
      <c r="E22" s="811">
        <f>F22/3600</f>
        <v>194.44444444444446</v>
      </c>
      <c r="F22" s="338">
        <f>B22*1000000</f>
        <v>700000</v>
      </c>
      <c r="G22" s="9">
        <f>E22/11630</f>
        <v>1.6719212763924716E-2</v>
      </c>
    </row>
    <row r="23" spans="1:8">
      <c r="A23" t="s">
        <v>1216</v>
      </c>
      <c r="B23">
        <f>35-0.7</f>
        <v>34.299999999999997</v>
      </c>
      <c r="E23" s="811">
        <f>F23/3600</f>
        <v>9527.7777777777774</v>
      </c>
      <c r="F23" s="338">
        <f>B23*1000000</f>
        <v>34300000</v>
      </c>
      <c r="G23" s="9">
        <f>E23/11630</f>
        <v>0.81924142543231104</v>
      </c>
    </row>
    <row r="25" spans="1:8" s="919" customFormat="1" ht="32" customHeight="1">
      <c r="A25" s="919" t="s">
        <v>1326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C81E-96C1-4108-A688-6B016486776E}">
  <sheetPr codeName="Tabelle7"/>
  <dimension ref="A1:V79"/>
  <sheetViews>
    <sheetView topLeftCell="A22" zoomScale="80" zoomScaleNormal="80" workbookViewId="0">
      <selection activeCell="A50" sqref="A50"/>
    </sheetView>
  </sheetViews>
  <sheetFormatPr baseColWidth="10" defaultRowHeight="14.5"/>
  <cols>
    <col min="1" max="1" width="40" customWidth="1"/>
    <col min="2" max="2" width="14.7265625" customWidth="1"/>
    <col min="3" max="3" width="16" customWidth="1"/>
    <col min="4" max="4" width="15" bestFit="1" customWidth="1"/>
    <col min="9" max="9" width="18" customWidth="1"/>
    <col min="11" max="11" width="20.453125" customWidth="1"/>
  </cols>
  <sheetData>
    <row r="1" spans="1:13" s="72" customFormat="1">
      <c r="A1" s="72" t="s">
        <v>1128</v>
      </c>
    </row>
    <row r="2" spans="1:13">
      <c r="A2" s="72" t="s">
        <v>1137</v>
      </c>
      <c r="B2" s="72">
        <v>2023</v>
      </c>
      <c r="C2" s="72">
        <v>2024</v>
      </c>
      <c r="D2" s="72">
        <v>2025</v>
      </c>
      <c r="E2" s="72">
        <v>2026</v>
      </c>
      <c r="F2" s="72">
        <v>2027</v>
      </c>
      <c r="G2" s="72">
        <v>2028</v>
      </c>
      <c r="H2" s="72">
        <v>2029</v>
      </c>
      <c r="I2" s="72">
        <v>2030</v>
      </c>
      <c r="J2" s="72">
        <v>2050</v>
      </c>
    </row>
    <row r="3" spans="1:13">
      <c r="A3" s="34" t="s">
        <v>1083</v>
      </c>
      <c r="B3" s="632"/>
      <c r="C3" s="632"/>
      <c r="D3" s="34"/>
      <c r="E3" s="34"/>
      <c r="F3" s="34"/>
      <c r="G3" s="34"/>
      <c r="H3" s="34"/>
      <c r="I3" s="632"/>
    </row>
    <row r="4" spans="1:13">
      <c r="A4" t="s">
        <v>1084</v>
      </c>
      <c r="B4" s="324"/>
      <c r="C4" s="324"/>
      <c r="D4" s="324"/>
      <c r="E4" s="324"/>
      <c r="F4" s="324"/>
      <c r="G4" s="324"/>
      <c r="H4" s="324"/>
      <c r="I4" s="324"/>
    </row>
    <row r="5" spans="1:13">
      <c r="A5" t="s">
        <v>1085</v>
      </c>
      <c r="B5" s="324"/>
      <c r="C5" s="324"/>
      <c r="D5" s="324"/>
      <c r="E5" s="324"/>
      <c r="F5" s="324"/>
      <c r="G5" s="324"/>
      <c r="H5" s="324"/>
      <c r="I5" s="324"/>
    </row>
    <row r="6" spans="1:13">
      <c r="A6" t="s">
        <v>1086</v>
      </c>
      <c r="B6" s="324"/>
      <c r="C6" s="324"/>
      <c r="D6" s="324"/>
      <c r="E6" s="324"/>
      <c r="F6" s="324"/>
      <c r="G6" s="324"/>
      <c r="H6" s="324"/>
      <c r="I6" s="324"/>
      <c r="K6" t="s">
        <v>1134</v>
      </c>
      <c r="L6" t="s">
        <v>1139</v>
      </c>
      <c r="M6" t="s">
        <v>1138</v>
      </c>
    </row>
    <row r="7" spans="1:13">
      <c r="A7" t="s">
        <v>1087</v>
      </c>
      <c r="B7" s="324"/>
      <c r="C7" s="324"/>
      <c r="D7" s="324"/>
      <c r="E7" s="324"/>
      <c r="F7" s="324"/>
      <c r="G7" s="324"/>
      <c r="H7" s="324"/>
      <c r="I7" s="324"/>
      <c r="K7" t="s">
        <v>1130</v>
      </c>
      <c r="L7">
        <v>9.8000000000000007</v>
      </c>
      <c r="M7">
        <v>3</v>
      </c>
    </row>
    <row r="8" spans="1:13">
      <c r="A8" s="34" t="s">
        <v>1088</v>
      </c>
      <c r="B8" s="633"/>
      <c r="C8" s="633"/>
      <c r="D8" s="324"/>
      <c r="E8" s="324"/>
      <c r="F8" s="324"/>
      <c r="G8" s="324"/>
      <c r="H8" s="324"/>
      <c r="I8" s="324"/>
      <c r="K8" t="s">
        <v>1131</v>
      </c>
      <c r="L8">
        <v>2.2000000000000002</v>
      </c>
    </row>
    <row r="9" spans="1:13">
      <c r="A9" t="s">
        <v>1089</v>
      </c>
      <c r="B9" s="324"/>
      <c r="C9" s="324"/>
      <c r="D9" s="324"/>
      <c r="E9" s="324"/>
      <c r="F9" s="324"/>
      <c r="G9" s="324"/>
      <c r="H9" s="324"/>
      <c r="I9" s="324"/>
      <c r="K9" t="s">
        <v>1132</v>
      </c>
      <c r="L9">
        <v>10.6</v>
      </c>
    </row>
    <row r="10" spans="1:13">
      <c r="A10" t="s">
        <v>1090</v>
      </c>
      <c r="B10" s="324"/>
      <c r="C10" s="324"/>
      <c r="D10" s="324"/>
      <c r="E10" s="324"/>
      <c r="F10" s="324"/>
      <c r="G10" s="324"/>
      <c r="H10" s="324"/>
      <c r="I10" s="324"/>
      <c r="K10" t="s">
        <v>1133</v>
      </c>
      <c r="L10">
        <v>18.399999999999999</v>
      </c>
    </row>
    <row r="11" spans="1:13">
      <c r="A11" t="s">
        <v>1091</v>
      </c>
      <c r="B11" s="324"/>
      <c r="C11" s="324"/>
      <c r="D11" s="324"/>
      <c r="E11" s="324"/>
      <c r="F11" s="324"/>
      <c r="G11" s="324"/>
      <c r="H11" s="324"/>
      <c r="I11" s="324"/>
      <c r="K11" t="s">
        <v>1135</v>
      </c>
      <c r="L11">
        <v>9</v>
      </c>
    </row>
    <row r="12" spans="1:13">
      <c r="A12" t="s">
        <v>1092</v>
      </c>
      <c r="B12" s="324"/>
      <c r="C12" s="324"/>
      <c r="D12" s="324"/>
      <c r="E12" s="324"/>
      <c r="F12" s="324"/>
      <c r="G12" s="324"/>
      <c r="H12" s="324"/>
      <c r="I12" s="324"/>
      <c r="K12" t="s">
        <v>1140</v>
      </c>
    </row>
    <row r="13" spans="1:13">
      <c r="A13" t="s">
        <v>1093</v>
      </c>
      <c r="B13" s="324"/>
      <c r="C13" s="324"/>
      <c r="D13" s="324"/>
      <c r="E13" s="324"/>
      <c r="F13" s="324"/>
      <c r="G13" s="324"/>
      <c r="H13" s="324"/>
      <c r="I13" s="324"/>
    </row>
    <row r="14" spans="1:13" ht="27" customHeight="1">
      <c r="A14" s="643" t="s">
        <v>1242</v>
      </c>
      <c r="B14" s="872" t="s">
        <v>1210</v>
      </c>
      <c r="C14" s="872" t="s">
        <v>1213</v>
      </c>
      <c r="D14" s="872" t="s">
        <v>1214</v>
      </c>
      <c r="E14" s="644" t="s">
        <v>203</v>
      </c>
      <c r="F14" s="645"/>
      <c r="G14" s="645"/>
      <c r="H14" s="645"/>
      <c r="I14" s="645"/>
      <c r="K14" t="s">
        <v>1141</v>
      </c>
    </row>
    <row r="15" spans="1:13" ht="29.25" customHeight="1">
      <c r="A15" s="746" t="s">
        <v>1243</v>
      </c>
      <c r="B15" s="767">
        <v>11726</v>
      </c>
      <c r="C15" s="767">
        <f>B15*1000000</f>
        <v>11726000000</v>
      </c>
      <c r="D15" s="873">
        <f>C15/3600</f>
        <v>3257222.222222222</v>
      </c>
      <c r="E15" s="874">
        <f>D15/11630</f>
        <v>280.07069838540173</v>
      </c>
      <c r="F15" s="748"/>
      <c r="G15" s="748"/>
      <c r="H15" s="748"/>
      <c r="I15" s="754"/>
      <c r="K15" t="s">
        <v>55</v>
      </c>
    </row>
    <row r="16" spans="1:13">
      <c r="A16" s="746" t="s">
        <v>1166</v>
      </c>
      <c r="B16" s="767">
        <v>10902</v>
      </c>
      <c r="C16" s="767">
        <f t="shared" ref="C16:C29" si="0">B16*1000000</f>
        <v>10902000000</v>
      </c>
      <c r="D16" s="873">
        <f t="shared" ref="D16:D29" si="1">C16/3600</f>
        <v>3028333.3333333335</v>
      </c>
      <c r="E16" s="747">
        <f t="shared" ref="E16:E29" si="2">D16/11630</f>
        <v>260.38979650329611</v>
      </c>
      <c r="F16" s="748"/>
      <c r="G16" s="748"/>
      <c r="H16" s="748"/>
      <c r="I16" s="748"/>
      <c r="K16" t="s">
        <v>1142</v>
      </c>
    </row>
    <row r="17" spans="1:22">
      <c r="A17" s="135" t="s">
        <v>1167</v>
      </c>
      <c r="B17" s="767">
        <v>6239</v>
      </c>
      <c r="C17" s="767">
        <f t="shared" si="0"/>
        <v>6239000000</v>
      </c>
      <c r="D17" s="873">
        <f t="shared" si="1"/>
        <v>1733055.5555555555</v>
      </c>
      <c r="E17" s="747">
        <f t="shared" si="2"/>
        <v>149.01595490589472</v>
      </c>
      <c r="F17" s="748"/>
      <c r="G17" s="748"/>
      <c r="H17" s="748"/>
      <c r="I17" s="748"/>
      <c r="K17" t="s">
        <v>1143</v>
      </c>
    </row>
    <row r="18" spans="1:22">
      <c r="A18" s="135" t="s">
        <v>1168</v>
      </c>
      <c r="B18" s="767">
        <v>2892</v>
      </c>
      <c r="C18" s="767">
        <f t="shared" si="0"/>
        <v>2892000000</v>
      </c>
      <c r="D18" s="873">
        <f t="shared" si="1"/>
        <v>803333.33333333337</v>
      </c>
      <c r="E18" s="747">
        <f t="shared" si="2"/>
        <v>69.074233304671836</v>
      </c>
      <c r="F18" s="748"/>
      <c r="G18" s="748"/>
      <c r="H18" s="748"/>
      <c r="I18" s="748"/>
      <c r="K18" t="s">
        <v>1144</v>
      </c>
    </row>
    <row r="19" spans="1:22">
      <c r="A19" s="135" t="s">
        <v>1169</v>
      </c>
      <c r="B19" s="767">
        <v>1497</v>
      </c>
      <c r="C19" s="767">
        <f t="shared" si="0"/>
        <v>1497000000</v>
      </c>
      <c r="D19" s="873">
        <f t="shared" si="1"/>
        <v>415833.33333333331</v>
      </c>
      <c r="E19" s="747">
        <f t="shared" si="2"/>
        <v>35.755230725136137</v>
      </c>
      <c r="F19" s="748"/>
      <c r="G19" s="748"/>
      <c r="H19" s="748"/>
      <c r="I19" s="748"/>
      <c r="K19" t="s">
        <v>1145</v>
      </c>
    </row>
    <row r="20" spans="1:22">
      <c r="A20" s="135" t="s">
        <v>1170</v>
      </c>
      <c r="B20" s="767">
        <v>196</v>
      </c>
      <c r="C20" s="767">
        <f t="shared" si="0"/>
        <v>196000000</v>
      </c>
      <c r="D20" s="873">
        <f t="shared" si="1"/>
        <v>54444.444444444445</v>
      </c>
      <c r="E20" s="747">
        <f t="shared" si="2"/>
        <v>4.6813795738989201</v>
      </c>
      <c r="F20" s="748"/>
      <c r="G20" s="748"/>
      <c r="H20" s="748"/>
      <c r="I20" s="748"/>
    </row>
    <row r="21" spans="1:22">
      <c r="A21" s="135" t="s">
        <v>1171</v>
      </c>
      <c r="B21" s="767">
        <v>52</v>
      </c>
      <c r="C21" s="767">
        <f t="shared" si="0"/>
        <v>52000000</v>
      </c>
      <c r="D21" s="873">
        <f t="shared" si="1"/>
        <v>14444.444444444445</v>
      </c>
      <c r="E21" s="747">
        <f t="shared" si="2"/>
        <v>1.2419986624629789</v>
      </c>
      <c r="F21" s="748"/>
      <c r="G21" s="748"/>
      <c r="H21" s="748"/>
      <c r="I21" s="748"/>
    </row>
    <row r="22" spans="1:22">
      <c r="A22" s="135" t="s">
        <v>1172</v>
      </c>
      <c r="B22" s="767">
        <v>25</v>
      </c>
      <c r="C22" s="767">
        <f t="shared" si="0"/>
        <v>25000000</v>
      </c>
      <c r="D22" s="873">
        <f t="shared" si="1"/>
        <v>6944.4444444444443</v>
      </c>
      <c r="E22" s="747">
        <f t="shared" si="2"/>
        <v>0.59711474156873989</v>
      </c>
      <c r="F22" s="748"/>
      <c r="G22" s="748"/>
      <c r="H22" s="748"/>
      <c r="I22" s="748"/>
    </row>
    <row r="23" spans="1:22">
      <c r="A23" s="746" t="s">
        <v>1173</v>
      </c>
      <c r="B23" s="767">
        <v>824</v>
      </c>
      <c r="C23" s="767">
        <f t="shared" si="0"/>
        <v>824000000</v>
      </c>
      <c r="D23" s="873">
        <f t="shared" si="1"/>
        <v>228888.88888888888</v>
      </c>
      <c r="E23" s="747">
        <f t="shared" si="2"/>
        <v>19.680901882105665</v>
      </c>
      <c r="F23" s="748"/>
      <c r="G23" s="748"/>
      <c r="H23" s="748"/>
      <c r="I23" s="748"/>
    </row>
    <row r="24" spans="1:22">
      <c r="A24" s="135" t="s">
        <v>120</v>
      </c>
      <c r="B24" s="767">
        <v>474</v>
      </c>
      <c r="C24" s="767">
        <f t="shared" si="0"/>
        <v>474000000</v>
      </c>
      <c r="D24" s="873">
        <f t="shared" si="1"/>
        <v>131666.66666666666</v>
      </c>
      <c r="E24" s="747">
        <f t="shared" si="2"/>
        <v>11.321295500143307</v>
      </c>
      <c r="F24" s="748"/>
      <c r="G24" s="748"/>
      <c r="H24" s="748"/>
      <c r="I24" s="748"/>
    </row>
    <row r="25" spans="1:22">
      <c r="A25" s="135" t="s">
        <v>44</v>
      </c>
      <c r="B25" s="767">
        <v>149</v>
      </c>
      <c r="C25" s="767">
        <f t="shared" si="0"/>
        <v>149000000</v>
      </c>
      <c r="D25" s="873">
        <f t="shared" si="1"/>
        <v>41388.888888888891</v>
      </c>
      <c r="E25" s="747">
        <f t="shared" si="2"/>
        <v>3.5588038597496898</v>
      </c>
      <c r="F25" s="748"/>
      <c r="G25" s="748"/>
      <c r="H25" s="748"/>
      <c r="I25" s="748"/>
    </row>
    <row r="26" spans="1:22">
      <c r="A26" s="135" t="s">
        <v>237</v>
      </c>
      <c r="B26" s="767">
        <v>131</v>
      </c>
      <c r="C26" s="767">
        <f t="shared" si="0"/>
        <v>131000000</v>
      </c>
      <c r="D26" s="873">
        <f t="shared" si="1"/>
        <v>36388.888888888891</v>
      </c>
      <c r="E26" s="747">
        <f t="shared" si="2"/>
        <v>3.1288812458201969</v>
      </c>
      <c r="F26" s="748"/>
      <c r="G26" s="748"/>
      <c r="H26" s="748"/>
      <c r="I26" s="748"/>
    </row>
    <row r="27" spans="1:22">
      <c r="A27" s="135" t="s">
        <v>559</v>
      </c>
      <c r="B27" s="767">
        <v>19</v>
      </c>
      <c r="C27" s="767">
        <f t="shared" si="0"/>
        <v>19000000</v>
      </c>
      <c r="D27" s="873">
        <f t="shared" si="1"/>
        <v>5277.7777777777774</v>
      </c>
      <c r="E27" s="747">
        <f t="shared" si="2"/>
        <v>0.45380720359224225</v>
      </c>
      <c r="F27" s="748"/>
      <c r="G27" s="748"/>
      <c r="H27" s="748"/>
      <c r="I27" s="748"/>
    </row>
    <row r="28" spans="1:22">
      <c r="A28" s="135" t="s">
        <v>1174</v>
      </c>
      <c r="B28" s="767">
        <v>9</v>
      </c>
      <c r="C28" s="767">
        <f t="shared" si="0"/>
        <v>9000000</v>
      </c>
      <c r="D28" s="873">
        <f t="shared" si="1"/>
        <v>2500</v>
      </c>
      <c r="E28" s="747">
        <f t="shared" si="2"/>
        <v>0.21496130696474636</v>
      </c>
      <c r="F28" s="748"/>
      <c r="G28" s="748"/>
      <c r="H28" s="748"/>
      <c r="I28" s="748"/>
    </row>
    <row r="29" spans="1:22">
      <c r="A29" s="135" t="s">
        <v>1175</v>
      </c>
      <c r="B29" s="767">
        <v>43</v>
      </c>
      <c r="C29" s="767">
        <f t="shared" si="0"/>
        <v>43000000</v>
      </c>
      <c r="D29" s="873">
        <f t="shared" si="1"/>
        <v>11944.444444444445</v>
      </c>
      <c r="E29" s="747">
        <f t="shared" si="2"/>
        <v>1.0270373554982326</v>
      </c>
      <c r="F29" s="748"/>
      <c r="G29" s="748"/>
      <c r="H29" s="748"/>
      <c r="I29" s="748"/>
    </row>
    <row r="30" spans="1:22" ht="34.5" customHeight="1">
      <c r="A30" s="749" t="s">
        <v>1241</v>
      </c>
      <c r="B30" s="750"/>
      <c r="C30" s="750"/>
      <c r="D30" s="751"/>
      <c r="E30" s="751"/>
      <c r="F30" s="751"/>
      <c r="G30" s="751"/>
      <c r="H30" s="751"/>
      <c r="I30" s="875">
        <v>312.60000000000002</v>
      </c>
    </row>
    <row r="31" spans="1:22">
      <c r="A31" s="68" t="s">
        <v>1146</v>
      </c>
      <c r="B31" s="750"/>
      <c r="C31" s="750"/>
      <c r="D31" s="751"/>
      <c r="E31" s="751"/>
      <c r="F31" s="751"/>
      <c r="G31" s="751"/>
      <c r="H31" s="751"/>
      <c r="I31" s="68">
        <v>262.60000000000002</v>
      </c>
    </row>
    <row r="32" spans="1:22" s="763" customFormat="1">
      <c r="A32" s="763" t="s">
        <v>1157</v>
      </c>
      <c r="B32" s="764"/>
      <c r="C32" s="764"/>
      <c r="D32" s="765"/>
      <c r="E32" s="765"/>
      <c r="F32" s="765"/>
      <c r="G32" s="765"/>
      <c r="H32" s="765"/>
      <c r="I32" s="766">
        <f>M37*I31</f>
        <v>202.33114754098361</v>
      </c>
      <c r="L32" s="881" t="s">
        <v>1265</v>
      </c>
      <c r="M32" s="881"/>
      <c r="N32" s="881"/>
      <c r="O32" s="881"/>
      <c r="P32" s="881"/>
      <c r="Q32" s="881"/>
      <c r="R32" s="881"/>
      <c r="S32" s="881"/>
      <c r="T32" s="881"/>
      <c r="U32" s="881"/>
      <c r="V32" s="881"/>
    </row>
    <row r="33" spans="1:18" s="763" customFormat="1">
      <c r="A33" s="763" t="s">
        <v>1158</v>
      </c>
      <c r="B33" s="764"/>
      <c r="C33" s="764"/>
      <c r="D33" s="765"/>
      <c r="E33" s="765"/>
      <c r="F33" s="765"/>
      <c r="G33" s="765"/>
      <c r="H33" s="765"/>
      <c r="I33" s="766">
        <f>M38*I31</f>
        <v>60.268852459016401</v>
      </c>
      <c r="L33" s="763" t="s">
        <v>1159</v>
      </c>
    </row>
    <row r="34" spans="1:18">
      <c r="A34" s="68" t="s">
        <v>1147</v>
      </c>
      <c r="B34" s="750"/>
      <c r="C34" s="750"/>
      <c r="D34" s="751"/>
      <c r="E34" s="751"/>
      <c r="F34" s="751"/>
      <c r="G34" s="751"/>
      <c r="H34" s="751"/>
      <c r="I34" s="68">
        <v>9.8000000000000007</v>
      </c>
      <c r="L34" t="s">
        <v>61</v>
      </c>
      <c r="M34" s="762">
        <v>0.47</v>
      </c>
    </row>
    <row r="35" spans="1:18">
      <c r="A35" s="68" t="s">
        <v>1148</v>
      </c>
      <c r="B35" s="750"/>
      <c r="C35" s="750"/>
      <c r="D35" s="751"/>
      <c r="E35" s="751"/>
      <c r="F35" s="751"/>
      <c r="G35" s="751"/>
      <c r="H35" s="751"/>
      <c r="I35" s="753">
        <v>2.2000000000000002</v>
      </c>
      <c r="L35" t="s">
        <v>60</v>
      </c>
      <c r="M35" s="13">
        <v>0.14000000000000001</v>
      </c>
    </row>
    <row r="36" spans="1:18" ht="15.75" customHeight="1">
      <c r="A36" s="68" t="s">
        <v>1229</v>
      </c>
      <c r="B36" s="750"/>
      <c r="C36" s="750"/>
      <c r="D36" s="751"/>
      <c r="E36" s="751"/>
      <c r="F36" s="751"/>
      <c r="G36" s="751"/>
      <c r="H36" s="751"/>
      <c r="I36" s="752">
        <v>10.6</v>
      </c>
      <c r="J36" s="786"/>
      <c r="L36" t="s">
        <v>1234</v>
      </c>
      <c r="R36" t="s">
        <v>1264</v>
      </c>
    </row>
    <row r="37" spans="1:18">
      <c r="A37" s="68" t="s">
        <v>1230</v>
      </c>
      <c r="B37" s="750"/>
      <c r="C37" s="750"/>
      <c r="D37" s="751"/>
      <c r="E37" s="751"/>
      <c r="F37" s="751"/>
      <c r="G37" s="751"/>
      <c r="H37" s="751"/>
      <c r="I37" s="752">
        <v>18.399999999999999</v>
      </c>
      <c r="L37" t="s">
        <v>61</v>
      </c>
      <c r="M37" s="9">
        <f>47/(47+14)</f>
        <v>0.77049180327868849</v>
      </c>
    </row>
    <row r="38" spans="1:18">
      <c r="A38" s="68"/>
      <c r="B38" s="791" t="s">
        <v>1231</v>
      </c>
      <c r="C38" s="750"/>
      <c r="D38" s="751"/>
      <c r="E38" s="751"/>
      <c r="F38" s="751"/>
      <c r="G38" s="751"/>
      <c r="H38" s="751"/>
      <c r="I38" s="880">
        <f>I37*M37</f>
        <v>14.177049180327867</v>
      </c>
      <c r="L38" t="s">
        <v>60</v>
      </c>
      <c r="M38" s="9">
        <f>14/(47+14)</f>
        <v>0.22950819672131148</v>
      </c>
    </row>
    <row r="39" spans="1:18">
      <c r="A39" s="68"/>
      <c r="B39" s="791" t="s">
        <v>1232</v>
      </c>
      <c r="C39" s="750"/>
      <c r="D39" s="751"/>
      <c r="E39" s="751"/>
      <c r="F39" s="751"/>
      <c r="G39" s="751"/>
      <c r="H39" s="751"/>
      <c r="I39" s="880">
        <f>I37*M38</f>
        <v>4.222950819672131</v>
      </c>
      <c r="M39" s="9"/>
    </row>
    <row r="40" spans="1:18">
      <c r="A40" s="68" t="s">
        <v>1233</v>
      </c>
      <c r="B40" s="750"/>
      <c r="C40" s="750"/>
      <c r="D40" s="751"/>
      <c r="E40" s="751"/>
      <c r="F40" s="751"/>
      <c r="G40" s="751"/>
      <c r="H40" s="751"/>
      <c r="I40" s="752">
        <v>9</v>
      </c>
      <c r="M40" s="9"/>
    </row>
    <row r="41" spans="1:18">
      <c r="A41" s="68"/>
      <c r="B41" s="750"/>
      <c r="C41" s="750"/>
      <c r="D41" s="751"/>
      <c r="E41" s="751"/>
      <c r="F41" s="751"/>
      <c r="G41" s="751"/>
      <c r="H41" s="751"/>
      <c r="I41" s="752"/>
      <c r="M41" s="9"/>
    </row>
    <row r="42" spans="1:18">
      <c r="A42" t="s">
        <v>1129</v>
      </c>
      <c r="B42" s="743"/>
      <c r="C42" s="743"/>
      <c r="D42" s="744"/>
      <c r="E42" s="744"/>
      <c r="F42" s="744"/>
      <c r="G42" s="744"/>
      <c r="H42" s="744"/>
      <c r="I42" s="745">
        <v>9.8000000000000007</v>
      </c>
    </row>
    <row r="43" spans="1:18">
      <c r="A43" s="34" t="s">
        <v>1095</v>
      </c>
      <c r="B43" s="324"/>
      <c r="C43" s="324"/>
      <c r="D43" s="324"/>
      <c r="E43" s="324"/>
      <c r="F43" s="324"/>
      <c r="G43" s="324"/>
      <c r="H43" s="324"/>
      <c r="I43" s="324"/>
    </row>
    <row r="44" spans="1:18">
      <c r="A44" t="s">
        <v>1096</v>
      </c>
      <c r="I44" s="13">
        <v>0.28999999999999998</v>
      </c>
    </row>
    <row r="45" spans="1:18">
      <c r="A45" t="s">
        <v>1097</v>
      </c>
      <c r="I45" s="13">
        <v>7.0000000000000007E-2</v>
      </c>
    </row>
    <row r="46" spans="1:18">
      <c r="A46" t="s">
        <v>1098</v>
      </c>
      <c r="I46" s="19">
        <v>5.5E-2</v>
      </c>
    </row>
    <row r="47" spans="1:18">
      <c r="B47" t="s">
        <v>1250</v>
      </c>
      <c r="I47" s="19">
        <v>4.4999999999999998E-2</v>
      </c>
    </row>
    <row r="48" spans="1:18">
      <c r="B48" t="s">
        <v>1251</v>
      </c>
      <c r="I48" s="19">
        <v>0.01</v>
      </c>
    </row>
    <row r="49" spans="1:20">
      <c r="A49" t="s">
        <v>1099</v>
      </c>
      <c r="I49" s="13">
        <v>0.06</v>
      </c>
    </row>
    <row r="50" spans="1:20">
      <c r="A50" t="s">
        <v>1100</v>
      </c>
    </row>
    <row r="51" spans="1:20">
      <c r="A51" t="s">
        <v>1101</v>
      </c>
    </row>
    <row r="52" spans="1:20">
      <c r="A52" s="34" t="s">
        <v>1102</v>
      </c>
      <c r="B52" s="324"/>
      <c r="C52" s="324"/>
      <c r="D52" s="324"/>
      <c r="E52" s="324"/>
      <c r="F52" s="324"/>
      <c r="G52" s="324"/>
      <c r="H52" s="324"/>
      <c r="I52" s="324"/>
    </row>
    <row r="53" spans="1:20">
      <c r="A53" s="634" t="s">
        <v>1103</v>
      </c>
      <c r="B53" s="324"/>
      <c r="C53" s="324"/>
      <c r="D53" s="324"/>
      <c r="E53" s="324"/>
      <c r="F53" s="324"/>
      <c r="G53" s="324"/>
      <c r="H53" s="324"/>
      <c r="I53" s="324"/>
    </row>
    <row r="54" spans="1:20">
      <c r="A54" s="634" t="s">
        <v>1104</v>
      </c>
      <c r="B54" s="324"/>
      <c r="C54" s="324"/>
      <c r="D54" s="324"/>
      <c r="E54" s="324"/>
      <c r="F54" s="324"/>
      <c r="G54" s="324"/>
      <c r="H54" s="324"/>
      <c r="I54" s="324"/>
      <c r="L54" s="36" t="s">
        <v>1239</v>
      </c>
      <c r="M54" s="324"/>
      <c r="N54" s="324"/>
      <c r="O54" s="324"/>
      <c r="P54" s="324"/>
      <c r="Q54" s="324"/>
      <c r="R54" s="324"/>
      <c r="S54" s="324"/>
      <c r="T54" s="324"/>
    </row>
    <row r="55" spans="1:20">
      <c r="A55" s="634" t="s">
        <v>1105</v>
      </c>
      <c r="B55" s="324"/>
      <c r="C55" s="324"/>
      <c r="D55" s="324"/>
      <c r="E55" s="324"/>
      <c r="F55" s="324"/>
      <c r="G55" s="324"/>
      <c r="H55" s="324"/>
      <c r="I55" s="324"/>
      <c r="L55" s="636" t="s">
        <v>1110</v>
      </c>
      <c r="M55" s="637"/>
      <c r="N55" s="638"/>
      <c r="O55" s="638"/>
      <c r="P55" s="638"/>
      <c r="Q55" s="638"/>
      <c r="R55" s="638"/>
      <c r="S55" s="638"/>
      <c r="T55" s="756">
        <v>0.44</v>
      </c>
    </row>
    <row r="56" spans="1:20">
      <c r="A56" s="634" t="s">
        <v>1106</v>
      </c>
      <c r="B56" s="324"/>
      <c r="C56" s="324"/>
      <c r="D56" s="324"/>
      <c r="E56" s="324"/>
      <c r="F56" s="324"/>
      <c r="G56" s="324"/>
      <c r="H56" s="324"/>
      <c r="I56" s="635"/>
      <c r="L56" s="636" t="s">
        <v>1111</v>
      </c>
      <c r="M56" s="637"/>
      <c r="N56" s="638"/>
      <c r="O56" s="638"/>
      <c r="P56" s="638"/>
      <c r="Q56" s="638"/>
      <c r="R56" s="638"/>
      <c r="S56" s="638"/>
      <c r="T56" s="870">
        <v>0.36</v>
      </c>
    </row>
    <row r="57" spans="1:20">
      <c r="A57" s="634" t="s">
        <v>1107</v>
      </c>
      <c r="B57" s="324"/>
      <c r="C57" s="324"/>
      <c r="D57" s="324"/>
      <c r="E57" s="324"/>
      <c r="F57" s="324"/>
      <c r="G57" s="324"/>
      <c r="H57" s="324"/>
      <c r="I57" s="324"/>
      <c r="L57" s="639" t="s">
        <v>1151</v>
      </c>
      <c r="M57" s="640"/>
      <c r="N57" s="640"/>
      <c r="O57" s="640"/>
      <c r="P57" s="640"/>
      <c r="Q57" s="640"/>
      <c r="R57" s="640"/>
      <c r="S57" s="640"/>
      <c r="T57" s="755">
        <v>0.04</v>
      </c>
    </row>
    <row r="58" spans="1:20">
      <c r="A58" s="634" t="s">
        <v>1108</v>
      </c>
      <c r="B58" s="324"/>
      <c r="C58" s="324"/>
      <c r="D58" s="324"/>
      <c r="E58" s="324"/>
      <c r="F58" s="324"/>
      <c r="G58" s="324"/>
      <c r="H58" s="324"/>
      <c r="I58" s="324"/>
      <c r="L58" s="639" t="s">
        <v>1152</v>
      </c>
      <c r="M58" s="640"/>
      <c r="N58" s="640"/>
      <c r="O58" s="640"/>
      <c r="P58" s="640"/>
      <c r="Q58" s="640"/>
      <c r="R58" s="640"/>
      <c r="S58" s="640"/>
      <c r="T58" s="755">
        <v>0.05</v>
      </c>
    </row>
    <row r="59" spans="1:20">
      <c r="A59" s="36" t="s">
        <v>1165</v>
      </c>
      <c r="B59" s="324"/>
      <c r="C59" s="324"/>
      <c r="D59" s="324"/>
      <c r="E59" s="324"/>
      <c r="F59" s="324"/>
      <c r="G59" s="324"/>
      <c r="H59" s="324"/>
      <c r="I59" s="324"/>
      <c r="L59" s="636" t="s">
        <v>1238</v>
      </c>
      <c r="M59" s="637"/>
      <c r="N59" s="638"/>
      <c r="O59" s="638"/>
      <c r="P59" s="638"/>
      <c r="Q59" s="638"/>
      <c r="R59" s="638"/>
      <c r="S59" s="638"/>
      <c r="T59" s="756">
        <v>0.11</v>
      </c>
    </row>
    <row r="60" spans="1:20">
      <c r="A60" s="1" t="s">
        <v>1153</v>
      </c>
      <c r="B60" s="757"/>
      <c r="C60" s="757"/>
      <c r="D60" s="757"/>
      <c r="E60" s="757"/>
      <c r="F60" s="757"/>
      <c r="G60" s="757"/>
      <c r="H60" s="757"/>
      <c r="I60" s="757"/>
      <c r="L60" s="636"/>
      <c r="M60" s="758"/>
      <c r="N60" s="759"/>
      <c r="O60" s="759"/>
      <c r="P60" s="759"/>
      <c r="Q60" s="759"/>
      <c r="R60" s="759"/>
      <c r="S60" s="759"/>
      <c r="T60" s="760"/>
    </row>
    <row r="61" spans="1:20">
      <c r="A61" s="636" t="s">
        <v>1154</v>
      </c>
      <c r="B61" s="637"/>
      <c r="C61" s="638"/>
      <c r="D61" s="638"/>
      <c r="E61" s="638"/>
      <c r="F61" s="638"/>
      <c r="G61" s="638"/>
      <c r="H61" s="638"/>
      <c r="I61" s="756"/>
      <c r="L61" s="36" t="s">
        <v>1240</v>
      </c>
      <c r="M61" s="324"/>
      <c r="N61" s="638"/>
      <c r="O61" s="638"/>
      <c r="P61" s="638"/>
      <c r="Q61" s="638"/>
      <c r="R61" s="638"/>
      <c r="S61" s="638"/>
      <c r="T61" s="637"/>
    </row>
    <row r="62" spans="1:20">
      <c r="A62" s="636" t="s">
        <v>1155</v>
      </c>
      <c r="B62" s="637"/>
      <c r="C62" s="638"/>
      <c r="D62" s="638"/>
      <c r="E62" s="638"/>
      <c r="F62" s="638"/>
      <c r="G62" s="638"/>
      <c r="H62" s="638"/>
      <c r="I62" s="755"/>
      <c r="L62" s="636" t="s">
        <v>1110</v>
      </c>
      <c r="M62" s="637"/>
      <c r="N62" s="638"/>
      <c r="O62" s="638"/>
      <c r="P62" s="638"/>
      <c r="Q62" s="638"/>
      <c r="R62" s="638"/>
      <c r="S62" s="638"/>
      <c r="T62" s="756">
        <v>0.91</v>
      </c>
    </row>
    <row r="63" spans="1:20">
      <c r="A63" s="639"/>
      <c r="B63" s="640"/>
      <c r="C63" s="640"/>
      <c r="D63" s="640"/>
      <c r="E63" s="640"/>
      <c r="F63" s="640"/>
      <c r="G63" s="640"/>
      <c r="H63" s="640"/>
      <c r="I63" s="755"/>
      <c r="L63" s="636" t="s">
        <v>1111</v>
      </c>
      <c r="M63" s="637"/>
      <c r="N63" s="638"/>
      <c r="O63" s="638"/>
      <c r="P63" s="638"/>
      <c r="Q63" s="638"/>
      <c r="R63" s="638"/>
      <c r="S63" s="638"/>
      <c r="T63" s="756">
        <v>0</v>
      </c>
    </row>
    <row r="64" spans="1:20">
      <c r="A64" s="639" t="s">
        <v>1152</v>
      </c>
      <c r="B64" s="640"/>
      <c r="C64" s="640"/>
      <c r="D64" s="640"/>
      <c r="E64" s="640"/>
      <c r="F64" s="640"/>
      <c r="G64" s="640"/>
      <c r="H64" s="640"/>
      <c r="I64" s="755"/>
      <c r="L64" s="639" t="s">
        <v>1151</v>
      </c>
      <c r="M64" s="640"/>
      <c r="N64" s="638"/>
      <c r="O64" s="638"/>
      <c r="P64" s="638"/>
      <c r="Q64" s="638"/>
      <c r="R64" s="638"/>
      <c r="S64" s="638"/>
      <c r="T64" s="756">
        <v>0.09</v>
      </c>
    </row>
    <row r="65" spans="1:20">
      <c r="A65" s="636" t="s">
        <v>1114</v>
      </c>
      <c r="B65" s="637"/>
      <c r="C65" s="638"/>
      <c r="D65" s="638"/>
      <c r="E65" s="638"/>
      <c r="F65" s="638"/>
      <c r="G65" s="638"/>
      <c r="H65" s="638"/>
      <c r="I65" s="761" t="s">
        <v>1156</v>
      </c>
      <c r="L65" s="636" t="s">
        <v>1237</v>
      </c>
      <c r="M65" s="640"/>
      <c r="N65" s="638"/>
      <c r="O65" s="638"/>
      <c r="P65" s="638"/>
      <c r="Q65" s="638"/>
      <c r="R65" s="638"/>
      <c r="S65" s="638"/>
      <c r="T65" s="756">
        <v>0</v>
      </c>
    </row>
    <row r="66" spans="1:20">
      <c r="A66" s="36" t="s">
        <v>1150</v>
      </c>
      <c r="B66" s="324"/>
      <c r="C66" s="638"/>
      <c r="D66" s="638"/>
      <c r="E66" s="638"/>
      <c r="F66" s="638"/>
      <c r="G66" s="638"/>
      <c r="H66" s="638"/>
      <c r="I66" s="637"/>
      <c r="L66" s="636"/>
      <c r="M66" s="637"/>
      <c r="N66" s="638"/>
      <c r="O66" s="638"/>
      <c r="P66" s="638"/>
      <c r="Q66" s="638"/>
      <c r="R66" s="638"/>
      <c r="S66" s="638"/>
      <c r="T66" s="756"/>
    </row>
    <row r="67" spans="1:20">
      <c r="A67" s="636" t="s">
        <v>1110</v>
      </c>
      <c r="B67" s="637"/>
      <c r="C67" s="638"/>
      <c r="D67" s="638"/>
      <c r="E67" s="638"/>
      <c r="F67" s="638"/>
      <c r="G67" s="638"/>
      <c r="H67" s="638"/>
      <c r="I67" s="637"/>
    </row>
    <row r="68" spans="1:20">
      <c r="A68" s="636" t="s">
        <v>1111</v>
      </c>
      <c r="B68" s="637"/>
      <c r="C68" s="638"/>
      <c r="D68" s="638"/>
      <c r="E68" s="638"/>
      <c r="F68" s="638"/>
      <c r="G68" s="638"/>
      <c r="H68" s="638"/>
      <c r="I68" s="637"/>
    </row>
    <row r="69" spans="1:20">
      <c r="A69" s="639" t="s">
        <v>1112</v>
      </c>
      <c r="B69" s="640"/>
      <c r="C69" s="638"/>
      <c r="D69" s="638"/>
      <c r="E69" s="638"/>
      <c r="F69" s="638"/>
      <c r="G69" s="638"/>
      <c r="H69" s="638"/>
      <c r="I69" s="637"/>
    </row>
    <row r="70" spans="1:20">
      <c r="A70" s="639" t="s">
        <v>1113</v>
      </c>
      <c r="B70" s="640"/>
      <c r="C70" s="638"/>
      <c r="D70" s="638"/>
      <c r="E70" s="638"/>
      <c r="F70" s="638"/>
      <c r="G70" s="638"/>
      <c r="H70" s="638"/>
      <c r="I70" s="637"/>
    </row>
    <row r="71" spans="1:20">
      <c r="A71" s="636" t="s">
        <v>1114</v>
      </c>
      <c r="B71" s="637"/>
      <c r="C71" s="638"/>
      <c r="D71" s="638"/>
      <c r="E71" s="638"/>
      <c r="F71" s="638"/>
      <c r="G71" s="638"/>
      <c r="H71" s="638"/>
      <c r="I71" s="637"/>
    </row>
    <row r="72" spans="1:20">
      <c r="A72" s="36" t="s">
        <v>1115</v>
      </c>
      <c r="B72" s="324"/>
      <c r="C72" s="324"/>
      <c r="D72" s="324"/>
      <c r="E72" s="324"/>
      <c r="F72" s="324"/>
      <c r="G72" s="324"/>
      <c r="H72" s="324"/>
      <c r="I72" s="324"/>
    </row>
    <row r="73" spans="1:20">
      <c r="A73" s="641" t="s">
        <v>1116</v>
      </c>
      <c r="B73" s="642"/>
      <c r="C73" s="642"/>
      <c r="D73" s="642"/>
      <c r="E73" s="642"/>
      <c r="F73" s="642"/>
      <c r="G73" s="642"/>
      <c r="H73" s="642"/>
      <c r="I73" s="642"/>
    </row>
    <row r="74" spans="1:20">
      <c r="A74" s="641" t="s">
        <v>1117</v>
      </c>
      <c r="B74" s="642"/>
      <c r="C74" s="642"/>
      <c r="D74" s="642"/>
      <c r="E74" s="642"/>
      <c r="F74" s="642"/>
      <c r="G74" s="642"/>
      <c r="H74" s="642"/>
      <c r="I74" s="642"/>
    </row>
    <row r="75" spans="1:20">
      <c r="A75" s="641" t="s">
        <v>1118</v>
      </c>
      <c r="B75" s="642"/>
      <c r="C75" s="642"/>
      <c r="D75" s="642"/>
      <c r="E75" s="642"/>
      <c r="F75" s="642"/>
      <c r="G75" s="642"/>
      <c r="H75" s="642"/>
      <c r="I75" s="642"/>
    </row>
    <row r="76" spans="1:20">
      <c r="A76" s="641" t="s">
        <v>1119</v>
      </c>
      <c r="B76" s="642"/>
      <c r="C76" s="642"/>
      <c r="D76" s="642"/>
      <c r="E76" s="642"/>
      <c r="F76" s="642"/>
      <c r="G76" s="642"/>
      <c r="H76" s="642"/>
      <c r="I76" s="642"/>
    </row>
    <row r="77" spans="1:20">
      <c r="A77" s="641" t="s">
        <v>220</v>
      </c>
      <c r="B77" s="642"/>
      <c r="C77" s="642"/>
      <c r="D77" s="642"/>
      <c r="E77" s="642"/>
      <c r="F77" s="642"/>
      <c r="G77" s="642"/>
      <c r="H77" s="642"/>
      <c r="I77" s="642"/>
    </row>
    <row r="78" spans="1:20">
      <c r="A78" s="641" t="s">
        <v>1120</v>
      </c>
      <c r="B78" s="642"/>
      <c r="C78" s="642"/>
      <c r="D78" s="642"/>
      <c r="E78" s="642"/>
      <c r="F78" s="642"/>
      <c r="G78" s="642"/>
      <c r="H78" s="642"/>
      <c r="I78" s="642"/>
    </row>
    <row r="79" spans="1:20">
      <c r="A79" s="641" t="s">
        <v>1121</v>
      </c>
      <c r="B79" s="642"/>
      <c r="C79" s="642"/>
      <c r="D79" s="642"/>
      <c r="E79" s="642"/>
      <c r="F79" s="642"/>
      <c r="G79" s="642"/>
      <c r="H79" s="642"/>
      <c r="I79" s="642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3652-541D-4A19-80F6-EC5EF6336137}">
  <sheetPr codeName="Tabelle1">
    <tabColor theme="9" tint="-0.499984740745262"/>
  </sheetPr>
  <dimension ref="A2:DB48"/>
  <sheetViews>
    <sheetView workbookViewId="0">
      <pane xSplit="1" ySplit="6" topLeftCell="AB7" activePane="bottomRight" state="frozen"/>
      <selection pane="topRight" activeCell="B1" sqref="B1"/>
      <selection pane="bottomLeft" activeCell="A5" sqref="A5"/>
      <selection pane="bottomRight" activeCell="AX3" sqref="AX3"/>
    </sheetView>
  </sheetViews>
  <sheetFormatPr baseColWidth="10" defaultColWidth="9.1796875" defaultRowHeight="14.5"/>
  <cols>
    <col min="2" max="2" width="13.81640625" customWidth="1"/>
    <col min="3" max="3" width="13.7265625" bestFit="1" customWidth="1"/>
    <col min="4" max="5" width="12.54296875" bestFit="1" customWidth="1"/>
    <col min="6" max="6" width="11" bestFit="1" customWidth="1"/>
    <col min="7" max="8" width="12.54296875" bestFit="1" customWidth="1"/>
    <col min="9" max="9" width="10" bestFit="1" customWidth="1"/>
    <col min="10" max="10" width="11" bestFit="1" customWidth="1"/>
    <col min="11" max="13" width="12.54296875" bestFit="1" customWidth="1"/>
    <col min="14" max="15" width="14.7265625" bestFit="1" customWidth="1"/>
    <col min="16" max="16" width="12.54296875" bestFit="1" customWidth="1"/>
    <col min="17" max="17" width="13.7265625" bestFit="1" customWidth="1"/>
    <col min="18" max="18" width="9" bestFit="1" customWidth="1"/>
    <col min="19" max="19" width="12.1796875" customWidth="1"/>
    <col min="20" max="20" width="13.7265625" bestFit="1" customWidth="1"/>
    <col min="21" max="21" width="12.54296875" bestFit="1" customWidth="1"/>
    <col min="22" max="23" width="11" bestFit="1" customWidth="1"/>
    <col min="24" max="26" width="12.54296875" bestFit="1" customWidth="1"/>
    <col min="27" max="28" width="9" bestFit="1" customWidth="1"/>
    <col min="29" max="29" width="10" bestFit="1" customWidth="1"/>
    <col min="30" max="30" width="12.54296875" bestFit="1" customWidth="1"/>
    <col min="31" max="33" width="9" bestFit="1" customWidth="1"/>
    <col min="34" max="34" width="9.7265625" customWidth="1"/>
    <col min="35" max="37" width="9" bestFit="1" customWidth="1"/>
    <col min="38" max="38" width="11" bestFit="1" customWidth="1"/>
    <col min="39" max="39" width="10" bestFit="1" customWidth="1"/>
    <col min="40" max="40" width="13.7265625" bestFit="1" customWidth="1"/>
    <col min="41" max="44" width="12.54296875" bestFit="1" customWidth="1"/>
    <col min="45" max="45" width="10" bestFit="1" customWidth="1"/>
    <col min="46" max="47" width="12.54296875" bestFit="1" customWidth="1"/>
    <col min="48" max="48" width="14.7265625" bestFit="1" customWidth="1"/>
    <col min="49" max="50" width="13.7265625" bestFit="1" customWidth="1"/>
    <col min="51" max="51" width="12.54296875" bestFit="1" customWidth="1"/>
    <col min="52" max="52" width="13.7265625" bestFit="1" customWidth="1"/>
    <col min="53" max="53" width="11" bestFit="1" customWidth="1"/>
    <col min="54" max="55" width="13.7265625" bestFit="1" customWidth="1"/>
    <col min="56" max="56" width="12.54296875" bestFit="1" customWidth="1"/>
    <col min="57" max="58" width="13.7265625" bestFit="1" customWidth="1"/>
    <col min="59" max="60" width="12.54296875" bestFit="1" customWidth="1"/>
    <col min="61" max="61" width="13.7265625" bestFit="1" customWidth="1"/>
    <col min="62" max="62" width="14.7265625" bestFit="1" customWidth="1"/>
    <col min="63" max="63" width="12.54296875" bestFit="1" customWidth="1"/>
    <col min="64" max="64" width="13.7265625" bestFit="1" customWidth="1"/>
    <col min="65" max="65" width="9" bestFit="1" customWidth="1"/>
    <col min="66" max="66" width="14.7265625" bestFit="1" customWidth="1"/>
    <col min="67" max="67" width="13.7265625" bestFit="1" customWidth="1"/>
    <col min="68" max="68" width="12.54296875" bestFit="1" customWidth="1"/>
    <col min="69" max="70" width="11" bestFit="1" customWidth="1"/>
    <col min="71" max="73" width="12.54296875" bestFit="1" customWidth="1"/>
    <col min="74" max="75" width="9" bestFit="1" customWidth="1"/>
    <col min="76" max="76" width="10.54296875" bestFit="1" customWidth="1"/>
    <col min="77" max="77" width="12.54296875" bestFit="1" customWidth="1"/>
    <col min="78" max="78" width="9.54296875" bestFit="1" customWidth="1"/>
    <col min="79" max="79" width="9" bestFit="1" customWidth="1"/>
    <col min="80" max="80" width="7.1796875" customWidth="1"/>
    <col min="81" max="84" width="9" bestFit="1" customWidth="1"/>
    <col min="85" max="85" width="12.54296875" bestFit="1" customWidth="1"/>
    <col min="86" max="86" width="12.453125" bestFit="1" customWidth="1"/>
    <col min="87" max="87" width="13.7265625" bestFit="1" customWidth="1"/>
    <col min="88" max="89" width="12.54296875" bestFit="1" customWidth="1"/>
    <col min="90" max="90" width="9" bestFit="1" customWidth="1"/>
    <col min="91" max="91" width="12.54296875" bestFit="1" customWidth="1"/>
    <col min="92" max="92" width="10" bestFit="1" customWidth="1"/>
    <col min="93" max="94" width="12.54296875" bestFit="1" customWidth="1"/>
    <col min="95" max="95" width="13.453125" customWidth="1"/>
    <col min="96" max="96" width="14.7265625" customWidth="1"/>
    <col min="98" max="101" width="11.7265625" customWidth="1"/>
    <col min="102" max="102" width="4.7265625" customWidth="1"/>
    <col min="103" max="106" width="12" customWidth="1"/>
  </cols>
  <sheetData>
    <row r="2" spans="1:106">
      <c r="A2" s="449" t="s">
        <v>948</v>
      </c>
      <c r="B2" s="449" t="s">
        <v>944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  <c r="CH2" s="449"/>
      <c r="CI2" s="449"/>
      <c r="CJ2" s="449"/>
      <c r="CK2" s="449"/>
      <c r="CL2" s="449"/>
      <c r="CM2" s="449"/>
      <c r="CN2" s="449"/>
      <c r="CO2" s="449"/>
      <c r="CP2" s="449"/>
    </row>
    <row r="3" spans="1:106" ht="15" thickBot="1">
      <c r="A3" s="449"/>
      <c r="B3" s="449" t="s">
        <v>943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58" t="s">
        <v>942</v>
      </c>
      <c r="AW3" s="449" t="s">
        <v>941</v>
      </c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 s="449"/>
      <c r="BW3" s="449"/>
      <c r="BX3" s="449"/>
      <c r="BY3" s="449"/>
      <c r="BZ3" s="449"/>
      <c r="CA3" s="449"/>
      <c r="CB3" s="449"/>
      <c r="CC3" s="449"/>
      <c r="CD3" s="449"/>
      <c r="CE3" s="449"/>
      <c r="CF3" s="449"/>
      <c r="CG3" s="449"/>
      <c r="CH3" s="449"/>
      <c r="CI3" s="449"/>
      <c r="CJ3" s="449"/>
      <c r="CK3" s="449"/>
      <c r="CL3" s="449"/>
      <c r="CM3" s="449"/>
      <c r="CN3" s="449"/>
      <c r="CO3" s="449"/>
      <c r="CP3" s="449"/>
    </row>
    <row r="4" spans="1:106" ht="36.5" thickBot="1">
      <c r="A4" s="449"/>
      <c r="B4" s="464" t="s">
        <v>794</v>
      </c>
      <c r="C4" s="464" t="s">
        <v>940</v>
      </c>
      <c r="D4" s="464" t="s">
        <v>939</v>
      </c>
      <c r="E4" s="463" t="s">
        <v>938</v>
      </c>
      <c r="F4" s="463" t="s">
        <v>937</v>
      </c>
      <c r="G4" s="463" t="s">
        <v>936</v>
      </c>
      <c r="H4" s="463" t="s">
        <v>935</v>
      </c>
      <c r="I4" s="463" t="s">
        <v>934</v>
      </c>
      <c r="J4" s="463" t="s">
        <v>933</v>
      </c>
      <c r="K4" s="462" t="s">
        <v>932</v>
      </c>
      <c r="L4" s="460" t="s">
        <v>931</v>
      </c>
      <c r="M4" s="460" t="s">
        <v>930</v>
      </c>
      <c r="N4" s="460" t="s">
        <v>929</v>
      </c>
      <c r="O4" s="460" t="s">
        <v>928</v>
      </c>
      <c r="P4" s="460" t="s">
        <v>927</v>
      </c>
      <c r="Q4" s="460" t="s">
        <v>926</v>
      </c>
      <c r="R4" s="460" t="s">
        <v>925</v>
      </c>
      <c r="S4" s="460" t="s">
        <v>924</v>
      </c>
      <c r="T4" s="460" t="s">
        <v>923</v>
      </c>
      <c r="U4" s="461" t="s">
        <v>922</v>
      </c>
      <c r="V4" s="461" t="s">
        <v>921</v>
      </c>
      <c r="W4" s="461" t="s">
        <v>920</v>
      </c>
      <c r="X4" s="461" t="s">
        <v>919</v>
      </c>
      <c r="Y4" s="460" t="s">
        <v>918</v>
      </c>
      <c r="Z4" s="460" t="s">
        <v>917</v>
      </c>
      <c r="AA4" s="460" t="s">
        <v>916</v>
      </c>
      <c r="AB4" s="460" t="s">
        <v>915</v>
      </c>
      <c r="AC4" s="460" t="s">
        <v>914</v>
      </c>
      <c r="AD4" s="460" t="s">
        <v>913</v>
      </c>
      <c r="AE4" s="460" t="s">
        <v>912</v>
      </c>
      <c r="AF4" s="460" t="s">
        <v>911</v>
      </c>
      <c r="AG4" s="460" t="s">
        <v>910</v>
      </c>
      <c r="AH4" s="460" t="s">
        <v>909</v>
      </c>
      <c r="AI4" s="460" t="s">
        <v>908</v>
      </c>
      <c r="AJ4" s="460" t="s">
        <v>907</v>
      </c>
      <c r="AK4" s="460" t="s">
        <v>906</v>
      </c>
      <c r="AL4" s="460" t="s">
        <v>905</v>
      </c>
      <c r="AM4" s="460" t="s">
        <v>904</v>
      </c>
      <c r="AN4" s="460" t="s">
        <v>903</v>
      </c>
      <c r="AO4" s="460" t="s">
        <v>902</v>
      </c>
      <c r="AP4" s="460" t="s">
        <v>901</v>
      </c>
      <c r="AQ4" s="460" t="s">
        <v>900</v>
      </c>
      <c r="AR4" s="460" t="s">
        <v>899</v>
      </c>
      <c r="AS4" s="460" t="s">
        <v>898</v>
      </c>
      <c r="AT4" s="459" t="s">
        <v>897</v>
      </c>
      <c r="AU4" s="459" t="s">
        <v>896</v>
      </c>
      <c r="AV4" s="458"/>
      <c r="AW4" s="464" t="s">
        <v>794</v>
      </c>
      <c r="AX4" s="464" t="s">
        <v>940</v>
      </c>
      <c r="AY4" s="464" t="s">
        <v>939</v>
      </c>
      <c r="AZ4" s="463" t="s">
        <v>938</v>
      </c>
      <c r="BA4" s="463" t="s">
        <v>937</v>
      </c>
      <c r="BB4" s="463" t="s">
        <v>936</v>
      </c>
      <c r="BC4" s="463" t="s">
        <v>935</v>
      </c>
      <c r="BD4" s="463" t="s">
        <v>934</v>
      </c>
      <c r="BE4" s="463" t="s">
        <v>933</v>
      </c>
      <c r="BF4" s="462" t="s">
        <v>932</v>
      </c>
      <c r="BG4" s="460" t="s">
        <v>931</v>
      </c>
      <c r="BH4" s="460" t="s">
        <v>930</v>
      </c>
      <c r="BI4" s="460" t="s">
        <v>929</v>
      </c>
      <c r="BJ4" s="460" t="s">
        <v>928</v>
      </c>
      <c r="BK4" s="460" t="s">
        <v>927</v>
      </c>
      <c r="BL4" s="460" t="s">
        <v>926</v>
      </c>
      <c r="BM4" s="460" t="s">
        <v>925</v>
      </c>
      <c r="BN4" s="460" t="s">
        <v>924</v>
      </c>
      <c r="BO4" s="460" t="s">
        <v>923</v>
      </c>
      <c r="BP4" s="461" t="s">
        <v>922</v>
      </c>
      <c r="BQ4" s="461" t="s">
        <v>921</v>
      </c>
      <c r="BR4" s="461" t="s">
        <v>920</v>
      </c>
      <c r="BS4" s="461" t="s">
        <v>919</v>
      </c>
      <c r="BT4" s="460" t="s">
        <v>918</v>
      </c>
      <c r="BU4" s="460" t="s">
        <v>917</v>
      </c>
      <c r="BV4" s="460" t="s">
        <v>916</v>
      </c>
      <c r="BW4" s="460" t="s">
        <v>915</v>
      </c>
      <c r="BX4" s="460" t="s">
        <v>914</v>
      </c>
      <c r="BY4" s="460" t="s">
        <v>913</v>
      </c>
      <c r="BZ4" s="460" t="s">
        <v>912</v>
      </c>
      <c r="CA4" s="460" t="s">
        <v>911</v>
      </c>
      <c r="CB4" s="460" t="s">
        <v>910</v>
      </c>
      <c r="CC4" s="460" t="s">
        <v>909</v>
      </c>
      <c r="CD4" s="460" t="s">
        <v>908</v>
      </c>
      <c r="CE4" s="460" t="s">
        <v>907</v>
      </c>
      <c r="CF4" s="460" t="s">
        <v>906</v>
      </c>
      <c r="CG4" s="460" t="s">
        <v>905</v>
      </c>
      <c r="CH4" s="460" t="s">
        <v>904</v>
      </c>
      <c r="CI4" s="460" t="s">
        <v>903</v>
      </c>
      <c r="CJ4" s="460" t="s">
        <v>902</v>
      </c>
      <c r="CK4" s="460" t="s">
        <v>901</v>
      </c>
      <c r="CL4" s="460" t="s">
        <v>900</v>
      </c>
      <c r="CM4" s="460" t="s">
        <v>899</v>
      </c>
      <c r="CN4" s="460" t="s">
        <v>898</v>
      </c>
      <c r="CO4" s="459" t="s">
        <v>897</v>
      </c>
      <c r="CP4" s="459" t="s">
        <v>896</v>
      </c>
      <c r="CT4" s="107" t="s">
        <v>895</v>
      </c>
      <c r="CU4" s="107" t="s">
        <v>894</v>
      </c>
      <c r="CV4" s="107" t="s">
        <v>893</v>
      </c>
      <c r="CY4" s="107" t="s">
        <v>839</v>
      </c>
      <c r="CZ4" s="107" t="s">
        <v>838</v>
      </c>
      <c r="DA4" s="107" t="s">
        <v>837</v>
      </c>
    </row>
    <row r="5" spans="1:106">
      <c r="A5" s="449"/>
      <c r="B5" s="457">
        <v>2</v>
      </c>
      <c r="C5" s="457">
        <v>2</v>
      </c>
      <c r="D5" s="457">
        <v>2</v>
      </c>
      <c r="E5" s="454">
        <v>1</v>
      </c>
      <c r="F5" s="454">
        <v>1</v>
      </c>
      <c r="G5" s="454">
        <v>1</v>
      </c>
      <c r="H5" s="454">
        <v>1</v>
      </c>
      <c r="I5" s="454">
        <v>1</v>
      </c>
      <c r="J5" s="454">
        <v>1</v>
      </c>
      <c r="K5" s="456">
        <v>1</v>
      </c>
      <c r="L5" s="454">
        <v>1</v>
      </c>
      <c r="M5" s="454">
        <v>1</v>
      </c>
      <c r="N5" s="454">
        <v>1</v>
      </c>
      <c r="O5" s="454">
        <v>1</v>
      </c>
      <c r="P5" s="454">
        <v>1</v>
      </c>
      <c r="Q5" s="454">
        <v>1</v>
      </c>
      <c r="R5" s="454">
        <v>1</v>
      </c>
      <c r="S5" s="454">
        <v>1</v>
      </c>
      <c r="T5" s="454">
        <v>1</v>
      </c>
      <c r="U5" s="455">
        <v>2</v>
      </c>
      <c r="V5" s="455">
        <v>2</v>
      </c>
      <c r="W5" s="455">
        <v>2</v>
      </c>
      <c r="X5" s="455">
        <v>2</v>
      </c>
      <c r="Y5" s="454">
        <v>2</v>
      </c>
      <c r="Z5" s="454">
        <v>2</v>
      </c>
      <c r="AA5" s="454">
        <v>4</v>
      </c>
      <c r="AB5" s="454">
        <v>4</v>
      </c>
      <c r="AC5" s="454">
        <v>4</v>
      </c>
      <c r="AD5" s="454">
        <v>4</v>
      </c>
      <c r="AE5" s="454">
        <v>4</v>
      </c>
      <c r="AF5" s="454">
        <v>4</v>
      </c>
      <c r="AG5" s="454">
        <v>4</v>
      </c>
      <c r="AH5" s="454">
        <v>4</v>
      </c>
      <c r="AI5" s="454">
        <v>4</v>
      </c>
      <c r="AJ5" s="454">
        <v>4</v>
      </c>
      <c r="AK5" s="454">
        <v>4</v>
      </c>
      <c r="AL5" s="454">
        <v>4</v>
      </c>
      <c r="AM5" s="454">
        <v>4</v>
      </c>
      <c r="AN5" s="454">
        <v>3</v>
      </c>
      <c r="AO5" s="454">
        <v>3</v>
      </c>
      <c r="AP5" s="454">
        <v>3</v>
      </c>
      <c r="AQ5" s="454">
        <v>3</v>
      </c>
      <c r="AR5" s="454">
        <v>3</v>
      </c>
      <c r="AS5" s="454">
        <v>3</v>
      </c>
      <c r="AT5" s="453">
        <v>3</v>
      </c>
      <c r="AU5" s="453">
        <v>3</v>
      </c>
      <c r="AV5" s="458"/>
      <c r="AW5" s="457">
        <v>2</v>
      </c>
      <c r="AX5" s="457">
        <v>2</v>
      </c>
      <c r="AY5" s="457">
        <v>2</v>
      </c>
      <c r="AZ5" s="454">
        <v>1</v>
      </c>
      <c r="BA5" s="454">
        <v>1</v>
      </c>
      <c r="BB5" s="454">
        <v>1</v>
      </c>
      <c r="BC5" s="454">
        <v>1</v>
      </c>
      <c r="BD5" s="454">
        <v>1</v>
      </c>
      <c r="BE5" s="454">
        <v>1</v>
      </c>
      <c r="BF5" s="456">
        <v>1</v>
      </c>
      <c r="BG5" s="454">
        <v>1</v>
      </c>
      <c r="BH5" s="454">
        <v>1</v>
      </c>
      <c r="BI5" s="454">
        <v>1</v>
      </c>
      <c r="BJ5" s="454">
        <v>1</v>
      </c>
      <c r="BK5" s="454">
        <v>1</v>
      </c>
      <c r="BL5" s="454">
        <v>1</v>
      </c>
      <c r="BM5" s="454">
        <v>1</v>
      </c>
      <c r="BN5" s="454">
        <v>1</v>
      </c>
      <c r="BO5" s="454">
        <v>1</v>
      </c>
      <c r="BP5" s="455">
        <v>2</v>
      </c>
      <c r="BQ5" s="455">
        <v>2</v>
      </c>
      <c r="BR5" s="455">
        <v>2</v>
      </c>
      <c r="BS5" s="455">
        <v>2</v>
      </c>
      <c r="BT5" s="454">
        <v>2</v>
      </c>
      <c r="BU5" s="454">
        <v>2</v>
      </c>
      <c r="BV5" s="454">
        <v>4</v>
      </c>
      <c r="BW5" s="454">
        <v>4</v>
      </c>
      <c r="BX5" s="454">
        <v>4</v>
      </c>
      <c r="BY5" s="454">
        <v>4</v>
      </c>
      <c r="BZ5" s="454">
        <v>4</v>
      </c>
      <c r="CA5" s="454">
        <v>4</v>
      </c>
      <c r="CB5" s="454">
        <v>4</v>
      </c>
      <c r="CC5" s="454">
        <v>4</v>
      </c>
      <c r="CD5" s="454">
        <v>4</v>
      </c>
      <c r="CE5" s="454">
        <v>4</v>
      </c>
      <c r="CF5" s="454">
        <v>4</v>
      </c>
      <c r="CG5" s="454">
        <v>4</v>
      </c>
      <c r="CH5" s="454">
        <v>4</v>
      </c>
      <c r="CI5" s="454">
        <v>3</v>
      </c>
      <c r="CJ5" s="454">
        <v>3</v>
      </c>
      <c r="CK5" s="454">
        <v>3</v>
      </c>
      <c r="CL5" s="454">
        <v>3</v>
      </c>
      <c r="CM5" s="454">
        <v>3</v>
      </c>
      <c r="CN5" s="454">
        <v>3</v>
      </c>
      <c r="CO5" s="453">
        <v>3</v>
      </c>
      <c r="CP5" s="453">
        <v>3</v>
      </c>
      <c r="CT5" s="107"/>
      <c r="CU5" s="107"/>
      <c r="CV5" s="107"/>
      <c r="CX5" s="452"/>
      <c r="CY5" s="107"/>
      <c r="CZ5" s="107"/>
      <c r="DA5" s="107"/>
    </row>
    <row r="6" spans="1:106" ht="43.5">
      <c r="A6" s="450" t="s">
        <v>892</v>
      </c>
      <c r="B6" s="450" t="s">
        <v>891</v>
      </c>
      <c r="C6" s="450" t="s">
        <v>890</v>
      </c>
      <c r="D6" s="450" t="s">
        <v>889</v>
      </c>
      <c r="E6" s="450" t="s">
        <v>888</v>
      </c>
      <c r="F6" s="450" t="s">
        <v>887</v>
      </c>
      <c r="G6" s="450" t="s">
        <v>886</v>
      </c>
      <c r="H6" s="450" t="s">
        <v>885</v>
      </c>
      <c r="I6" s="450" t="s">
        <v>884</v>
      </c>
      <c r="J6" s="450" t="s">
        <v>883</v>
      </c>
      <c r="K6" s="450" t="s">
        <v>882</v>
      </c>
      <c r="L6" s="450" t="s">
        <v>881</v>
      </c>
      <c r="M6" s="450" t="s">
        <v>880</v>
      </c>
      <c r="N6" s="450" t="s">
        <v>879</v>
      </c>
      <c r="O6" s="450" t="s">
        <v>878</v>
      </c>
      <c r="P6" s="450" t="s">
        <v>877</v>
      </c>
      <c r="Q6" s="450" t="s">
        <v>876</v>
      </c>
      <c r="R6" s="450" t="s">
        <v>875</v>
      </c>
      <c r="S6" s="450" t="s">
        <v>874</v>
      </c>
      <c r="T6" s="450" t="s">
        <v>873</v>
      </c>
      <c r="U6" s="450" t="s">
        <v>872</v>
      </c>
      <c r="V6" s="450" t="s">
        <v>871</v>
      </c>
      <c r="W6" s="450" t="s">
        <v>870</v>
      </c>
      <c r="X6" s="450" t="s">
        <v>869</v>
      </c>
      <c r="Y6" s="450" t="s">
        <v>868</v>
      </c>
      <c r="Z6" s="450" t="s">
        <v>867</v>
      </c>
      <c r="AA6" s="450" t="s">
        <v>866</v>
      </c>
      <c r="AB6" s="450" t="s">
        <v>865</v>
      </c>
      <c r="AC6" s="450" t="s">
        <v>864</v>
      </c>
      <c r="AD6" s="450" t="s">
        <v>863</v>
      </c>
      <c r="AE6" s="450" t="s">
        <v>862</v>
      </c>
      <c r="AF6" s="450" t="s">
        <v>861</v>
      </c>
      <c r="AG6" s="450" t="s">
        <v>860</v>
      </c>
      <c r="AH6" s="450" t="s">
        <v>859</v>
      </c>
      <c r="AI6" s="450" t="s">
        <v>858</v>
      </c>
      <c r="AJ6" s="450" t="s">
        <v>857</v>
      </c>
      <c r="AK6" s="450" t="s">
        <v>856</v>
      </c>
      <c r="AL6" s="450" t="s">
        <v>855</v>
      </c>
      <c r="AM6" s="450" t="s">
        <v>854</v>
      </c>
      <c r="AN6" s="450" t="s">
        <v>853</v>
      </c>
      <c r="AO6" s="450" t="s">
        <v>852</v>
      </c>
      <c r="AP6" s="450" t="s">
        <v>851</v>
      </c>
      <c r="AQ6" s="450" t="s">
        <v>850</v>
      </c>
      <c r="AR6" s="450" t="s">
        <v>849</v>
      </c>
      <c r="AS6" s="450" t="s">
        <v>848</v>
      </c>
      <c r="AT6" s="450" t="s">
        <v>847</v>
      </c>
      <c r="AU6" s="450" t="s">
        <v>846</v>
      </c>
      <c r="AV6" s="451"/>
      <c r="AW6" s="450" t="s">
        <v>891</v>
      </c>
      <c r="AX6" s="450" t="s">
        <v>890</v>
      </c>
      <c r="AY6" s="450" t="s">
        <v>889</v>
      </c>
      <c r="AZ6" s="450" t="s">
        <v>888</v>
      </c>
      <c r="BA6" s="450" t="s">
        <v>887</v>
      </c>
      <c r="BB6" s="450" t="s">
        <v>886</v>
      </c>
      <c r="BC6" s="450" t="s">
        <v>885</v>
      </c>
      <c r="BD6" s="450" t="s">
        <v>884</v>
      </c>
      <c r="BE6" s="450" t="s">
        <v>883</v>
      </c>
      <c r="BF6" s="450" t="s">
        <v>882</v>
      </c>
      <c r="BG6" s="450" t="s">
        <v>881</v>
      </c>
      <c r="BH6" s="450" t="s">
        <v>880</v>
      </c>
      <c r="BI6" s="450" t="s">
        <v>879</v>
      </c>
      <c r="BJ6" s="450" t="s">
        <v>878</v>
      </c>
      <c r="BK6" s="450" t="s">
        <v>877</v>
      </c>
      <c r="BL6" s="450" t="s">
        <v>876</v>
      </c>
      <c r="BM6" s="450" t="s">
        <v>875</v>
      </c>
      <c r="BN6" s="450" t="s">
        <v>874</v>
      </c>
      <c r="BO6" s="450" t="s">
        <v>873</v>
      </c>
      <c r="BP6" s="450" t="s">
        <v>872</v>
      </c>
      <c r="BQ6" s="450" t="s">
        <v>871</v>
      </c>
      <c r="BR6" s="450" t="s">
        <v>870</v>
      </c>
      <c r="BS6" s="450" t="s">
        <v>869</v>
      </c>
      <c r="BT6" s="450" t="s">
        <v>868</v>
      </c>
      <c r="BU6" s="450" t="s">
        <v>867</v>
      </c>
      <c r="BV6" s="450" t="s">
        <v>866</v>
      </c>
      <c r="BW6" s="450" t="s">
        <v>865</v>
      </c>
      <c r="BX6" s="450" t="s">
        <v>864</v>
      </c>
      <c r="BY6" s="450" t="s">
        <v>863</v>
      </c>
      <c r="BZ6" s="450" t="s">
        <v>862</v>
      </c>
      <c r="CA6" s="450" t="s">
        <v>861</v>
      </c>
      <c r="CB6" s="450" t="s">
        <v>860</v>
      </c>
      <c r="CC6" s="450" t="s">
        <v>859</v>
      </c>
      <c r="CD6" s="450" t="s">
        <v>858</v>
      </c>
      <c r="CE6" s="450" t="s">
        <v>857</v>
      </c>
      <c r="CF6" s="450" t="s">
        <v>856</v>
      </c>
      <c r="CG6" s="450" t="s">
        <v>855</v>
      </c>
      <c r="CH6" s="450" t="s">
        <v>854</v>
      </c>
      <c r="CI6" s="450" t="s">
        <v>853</v>
      </c>
      <c r="CJ6" s="450" t="s">
        <v>852</v>
      </c>
      <c r="CK6" s="450" t="s">
        <v>851</v>
      </c>
      <c r="CL6" s="450" t="s">
        <v>850</v>
      </c>
      <c r="CM6" s="450" t="s">
        <v>849</v>
      </c>
      <c r="CN6" s="450" t="s">
        <v>848</v>
      </c>
      <c r="CO6" s="450" t="s">
        <v>847</v>
      </c>
      <c r="CP6" s="450" t="s">
        <v>846</v>
      </c>
      <c r="CQ6" s="449" t="s">
        <v>845</v>
      </c>
      <c r="CR6" s="449" t="s">
        <v>844</v>
      </c>
      <c r="CT6" s="447" t="s">
        <v>843</v>
      </c>
      <c r="CU6" s="447" t="s">
        <v>842</v>
      </c>
      <c r="CV6" s="447" t="s">
        <v>841</v>
      </c>
      <c r="CW6" s="447" t="s">
        <v>840</v>
      </c>
      <c r="CX6" s="448"/>
      <c r="CY6" s="447" t="s">
        <v>839</v>
      </c>
      <c r="CZ6" s="447" t="s">
        <v>838</v>
      </c>
      <c r="DA6" s="447" t="s">
        <v>837</v>
      </c>
      <c r="DB6" s="447" t="s">
        <v>836</v>
      </c>
    </row>
    <row r="7" spans="1:106" s="23" customFormat="1" hidden="1">
      <c r="A7" s="467" t="s">
        <v>834</v>
      </c>
      <c r="B7" s="468">
        <v>8152036.820785</v>
      </c>
      <c r="C7" s="468">
        <v>1461293.7622</v>
      </c>
      <c r="D7" s="468">
        <v>0</v>
      </c>
      <c r="E7" s="468">
        <v>19714.163970974267</v>
      </c>
      <c r="F7" s="468">
        <v>838.66983876062795</v>
      </c>
      <c r="G7" s="468">
        <v>13727.223173243299</v>
      </c>
      <c r="H7" s="468">
        <v>30879.175221828336</v>
      </c>
      <c r="I7" s="468">
        <v>1258.4835052509684</v>
      </c>
      <c r="J7" s="468">
        <v>20999.269791142775</v>
      </c>
      <c r="K7" s="469">
        <v>60656.556690795922</v>
      </c>
      <c r="L7" s="469">
        <v>13479.234820176871</v>
      </c>
      <c r="M7" s="469">
        <v>74417.354292762204</v>
      </c>
      <c r="N7" s="469">
        <v>1335942.5959476323</v>
      </c>
      <c r="O7" s="469">
        <v>2149451.0826672567</v>
      </c>
      <c r="P7" s="469">
        <v>127314.58055718288</v>
      </c>
      <c r="Q7" s="469">
        <v>30901.574332854583</v>
      </c>
      <c r="R7" s="469">
        <v>49313.391550106295</v>
      </c>
      <c r="S7" s="469">
        <v>2464287.4907616908</v>
      </c>
      <c r="T7" s="469">
        <v>431779.75274354324</v>
      </c>
      <c r="U7" s="468">
        <v>495286.42457704869</v>
      </c>
      <c r="V7" s="468">
        <v>9429.1989813479631</v>
      </c>
      <c r="W7" s="468">
        <v>123105.33745457411</v>
      </c>
      <c r="X7" s="468">
        <v>349662.8382126856</v>
      </c>
      <c r="Y7" s="468">
        <v>191092.19453891739</v>
      </c>
      <c r="Z7" s="468">
        <v>1273788.7236166324</v>
      </c>
      <c r="AA7" s="469"/>
      <c r="AB7" s="469"/>
      <c r="AC7" s="469">
        <v>253.08689036358618</v>
      </c>
      <c r="AD7" s="469"/>
      <c r="AE7" s="469"/>
      <c r="AF7" s="469">
        <v>275.82430095213851</v>
      </c>
      <c r="AG7" s="469"/>
      <c r="AH7" s="469">
        <v>29997.508006143878</v>
      </c>
      <c r="AI7" s="469">
        <v>5054.8009899495</v>
      </c>
      <c r="AJ7" s="469">
        <v>162.49943866824574</v>
      </c>
      <c r="AK7" s="469">
        <v>13500.695977369194</v>
      </c>
      <c r="AL7" s="470"/>
      <c r="AM7" s="469">
        <v>31168.732329369741</v>
      </c>
      <c r="AN7" s="471">
        <v>371449.44060000003</v>
      </c>
      <c r="AO7" s="471">
        <v>26705.896130134541</v>
      </c>
      <c r="AP7" s="471">
        <v>44176.061116512006</v>
      </c>
      <c r="AQ7" s="469">
        <v>26324.587914870059</v>
      </c>
      <c r="AR7" s="469">
        <v>37726.115089665116</v>
      </c>
      <c r="AS7" s="469">
        <v>250773.15011450477</v>
      </c>
      <c r="AT7" s="468">
        <v>88194.029091233882</v>
      </c>
      <c r="AU7" s="468">
        <v>221872.37522951988</v>
      </c>
      <c r="AV7" s="472">
        <v>13146440.857563134</v>
      </c>
      <c r="AW7" s="468">
        <v>7993082.2697627777</v>
      </c>
      <c r="AX7" s="468">
        <v>1461831.4138666668</v>
      </c>
      <c r="AY7" s="468">
        <v>0</v>
      </c>
      <c r="AZ7" s="468">
        <v>142675.11629393269</v>
      </c>
      <c r="BA7" s="468">
        <v>6062.7112419992009</v>
      </c>
      <c r="BB7" s="468">
        <v>99283.666749662952</v>
      </c>
      <c r="BC7" s="468">
        <v>443094.54812437011</v>
      </c>
      <c r="BD7" s="468">
        <v>18057.40148849801</v>
      </c>
      <c r="BE7" s="468">
        <v>301316.11785238876</v>
      </c>
      <c r="BF7" s="469">
        <v>141532.90016154505</v>
      </c>
      <c r="BG7" s="469">
        <v>31451.755591454461</v>
      </c>
      <c r="BH7" s="469">
        <v>176075.03798871269</v>
      </c>
      <c r="BI7" s="469">
        <v>1249242.0955431617</v>
      </c>
      <c r="BJ7" s="469">
        <v>1027172.5082343295</v>
      </c>
      <c r="BK7" s="469">
        <v>138148.63919845235</v>
      </c>
      <c r="BL7" s="469">
        <v>29436.435749741919</v>
      </c>
      <c r="BM7" s="469">
        <v>35257.978220705198</v>
      </c>
      <c r="BN7" s="469">
        <v>2193952.4891017354</v>
      </c>
      <c r="BO7" s="469">
        <v>368622.99199680949</v>
      </c>
      <c r="BP7" s="468">
        <v>349587.91597201937</v>
      </c>
      <c r="BQ7" s="468">
        <v>6655.4095925197962</v>
      </c>
      <c r="BR7" s="468">
        <v>134805.30318489426</v>
      </c>
      <c r="BS7" s="468">
        <v>325786.48634433129</v>
      </c>
      <c r="BT7" s="468">
        <v>156297.83674991515</v>
      </c>
      <c r="BU7" s="468">
        <v>1273788.7236166324</v>
      </c>
      <c r="BV7" s="473"/>
      <c r="BW7" s="473"/>
      <c r="BX7" s="469">
        <v>259.4521434603127</v>
      </c>
      <c r="BY7" s="469"/>
      <c r="BZ7" s="469"/>
      <c r="CA7" s="469">
        <v>373.91029990957946</v>
      </c>
      <c r="CB7" s="469"/>
      <c r="CC7" s="469">
        <v>30082.824586493487</v>
      </c>
      <c r="CD7" s="469">
        <v>5069.1774619791768</v>
      </c>
      <c r="CE7" s="469">
        <v>154.51174583889443</v>
      </c>
      <c r="CF7" s="469">
        <v>13681.610382176425</v>
      </c>
      <c r="CG7" s="470"/>
      <c r="CH7" s="469">
        <v>30163.532349465793</v>
      </c>
      <c r="CI7" s="471">
        <v>325234.8492</v>
      </c>
      <c r="CJ7" s="471">
        <v>23383.231070708385</v>
      </c>
      <c r="CK7" s="471">
        <v>47095.408038510002</v>
      </c>
      <c r="CL7" s="469">
        <v>43868.53844010365</v>
      </c>
      <c r="CM7" s="469">
        <v>36129.131113160256</v>
      </c>
      <c r="CN7" s="469">
        <v>242685.6487432018</v>
      </c>
      <c r="CO7" s="468">
        <v>93581.932985696447</v>
      </c>
      <c r="CP7" s="468">
        <v>251470.86026013977</v>
      </c>
      <c r="CQ7" s="419">
        <f t="shared" ref="CQ7:CQ32" si="0">SUM(B7:AU7)</f>
        <v>20028290.703450661</v>
      </c>
      <c r="CR7" s="419">
        <f t="shared" ref="CR7:CR32" si="1">SUM(AW7:CP7)</f>
        <v>19246452.3714481</v>
      </c>
      <c r="CT7" s="419">
        <f t="shared" ref="CT7:CT33" si="2">E7+F7+G7+H7+I7+J7+K7+L7+M7+N7+O7+P7+Q7+R7+R7+S7+T7</f>
        <v>6874273.9914153088</v>
      </c>
      <c r="CU7" s="419">
        <f t="shared" ref="CU7:CU33" si="3">B7+C7+D7+U7+V7+W7+X7+Y7+Z7</f>
        <v>12055695.300366206</v>
      </c>
      <c r="CV7" s="419">
        <f t="shared" ref="CV7:CV33" si="4">AN7+AO7+AP7+AQ7+AR7+AS7+AT7+AU7</f>
        <v>1067221.6552864402</v>
      </c>
      <c r="CW7" s="419">
        <f t="shared" ref="CW7:CW33" si="5">AA7+AB7+AC7+AD7+AE7+AF7+AG7+AH7+AI7+AJ7+AK7+AL7+AM7</f>
        <v>80413.147932816282</v>
      </c>
      <c r="CX7" s="155"/>
      <c r="CY7" s="419">
        <f t="shared" ref="CY7:CY33" si="6">AZ7+BA7+BB7+BC7+BD7+BE7+BF7+BG7+BH7+BI7+BJ7+BK7+BL7+BM7+BN7+BO7</f>
        <v>6401382.3935374999</v>
      </c>
      <c r="CZ7" s="419">
        <f t="shared" ref="CZ7:CZ33" si="7">AW7+AX7+AY7+BP7+BQ7+BR7+BS7+BT7+BU7</f>
        <v>11701835.359089756</v>
      </c>
      <c r="DA7" s="419">
        <f t="shared" ref="DA7:DA33" si="8">CI7+CJ7+CK7+CL7+CM7+CN7+CO7+CP7</f>
        <v>1063449.5998515203</v>
      </c>
      <c r="DB7" s="419">
        <f t="shared" ref="DB7:DB33" si="9">BV7+BW7+BX7+BY7+BZ7+CA7+CB7+CC7+CD7+CE7+CF7+CG7+CH7</f>
        <v>79785.018969323661</v>
      </c>
    </row>
    <row r="8" spans="1:106" hidden="1">
      <c r="A8" s="434" t="s">
        <v>832</v>
      </c>
      <c r="B8" s="428">
        <v>2105997.3047100003</v>
      </c>
      <c r="C8" s="428">
        <v>776484.66369999992</v>
      </c>
      <c r="D8" s="428">
        <v>0</v>
      </c>
      <c r="E8" s="428">
        <v>124350.5793767985</v>
      </c>
      <c r="F8" s="428">
        <v>5377.322351429123</v>
      </c>
      <c r="G8" s="428">
        <v>87381.48821072327</v>
      </c>
      <c r="H8" s="428">
        <v>79108.084048651188</v>
      </c>
      <c r="I8" s="428">
        <v>3420.8901210227536</v>
      </c>
      <c r="J8" s="428">
        <v>55589.464466619756</v>
      </c>
      <c r="K8" s="429">
        <v>134808.09508083208</v>
      </c>
      <c r="L8" s="429">
        <v>29957.354462407129</v>
      </c>
      <c r="M8" s="429">
        <v>11049.696326494699</v>
      </c>
      <c r="N8" s="429">
        <v>3719839.335274871</v>
      </c>
      <c r="O8" s="429">
        <v>8990715.5808635727</v>
      </c>
      <c r="P8" s="429"/>
      <c r="Q8" s="429">
        <v>116044.61167828261</v>
      </c>
      <c r="R8" s="429">
        <v>106957.84471660457</v>
      </c>
      <c r="S8" s="429">
        <v>305430.35838273534</v>
      </c>
      <c r="T8" s="429">
        <v>175547.11213642248</v>
      </c>
      <c r="U8" s="428">
        <v>61407.758287209093</v>
      </c>
      <c r="V8" s="428">
        <v>15491.741806756689</v>
      </c>
      <c r="W8" s="428">
        <v>22586.155279203675</v>
      </c>
      <c r="X8" s="428">
        <v>109940.54825231463</v>
      </c>
      <c r="Y8" s="428">
        <v>19205.41705184375</v>
      </c>
      <c r="Z8" s="428">
        <v>129752.96784690238</v>
      </c>
      <c r="AA8" s="429">
        <v>6.8490926688354534</v>
      </c>
      <c r="AB8" s="429"/>
      <c r="AC8" s="429">
        <v>201.28325486675391</v>
      </c>
      <c r="AD8" s="429">
        <v>308162.59515204397</v>
      </c>
      <c r="AE8" s="429"/>
      <c r="AF8" s="429"/>
      <c r="AG8" s="429"/>
      <c r="AH8" s="429">
        <v>15727.503472240352</v>
      </c>
      <c r="AI8" s="429">
        <v>2223.9453463226196</v>
      </c>
      <c r="AJ8" s="429">
        <v>108.0342387587945</v>
      </c>
      <c r="AK8" s="429">
        <v>15776.139138727893</v>
      </c>
      <c r="AL8" s="333"/>
      <c r="AM8" s="429">
        <v>4856.9960263032899</v>
      </c>
      <c r="AN8" s="430">
        <v>296197.59232</v>
      </c>
      <c r="AO8" s="430">
        <v>22120.259599713307</v>
      </c>
      <c r="AP8" s="430">
        <v>31145.331639552001</v>
      </c>
      <c r="AQ8" s="429">
        <v>35182.921965031666</v>
      </c>
      <c r="AR8" s="429">
        <v>26597.943235376908</v>
      </c>
      <c r="AS8" s="429">
        <v>110194.0026631829</v>
      </c>
      <c r="AT8" s="428">
        <v>7471.7121471092069</v>
      </c>
      <c r="AU8" s="428">
        <v>28732.977643578284</v>
      </c>
      <c r="AV8" s="433">
        <v>15551531.063749541</v>
      </c>
      <c r="AW8" s="428">
        <v>2121004.730765556</v>
      </c>
      <c r="AX8" s="428">
        <v>769948.81425555551</v>
      </c>
      <c r="AY8" s="428">
        <v>0</v>
      </c>
      <c r="AZ8" s="428">
        <v>835680.80953249033</v>
      </c>
      <c r="BA8" s="428">
        <v>36137.548520323915</v>
      </c>
      <c r="BB8" s="428">
        <v>587235.16345526325</v>
      </c>
      <c r="BC8" s="428">
        <v>1155912.9833746408</v>
      </c>
      <c r="BD8" s="428">
        <v>49985.426308092596</v>
      </c>
      <c r="BE8" s="428">
        <v>812263.17750650435</v>
      </c>
      <c r="BF8" s="429">
        <v>318063.70293068659</v>
      </c>
      <c r="BG8" s="429">
        <v>70680.822873485915</v>
      </c>
      <c r="BH8" s="429">
        <v>27868.352942240352</v>
      </c>
      <c r="BI8" s="429">
        <v>3614826.5451081777</v>
      </c>
      <c r="BJ8" s="429">
        <v>11809620.463019956</v>
      </c>
      <c r="BK8" s="429"/>
      <c r="BL8" s="429">
        <v>97877.758737350989</v>
      </c>
      <c r="BM8" s="429">
        <v>116787.28359962952</v>
      </c>
      <c r="BN8" s="429">
        <v>283081.35867155634</v>
      </c>
      <c r="BO8" s="429">
        <v>141633.71684987459</v>
      </c>
      <c r="BP8" s="428">
        <v>67566.430393674542</v>
      </c>
      <c r="BQ8" s="428">
        <v>17045.430799922728</v>
      </c>
      <c r="BR8" s="428">
        <v>23948.620376801064</v>
      </c>
      <c r="BS8" s="428">
        <v>118812.16350334353</v>
      </c>
      <c r="BT8" s="428">
        <v>18316.277373517634</v>
      </c>
      <c r="BU8" s="428">
        <v>129752.96784690238</v>
      </c>
      <c r="BV8" s="431">
        <v>2.9198015025543409</v>
      </c>
      <c r="BW8" s="431"/>
      <c r="BX8" s="429">
        <v>199.23995166681098</v>
      </c>
      <c r="BY8" s="429">
        <v>393278.23836576164</v>
      </c>
      <c r="BZ8" s="429"/>
      <c r="CA8" s="429"/>
      <c r="CB8" s="429"/>
      <c r="CC8" s="429">
        <v>13610.275715679438</v>
      </c>
      <c r="CD8" s="429">
        <v>1924.5590626305136</v>
      </c>
      <c r="CE8" s="429">
        <v>88.643062249850956</v>
      </c>
      <c r="CF8" s="429">
        <v>13796.07317137163</v>
      </c>
      <c r="CG8" s="333"/>
      <c r="CH8" s="429">
        <v>4034.0531299612348</v>
      </c>
      <c r="CI8" s="430">
        <v>222581.82336000001</v>
      </c>
      <c r="CJ8" s="430">
        <v>16622.578449528741</v>
      </c>
      <c r="CK8" s="430">
        <v>28496.750468940001</v>
      </c>
      <c r="CL8" s="429">
        <v>82486.997969522796</v>
      </c>
      <c r="CM8" s="429">
        <v>21861.214858770709</v>
      </c>
      <c r="CN8" s="429">
        <v>91523.332310548503</v>
      </c>
      <c r="CO8" s="428">
        <v>9615.1155460378741</v>
      </c>
      <c r="CP8" s="428">
        <v>40507.778133796804</v>
      </c>
      <c r="CQ8" s="420">
        <f t="shared" si="0"/>
        <v>18091150.461367175</v>
      </c>
      <c r="CR8" s="420">
        <f t="shared" si="1"/>
        <v>24164680.142103519</v>
      </c>
      <c r="CT8" s="420">
        <f t="shared" si="2"/>
        <v>14052535.662214071</v>
      </c>
      <c r="CU8" s="420">
        <f t="shared" si="3"/>
        <v>3240866.556934231</v>
      </c>
      <c r="CV8" s="420">
        <f t="shared" si="4"/>
        <v>557642.74121354427</v>
      </c>
      <c r="CW8" s="420">
        <f t="shared" si="5"/>
        <v>347063.34572193248</v>
      </c>
      <c r="CX8" s="427"/>
      <c r="CY8" s="420">
        <f t="shared" si="6"/>
        <v>19957655.113430277</v>
      </c>
      <c r="CZ8" s="420">
        <f t="shared" si="7"/>
        <v>3266395.4353152742</v>
      </c>
      <c r="DA8" s="420">
        <f t="shared" si="8"/>
        <v>513695.59109714546</v>
      </c>
      <c r="DB8" s="420">
        <f t="shared" si="9"/>
        <v>426934.00226082373</v>
      </c>
    </row>
    <row r="9" spans="1:106" hidden="1">
      <c r="A9" s="434" t="s">
        <v>831</v>
      </c>
      <c r="B9" s="428">
        <v>1599628.7691799998</v>
      </c>
      <c r="C9" s="428">
        <v>253394.02420000001</v>
      </c>
      <c r="D9" s="428">
        <v>0</v>
      </c>
      <c r="E9" s="428">
        <v>17580.956706902161</v>
      </c>
      <c r="F9" s="428">
        <v>742.0056322942894</v>
      </c>
      <c r="G9" s="428">
        <v>13119.590359864273</v>
      </c>
      <c r="H9" s="428">
        <v>23578.760181338384</v>
      </c>
      <c r="I9" s="428">
        <v>1018.8239156862654</v>
      </c>
      <c r="J9" s="428">
        <v>16602.329153298349</v>
      </c>
      <c r="K9" s="429">
        <v>14631.001766772568</v>
      </c>
      <c r="L9" s="429">
        <v>3251.3337259494597</v>
      </c>
      <c r="M9" s="429">
        <v>96371.804785733199</v>
      </c>
      <c r="N9" s="429">
        <v>911660.34760224633</v>
      </c>
      <c r="O9" s="429">
        <v>1221964.9954619105</v>
      </c>
      <c r="P9" s="429">
        <v>128675.02597337097</v>
      </c>
      <c r="Q9" s="429">
        <v>13438.546807698685</v>
      </c>
      <c r="R9" s="429">
        <v>39079.931553494389</v>
      </c>
      <c r="S9" s="429">
        <v>4741640.4423007462</v>
      </c>
      <c r="T9" s="429">
        <v>498222.6920370374</v>
      </c>
      <c r="U9" s="428">
        <v>71406.03816097723</v>
      </c>
      <c r="V9" s="428">
        <v>17852.586002831329</v>
      </c>
      <c r="W9" s="428">
        <v>45470.120991042277</v>
      </c>
      <c r="X9" s="428">
        <v>104205.59889952748</v>
      </c>
      <c r="Y9" s="428">
        <v>49984.637643600407</v>
      </c>
      <c r="Z9" s="428">
        <v>233617.34157886953</v>
      </c>
      <c r="AA9" s="429"/>
      <c r="AB9" s="429"/>
      <c r="AC9" s="429">
        <v>453.97956236459891</v>
      </c>
      <c r="AD9" s="429"/>
      <c r="AE9" s="429"/>
      <c r="AF9" s="429">
        <v>324.39080742465819</v>
      </c>
      <c r="AG9" s="429"/>
      <c r="AH9" s="429">
        <v>82591.467840953759</v>
      </c>
      <c r="AI9" s="429">
        <v>2811.7058768012644</v>
      </c>
      <c r="AJ9" s="429">
        <v>32.112646724742675</v>
      </c>
      <c r="AK9" s="429">
        <v>17073.103349950976</v>
      </c>
      <c r="AL9" s="333"/>
      <c r="AM9" s="429">
        <v>71364.403350970795</v>
      </c>
      <c r="AN9" s="430">
        <v>1940504.78776</v>
      </c>
      <c r="AO9" s="430">
        <v>171651.17700191532</v>
      </c>
      <c r="AP9" s="430">
        <v>53433.714060480008</v>
      </c>
      <c r="AQ9" s="429">
        <v>55418.529451932911</v>
      </c>
      <c r="AR9" s="429">
        <v>45632.100177452186</v>
      </c>
      <c r="AS9" s="429">
        <v>506141.08820169664</v>
      </c>
      <c r="AT9" s="428">
        <v>153429.6869690895</v>
      </c>
      <c r="AU9" s="428">
        <v>211174.24493616831</v>
      </c>
      <c r="AV9" s="433">
        <v>16516682.879079174</v>
      </c>
      <c r="AW9" s="428">
        <v>1658541.8742966668</v>
      </c>
      <c r="AX9" s="428">
        <v>260472.03520000004</v>
      </c>
      <c r="AY9" s="428">
        <v>0</v>
      </c>
      <c r="AZ9" s="428">
        <v>75539.306430111508</v>
      </c>
      <c r="BA9" s="428">
        <v>3182.3500420872233</v>
      </c>
      <c r="BB9" s="428">
        <v>56613.253123719609</v>
      </c>
      <c r="BC9" s="428">
        <v>617413.64547626185</v>
      </c>
      <c r="BD9" s="428">
        <v>26108.732055941946</v>
      </c>
      <c r="BE9" s="428">
        <v>458610.08627173887</v>
      </c>
      <c r="BF9" s="429">
        <v>34650.43594052206</v>
      </c>
      <c r="BG9" s="429">
        <v>7700.0968756715693</v>
      </c>
      <c r="BH9" s="429">
        <v>232122.87239565604</v>
      </c>
      <c r="BI9" s="429">
        <v>972387.36207106058</v>
      </c>
      <c r="BJ9" s="429">
        <v>1222681.4987045657</v>
      </c>
      <c r="BK9" s="429">
        <v>127604.4382540769</v>
      </c>
      <c r="BL9" s="429">
        <v>15124.345579636658</v>
      </c>
      <c r="BM9" s="429">
        <v>39923.276596764335</v>
      </c>
      <c r="BN9" s="429">
        <v>4324031.7610190501</v>
      </c>
      <c r="BO9" s="429">
        <v>482577.89464307675</v>
      </c>
      <c r="BP9" s="428">
        <v>50683.782198346293</v>
      </c>
      <c r="BQ9" s="428">
        <v>12671.709619358695</v>
      </c>
      <c r="BR9" s="428">
        <v>39702.349063007132</v>
      </c>
      <c r="BS9" s="428">
        <v>83002.891515568088</v>
      </c>
      <c r="BT9" s="428">
        <v>47670.534048989299</v>
      </c>
      <c r="BU9" s="428">
        <v>233617.34157886953</v>
      </c>
      <c r="BV9" s="431"/>
      <c r="BW9" s="431"/>
      <c r="BX9" s="429">
        <v>580.41472756330506</v>
      </c>
      <c r="BY9" s="429"/>
      <c r="BZ9" s="429"/>
      <c r="CA9" s="429">
        <v>364.58353164219426</v>
      </c>
      <c r="CB9" s="429"/>
      <c r="CC9" s="429">
        <v>82195.969232679359</v>
      </c>
      <c r="CD9" s="429">
        <v>2798.2417044088661</v>
      </c>
      <c r="CE9" s="429">
        <v>30.301744995416875</v>
      </c>
      <c r="CF9" s="429">
        <v>17170.203141473488</v>
      </c>
      <c r="CG9" s="333"/>
      <c r="CH9" s="429">
        <v>68482.295006259257</v>
      </c>
      <c r="CI9" s="430">
        <v>1676074.4563199999</v>
      </c>
      <c r="CJ9" s="430">
        <v>148331.90452059935</v>
      </c>
      <c r="CK9" s="430">
        <v>56485.963799460013</v>
      </c>
      <c r="CL9" s="429">
        <v>99555.248342613399</v>
      </c>
      <c r="CM9" s="429">
        <v>43333.073799788668</v>
      </c>
      <c r="CN9" s="429">
        <v>485700.17669104697</v>
      </c>
      <c r="CO9" s="428">
        <v>170189.8424190463</v>
      </c>
      <c r="CP9" s="428">
        <v>303246.26773268584</v>
      </c>
      <c r="CQ9" s="420">
        <f t="shared" si="0"/>
        <v>13429174.196615117</v>
      </c>
      <c r="CR9" s="420">
        <f t="shared" si="1"/>
        <v>14237172.815715011</v>
      </c>
      <c r="CT9" s="420">
        <f t="shared" si="2"/>
        <v>7780658.519517838</v>
      </c>
      <c r="CU9" s="420">
        <f t="shared" si="3"/>
        <v>2375559.1166568482</v>
      </c>
      <c r="CV9" s="420">
        <f t="shared" si="4"/>
        <v>3137385.3285587342</v>
      </c>
      <c r="CW9" s="420">
        <f t="shared" si="5"/>
        <v>174651.1634351908</v>
      </c>
      <c r="CX9" s="427"/>
      <c r="CY9" s="420">
        <f t="shared" si="6"/>
        <v>8696271.3554799426</v>
      </c>
      <c r="CZ9" s="420">
        <f t="shared" si="7"/>
        <v>2386362.5175208058</v>
      </c>
      <c r="DA9" s="420">
        <f t="shared" si="8"/>
        <v>2982916.9336252408</v>
      </c>
      <c r="DB9" s="420">
        <f t="shared" si="9"/>
        <v>171622.00908902189</v>
      </c>
    </row>
    <row r="10" spans="1:106" hidden="1">
      <c r="A10" s="434" t="s">
        <v>829</v>
      </c>
      <c r="B10" s="428">
        <v>9581.4621865884419</v>
      </c>
      <c r="C10" s="428">
        <v>3185.9970566922502</v>
      </c>
      <c r="D10" s="428">
        <v>0</v>
      </c>
      <c r="E10" s="431">
        <v>4399.3120520486473</v>
      </c>
      <c r="F10" s="431">
        <v>206.26282735834644</v>
      </c>
      <c r="G10" s="431">
        <v>0</v>
      </c>
      <c r="H10" s="431">
        <v>18190.442357861481</v>
      </c>
      <c r="I10" s="431">
        <v>852.86336300793187</v>
      </c>
      <c r="J10" s="431">
        <v>0</v>
      </c>
      <c r="K10" s="429">
        <v>0</v>
      </c>
      <c r="L10" s="429">
        <v>0</v>
      </c>
      <c r="M10" s="429">
        <v>0</v>
      </c>
      <c r="N10" s="429">
        <v>17373.07572448652</v>
      </c>
      <c r="O10" s="429"/>
      <c r="P10" s="429"/>
      <c r="Q10" s="429">
        <v>34797.893184588109</v>
      </c>
      <c r="R10" s="429">
        <v>553.79089816806936</v>
      </c>
      <c r="S10" s="429">
        <v>198716.99421139658</v>
      </c>
      <c r="T10" s="429">
        <v>29245.603541343717</v>
      </c>
      <c r="U10" s="428">
        <v>484.59684904834501</v>
      </c>
      <c r="V10" s="428">
        <v>66.349434614277001</v>
      </c>
      <c r="W10" s="428">
        <v>102.013665548595</v>
      </c>
      <c r="X10" s="428">
        <v>37730.473629450004</v>
      </c>
      <c r="Y10" s="428">
        <v>0</v>
      </c>
      <c r="Z10" s="428">
        <v>0</v>
      </c>
      <c r="AA10" s="429"/>
      <c r="AB10" s="429">
        <v>0.17367506120041454</v>
      </c>
      <c r="AC10" s="429">
        <v>37.08328073094011</v>
      </c>
      <c r="AD10" s="429"/>
      <c r="AE10" s="429">
        <v>1.0751523339605229</v>
      </c>
      <c r="AF10" s="429"/>
      <c r="AG10" s="429">
        <v>1.5638928566317616</v>
      </c>
      <c r="AH10" s="429">
        <v>3722.3950766468884</v>
      </c>
      <c r="AI10" s="429">
        <v>832.67196281883537</v>
      </c>
      <c r="AJ10" s="430"/>
      <c r="AK10" s="429">
        <v>1744.0026001092831</v>
      </c>
      <c r="AL10" s="333"/>
      <c r="AM10" s="429">
        <v>3198.962297624892</v>
      </c>
      <c r="AN10" s="430">
        <v>14326.903462570803</v>
      </c>
      <c r="AO10" s="430">
        <v>7714.4864798458166</v>
      </c>
      <c r="AP10" s="430">
        <v>4649.1520932480007</v>
      </c>
      <c r="AQ10" s="429">
        <v>1598.9411617536186</v>
      </c>
      <c r="AR10" s="429">
        <v>3970.3505135199375</v>
      </c>
      <c r="AS10" s="429">
        <v>8004.8101404774543</v>
      </c>
      <c r="AT10" s="428">
        <v>8600.9770000000008</v>
      </c>
      <c r="AU10" s="428">
        <v>27340.74942</v>
      </c>
      <c r="AV10" s="433">
        <v>632441.80883658642</v>
      </c>
      <c r="AW10" s="428">
        <v>10507.145938596817</v>
      </c>
      <c r="AX10" s="428">
        <v>3493.8340332705211</v>
      </c>
      <c r="AY10" s="428">
        <v>0</v>
      </c>
      <c r="AZ10" s="431">
        <v>26125.3073507435</v>
      </c>
      <c r="BA10" s="431">
        <v>1224.8914593955155</v>
      </c>
      <c r="BB10" s="431">
        <v>0</v>
      </c>
      <c r="BC10" s="431">
        <v>265749.38019656535</v>
      </c>
      <c r="BD10" s="431">
        <v>12459.725038724217</v>
      </c>
      <c r="BE10" s="431">
        <v>0</v>
      </c>
      <c r="BF10" s="429">
        <v>0</v>
      </c>
      <c r="BG10" s="429">
        <v>0</v>
      </c>
      <c r="BH10" s="429">
        <v>0</v>
      </c>
      <c r="BI10" s="429">
        <v>23035.07496081289</v>
      </c>
      <c r="BJ10" s="429"/>
      <c r="BK10" s="429"/>
      <c r="BL10" s="429">
        <v>37822.642282742308</v>
      </c>
      <c r="BM10" s="429">
        <v>488.46367277249675</v>
      </c>
      <c r="BN10" s="429">
        <v>218208.7815958235</v>
      </c>
      <c r="BO10" s="429">
        <v>25666.701035215148</v>
      </c>
      <c r="BP10" s="428">
        <v>737.75804314752838</v>
      </c>
      <c r="BQ10" s="428">
        <v>101.01144722897368</v>
      </c>
      <c r="BR10" s="428">
        <v>63.999894824811662</v>
      </c>
      <c r="BS10" s="428">
        <v>47848.622837433337</v>
      </c>
      <c r="BT10" s="428">
        <v>0</v>
      </c>
      <c r="BU10" s="428">
        <v>0</v>
      </c>
      <c r="BV10" s="431"/>
      <c r="BW10" s="431">
        <v>0.17372477328744293</v>
      </c>
      <c r="BX10" s="429">
        <v>39.856808029200806</v>
      </c>
      <c r="BY10" s="429"/>
      <c r="BZ10" s="429">
        <v>0.99404567583047942</v>
      </c>
      <c r="CA10" s="429"/>
      <c r="CB10" s="429">
        <v>1.4166735114408753</v>
      </c>
      <c r="CC10" s="429">
        <v>3964.2502348769513</v>
      </c>
      <c r="CD10" s="429">
        <v>886.7731544372956</v>
      </c>
      <c r="CE10" s="430"/>
      <c r="CF10" s="429">
        <v>1876.8663643367977</v>
      </c>
      <c r="CG10" s="333"/>
      <c r="CH10" s="429">
        <v>3292.9883149502311</v>
      </c>
      <c r="CI10" s="430">
        <v>15396.273437204585</v>
      </c>
      <c r="CJ10" s="430">
        <v>5132.091145734862</v>
      </c>
      <c r="CK10" s="430">
        <v>5272.0963226100012</v>
      </c>
      <c r="CL10" s="429">
        <v>2768.9252375945393</v>
      </c>
      <c r="CM10" s="429">
        <v>4044.476249680944</v>
      </c>
      <c r="CN10" s="429">
        <v>8240.0928187113932</v>
      </c>
      <c r="CO10" s="428">
        <v>8600.9770000000008</v>
      </c>
      <c r="CP10" s="428">
        <v>27340.74942</v>
      </c>
      <c r="CQ10" s="420">
        <f t="shared" si="0"/>
        <v>441231.42919179954</v>
      </c>
      <c r="CR10" s="420">
        <f t="shared" si="1"/>
        <v>760392.34073942434</v>
      </c>
      <c r="CT10" s="420">
        <f t="shared" si="2"/>
        <v>304890.02905842743</v>
      </c>
      <c r="CU10" s="420">
        <f t="shared" si="3"/>
        <v>51150.89282194191</v>
      </c>
      <c r="CV10" s="420">
        <f t="shared" si="4"/>
        <v>76206.370271415624</v>
      </c>
      <c r="CW10" s="420">
        <f t="shared" si="5"/>
        <v>9537.9279381826309</v>
      </c>
      <c r="CX10" s="427"/>
      <c r="CY10" s="420">
        <f t="shared" si="6"/>
        <v>610780.96759279491</v>
      </c>
      <c r="CZ10" s="420">
        <f t="shared" si="7"/>
        <v>62752.372194501993</v>
      </c>
      <c r="DA10" s="420">
        <f t="shared" si="8"/>
        <v>76795.681631536339</v>
      </c>
      <c r="DB10" s="420">
        <f t="shared" si="9"/>
        <v>10063.319320591036</v>
      </c>
    </row>
    <row r="11" spans="1:106" hidden="1">
      <c r="A11" s="434" t="s">
        <v>828</v>
      </c>
      <c r="B11" s="428">
        <v>6088013.6305300007</v>
      </c>
      <c r="C11" s="428">
        <v>1998223.6281999999</v>
      </c>
      <c r="D11" s="428">
        <v>0</v>
      </c>
      <c r="E11" s="428">
        <v>81957.292929812975</v>
      </c>
      <c r="F11" s="428">
        <v>3544.099153721641</v>
      </c>
      <c r="G11" s="428">
        <v>57591.611247976682</v>
      </c>
      <c r="H11" s="428">
        <v>55604.428230241632</v>
      </c>
      <c r="I11" s="428">
        <v>2404.5158153618004</v>
      </c>
      <c r="J11" s="428">
        <v>39073.381999629259</v>
      </c>
      <c r="K11" s="429">
        <v>404419.68479068723</v>
      </c>
      <c r="L11" s="429">
        <v>89871.041064597157</v>
      </c>
      <c r="M11" s="429">
        <v>32905.216504037875</v>
      </c>
      <c r="N11" s="429">
        <v>3450977.3410495524</v>
      </c>
      <c r="O11" s="429">
        <v>4210125.485148144</v>
      </c>
      <c r="P11" s="429">
        <v>125311.55679773439</v>
      </c>
      <c r="Q11" s="429">
        <v>6691.8701813585258</v>
      </c>
      <c r="R11" s="429">
        <v>81980.120354957777</v>
      </c>
      <c r="S11" s="429">
        <v>989507.28042285959</v>
      </c>
      <c r="T11" s="429">
        <v>323900.6940422302</v>
      </c>
      <c r="U11" s="428">
        <v>335777.67550577444</v>
      </c>
      <c r="V11" s="428">
        <v>23424.052112530451</v>
      </c>
      <c r="W11" s="428">
        <v>75008.82556953821</v>
      </c>
      <c r="X11" s="428">
        <v>396994.43143580895</v>
      </c>
      <c r="Y11" s="428">
        <v>86823.888076800009</v>
      </c>
      <c r="Z11" s="428">
        <v>601162.86719999951</v>
      </c>
      <c r="AA11" s="429"/>
      <c r="AB11" s="429"/>
      <c r="AC11" s="429">
        <v>298.83541665911929</v>
      </c>
      <c r="AD11" s="429"/>
      <c r="AE11" s="429"/>
      <c r="AF11" s="429">
        <v>220.8821399268891</v>
      </c>
      <c r="AG11" s="429"/>
      <c r="AH11" s="429">
        <v>68126.053415868621</v>
      </c>
      <c r="AI11" s="429">
        <v>3240.6470293932193</v>
      </c>
      <c r="AJ11" s="429">
        <v>181.37546229442893</v>
      </c>
      <c r="AK11" s="429">
        <v>11629.629133411112</v>
      </c>
      <c r="AL11" s="333"/>
      <c r="AM11" s="429">
        <v>15751.527797423474</v>
      </c>
      <c r="AN11" s="430">
        <v>298327.46328000003</v>
      </c>
      <c r="AO11" s="430">
        <v>41973.541848982859</v>
      </c>
      <c r="AP11" s="430">
        <v>51965.286305088004</v>
      </c>
      <c r="AQ11" s="429">
        <v>33652.28455102459</v>
      </c>
      <c r="AR11" s="429">
        <v>44378.07088872345</v>
      </c>
      <c r="AS11" s="429">
        <v>126075.43500140688</v>
      </c>
      <c r="AT11" s="428">
        <v>74645.185850709517</v>
      </c>
      <c r="AU11" s="428">
        <v>317949.3133641014</v>
      </c>
      <c r="AV11" s="433">
        <v>16912804.11044519</v>
      </c>
      <c r="AW11" s="428">
        <v>6091336.6612799987</v>
      </c>
      <c r="AX11" s="428">
        <v>2124358.7111999998</v>
      </c>
      <c r="AY11" s="428">
        <v>0</v>
      </c>
      <c r="AZ11" s="428">
        <v>587286.2170768854</v>
      </c>
      <c r="BA11" s="428">
        <v>25396.160738459912</v>
      </c>
      <c r="BB11" s="428">
        <v>412687.61199997342</v>
      </c>
      <c r="BC11" s="428">
        <v>840898.22771275195</v>
      </c>
      <c r="BD11" s="428">
        <v>36363.166603794692</v>
      </c>
      <c r="BE11" s="428">
        <v>590901.45731166343</v>
      </c>
      <c r="BF11" s="429">
        <v>859165.23048934166</v>
      </c>
      <c r="BG11" s="429">
        <v>190925.60677540931</v>
      </c>
      <c r="BH11" s="429">
        <v>77149.556303423349</v>
      </c>
      <c r="BI11" s="429">
        <v>3120537.2681715502</v>
      </c>
      <c r="BJ11" s="429">
        <v>3864139.0109383743</v>
      </c>
      <c r="BK11" s="429">
        <v>141510.39279476501</v>
      </c>
      <c r="BL11" s="429">
        <v>2780.5733617363558</v>
      </c>
      <c r="BM11" s="429">
        <v>67859.594992185317</v>
      </c>
      <c r="BN11" s="429">
        <v>820900.24176996469</v>
      </c>
      <c r="BO11" s="429">
        <v>248664.56934105171</v>
      </c>
      <c r="BP11" s="428">
        <v>364801.95627723041</v>
      </c>
      <c r="BQ11" s="428">
        <v>25448.803353944095</v>
      </c>
      <c r="BR11" s="428">
        <v>87270.714763756114</v>
      </c>
      <c r="BS11" s="428">
        <v>447198.41632955446</v>
      </c>
      <c r="BT11" s="428">
        <v>82804.263628799832</v>
      </c>
      <c r="BU11" s="428">
        <v>601162.86719999951</v>
      </c>
      <c r="BV11" s="431"/>
      <c r="BW11" s="431"/>
      <c r="BX11" s="429">
        <v>294.11333289835011</v>
      </c>
      <c r="BY11" s="429"/>
      <c r="BZ11" s="429"/>
      <c r="CA11" s="429">
        <v>351.20611864467764</v>
      </c>
      <c r="CB11" s="429"/>
      <c r="CC11" s="429">
        <v>65822.747441302286</v>
      </c>
      <c r="CD11" s="429">
        <v>3131.0824606268825</v>
      </c>
      <c r="CE11" s="429">
        <v>166.15656625286749</v>
      </c>
      <c r="CF11" s="429">
        <v>11354.715788813039</v>
      </c>
      <c r="CG11" s="333"/>
      <c r="CH11" s="429">
        <v>14600.922707947851</v>
      </c>
      <c r="CI11" s="430">
        <v>250198.76376</v>
      </c>
      <c r="CJ11" s="430">
        <v>35202.016488128582</v>
      </c>
      <c r="CK11" s="430">
        <v>53063.935536689998</v>
      </c>
      <c r="CL11" s="429">
        <v>70739.138313848685</v>
      </c>
      <c r="CM11" s="429">
        <v>40707.872895329761</v>
      </c>
      <c r="CN11" s="429">
        <v>116865.97678020502</v>
      </c>
      <c r="CO11" s="428">
        <v>97689.874137953346</v>
      </c>
      <c r="CP11" s="428">
        <v>444545.45811090898</v>
      </c>
      <c r="CQ11" s="420">
        <f t="shared" si="0"/>
        <v>20649710.149848372</v>
      </c>
      <c r="CR11" s="420">
        <f t="shared" si="1"/>
        <v>22916281.260854162</v>
      </c>
      <c r="CT11" s="420">
        <f t="shared" si="2"/>
        <v>10037845.740087859</v>
      </c>
      <c r="CU11" s="420">
        <f t="shared" si="3"/>
        <v>9605428.9986304548</v>
      </c>
      <c r="CV11" s="420">
        <f t="shared" si="4"/>
        <v>988966.58109003678</v>
      </c>
      <c r="CW11" s="420">
        <f t="shared" si="5"/>
        <v>99448.95039497687</v>
      </c>
      <c r="CX11" s="427"/>
      <c r="CY11" s="420">
        <f t="shared" si="6"/>
        <v>11887164.88638133</v>
      </c>
      <c r="CZ11" s="420">
        <f t="shared" si="7"/>
        <v>9824382.3940332849</v>
      </c>
      <c r="DA11" s="420">
        <f t="shared" si="8"/>
        <v>1109013.0360230645</v>
      </c>
      <c r="DB11" s="420">
        <f t="shared" si="9"/>
        <v>95720.94441648596</v>
      </c>
    </row>
    <row r="12" spans="1:106" hidden="1">
      <c r="A12" s="434" t="s">
        <v>827</v>
      </c>
      <c r="B12" s="428">
        <v>27404462.905169997</v>
      </c>
      <c r="C12" s="428">
        <v>2667377.4875999996</v>
      </c>
      <c r="D12" s="428">
        <v>0</v>
      </c>
      <c r="E12" s="428">
        <v>252801.38974228708</v>
      </c>
      <c r="F12" s="428">
        <v>11096.847712970208</v>
      </c>
      <c r="G12" s="428">
        <v>182855.13431572972</v>
      </c>
      <c r="H12" s="428">
        <v>212226.7134975162</v>
      </c>
      <c r="I12" s="428">
        <v>9268.3048800206416</v>
      </c>
      <c r="J12" s="428">
        <v>153482.02940483281</v>
      </c>
      <c r="K12" s="429">
        <v>859735.2181714935</v>
      </c>
      <c r="L12" s="429">
        <v>191052.27070477634</v>
      </c>
      <c r="M12" s="429">
        <v>435647.82154236542</v>
      </c>
      <c r="N12" s="429">
        <v>13834152.48184116</v>
      </c>
      <c r="O12" s="429">
        <v>15547038.047430936</v>
      </c>
      <c r="P12" s="429">
        <v>724509.07205934124</v>
      </c>
      <c r="Q12" s="429">
        <v>125210.12366079824</v>
      </c>
      <c r="R12" s="429">
        <v>461000.27843685035</v>
      </c>
      <c r="S12" s="429">
        <v>4826324.0628261957</v>
      </c>
      <c r="T12" s="429">
        <v>8920992.6653512865</v>
      </c>
      <c r="U12" s="428">
        <v>1515860.8669335721</v>
      </c>
      <c r="V12" s="428">
        <v>75395.752355561373</v>
      </c>
      <c r="W12" s="428">
        <v>413542.15922284505</v>
      </c>
      <c r="X12" s="428">
        <v>1815877.6812060154</v>
      </c>
      <c r="Y12" s="428">
        <v>348188.69544875738</v>
      </c>
      <c r="Z12" s="428">
        <v>1590860.488382885</v>
      </c>
      <c r="AA12" s="429"/>
      <c r="AB12" s="429"/>
      <c r="AC12" s="429">
        <v>2537.0227563754761</v>
      </c>
      <c r="AD12" s="429"/>
      <c r="AE12" s="429"/>
      <c r="AF12" s="429">
        <v>1888.6348576876142</v>
      </c>
      <c r="AG12" s="429"/>
      <c r="AH12" s="429">
        <v>283488.75688962499</v>
      </c>
      <c r="AI12" s="429">
        <v>55079.859460619831</v>
      </c>
      <c r="AJ12" s="429">
        <v>1362.5908983621848</v>
      </c>
      <c r="AK12" s="429">
        <v>121974.19771998218</v>
      </c>
      <c r="AL12" s="333"/>
      <c r="AM12" s="429">
        <v>326857.17859622359</v>
      </c>
      <c r="AN12" s="430">
        <v>3027076.8298399993</v>
      </c>
      <c r="AO12" s="430">
        <v>592963.25906515541</v>
      </c>
      <c r="AP12" s="430">
        <v>324229.74263097596</v>
      </c>
      <c r="AQ12" s="429">
        <v>551822.34357354965</v>
      </c>
      <c r="AR12" s="429">
        <v>276890.43062774767</v>
      </c>
      <c r="AS12" s="429">
        <v>926178.44378036656</v>
      </c>
      <c r="AT12" s="428">
        <v>752442.22900488344</v>
      </c>
      <c r="AU12" s="428">
        <v>2937746.0288754925</v>
      </c>
      <c r="AV12" s="433">
        <v>61883609.913359351</v>
      </c>
      <c r="AW12" s="428">
        <v>28511653.281597778</v>
      </c>
      <c r="AX12" s="428">
        <v>2755021.0830444437</v>
      </c>
      <c r="AY12" s="428">
        <v>0</v>
      </c>
      <c r="AZ12" s="428">
        <v>1471465.5956743313</v>
      </c>
      <c r="BA12" s="428">
        <v>64387.722882316528</v>
      </c>
      <c r="BB12" s="428">
        <v>1065051.148238376</v>
      </c>
      <c r="BC12" s="428">
        <v>3089344.5944383168</v>
      </c>
      <c r="BD12" s="428">
        <v>134835.93007888453</v>
      </c>
      <c r="BE12" s="428">
        <v>2235326.5551447035</v>
      </c>
      <c r="BF12" s="429">
        <v>1957093.2356971127</v>
      </c>
      <c r="BG12" s="429">
        <v>434909.60793269175</v>
      </c>
      <c r="BH12" s="429">
        <v>1040559.6665372559</v>
      </c>
      <c r="BI12" s="429">
        <v>13924081.183435282</v>
      </c>
      <c r="BJ12" s="429">
        <v>12997589.820565775</v>
      </c>
      <c r="BK12" s="429">
        <v>606388.3073500524</v>
      </c>
      <c r="BL12" s="429">
        <v>123387.59699902235</v>
      </c>
      <c r="BM12" s="429">
        <v>413302.7123209284</v>
      </c>
      <c r="BN12" s="429">
        <v>4251570.4367849091</v>
      </c>
      <c r="BO12" s="429">
        <v>7152436.0973838959</v>
      </c>
      <c r="BP12" s="428">
        <v>1391311.2822576687</v>
      </c>
      <c r="BQ12" s="428">
        <v>69200.916241605548</v>
      </c>
      <c r="BR12" s="428">
        <v>455098.71762947203</v>
      </c>
      <c r="BS12" s="428">
        <v>1846259.9540138005</v>
      </c>
      <c r="BT12" s="428">
        <v>368704.86437250598</v>
      </c>
      <c r="BU12" s="428">
        <v>1590860.488382885</v>
      </c>
      <c r="BV12" s="431"/>
      <c r="BW12" s="431"/>
      <c r="BX12" s="429">
        <v>2571.800662913392</v>
      </c>
      <c r="BY12" s="429"/>
      <c r="BZ12" s="429"/>
      <c r="CA12" s="429">
        <v>1942.8739442699246</v>
      </c>
      <c r="CB12" s="429"/>
      <c r="CC12" s="429">
        <v>275045.94078367593</v>
      </c>
      <c r="CD12" s="429">
        <v>53439.480033690445</v>
      </c>
      <c r="CE12" s="429">
        <v>1253.4617482194453</v>
      </c>
      <c r="CF12" s="429">
        <v>119587.28284068299</v>
      </c>
      <c r="CG12" s="333"/>
      <c r="CH12" s="429">
        <v>305870.46158565237</v>
      </c>
      <c r="CI12" s="430">
        <v>2562933.0468000006</v>
      </c>
      <c r="CJ12" s="430">
        <v>502043.79261713137</v>
      </c>
      <c r="CK12" s="430">
        <v>334241.88871904998</v>
      </c>
      <c r="CL12" s="429">
        <v>1238136.4866861044</v>
      </c>
      <c r="CM12" s="429">
        <v>256412.87598923477</v>
      </c>
      <c r="CN12" s="429">
        <v>866710.74298092595</v>
      </c>
      <c r="CO12" s="428">
        <v>807066.91244746535</v>
      </c>
      <c r="CP12" s="428">
        <v>3204443.0127422204</v>
      </c>
      <c r="CQ12" s="420">
        <f t="shared" si="0"/>
        <v>92761496.046475232</v>
      </c>
      <c r="CR12" s="420">
        <f t="shared" si="1"/>
        <v>98481540.85958527</v>
      </c>
      <c r="CT12" s="420">
        <f t="shared" si="2"/>
        <v>47208392.74001541</v>
      </c>
      <c r="CU12" s="420">
        <f t="shared" si="3"/>
        <v>35831566.036319628</v>
      </c>
      <c r="CV12" s="420">
        <f t="shared" si="4"/>
        <v>9389349.3073981702</v>
      </c>
      <c r="CW12" s="420">
        <f t="shared" si="5"/>
        <v>793188.24117887579</v>
      </c>
      <c r="CX12" s="427"/>
      <c r="CY12" s="420">
        <f t="shared" si="6"/>
        <v>50961730.211463854</v>
      </c>
      <c r="CZ12" s="420">
        <f t="shared" si="7"/>
        <v>36988110.587540157</v>
      </c>
      <c r="DA12" s="420">
        <f t="shared" si="8"/>
        <v>9771988.7589821331</v>
      </c>
      <c r="DB12" s="420">
        <f t="shared" si="9"/>
        <v>759711.30159910454</v>
      </c>
    </row>
    <row r="13" spans="1:106" hidden="1">
      <c r="A13" s="434" t="s">
        <v>826</v>
      </c>
      <c r="B13" s="428">
        <v>1050700.831765</v>
      </c>
      <c r="C13" s="428">
        <v>233778.83059999999</v>
      </c>
      <c r="D13" s="428">
        <v>0</v>
      </c>
      <c r="E13" s="431">
        <v>10285.394548574439</v>
      </c>
      <c r="F13" s="431">
        <v>493.69893833157306</v>
      </c>
      <c r="G13" s="431">
        <v>7405.4840749735968</v>
      </c>
      <c r="H13" s="431">
        <v>2065.6433745189524</v>
      </c>
      <c r="I13" s="431">
        <v>99.150881976909716</v>
      </c>
      <c r="J13" s="431">
        <v>1487.2632296536458</v>
      </c>
      <c r="K13" s="429">
        <v>0</v>
      </c>
      <c r="L13" s="429">
        <v>0</v>
      </c>
      <c r="M13" s="429">
        <v>91903.129629023228</v>
      </c>
      <c r="N13" s="429">
        <v>3479608.0233790716</v>
      </c>
      <c r="O13" s="429">
        <v>1341229.7007156911</v>
      </c>
      <c r="P13" s="429">
        <v>106416.47229987558</v>
      </c>
      <c r="Q13" s="429">
        <v>4571.2949643722541</v>
      </c>
      <c r="R13" s="429">
        <v>80427.781242751356</v>
      </c>
      <c r="S13" s="429">
        <v>6974131.9663937688</v>
      </c>
      <c r="T13" s="429">
        <v>290762.40602549253</v>
      </c>
      <c r="U13" s="428">
        <v>28722.437031692549</v>
      </c>
      <c r="V13" s="428">
        <v>12698.887351252872</v>
      </c>
      <c r="W13" s="428">
        <v>10582.807062416707</v>
      </c>
      <c r="X13" s="428">
        <v>125695.29919796389</v>
      </c>
      <c r="Y13" s="428">
        <v>426.61785600000002</v>
      </c>
      <c r="Z13" s="428">
        <v>0</v>
      </c>
      <c r="AA13" s="429"/>
      <c r="AB13" s="429"/>
      <c r="AC13" s="429">
        <v>566.78068343820814</v>
      </c>
      <c r="AD13" s="429"/>
      <c r="AE13" s="429"/>
      <c r="AF13" s="429">
        <v>229.2196789923243</v>
      </c>
      <c r="AG13" s="429"/>
      <c r="AH13" s="429">
        <v>11964.885773780405</v>
      </c>
      <c r="AI13" s="429">
        <v>11166.998770479728</v>
      </c>
      <c r="AJ13" s="429">
        <v>8.1613197470295091</v>
      </c>
      <c r="AK13" s="429">
        <v>7049.2444493898947</v>
      </c>
      <c r="AL13" s="333"/>
      <c r="AM13" s="429">
        <v>85404.656972910423</v>
      </c>
      <c r="AN13" s="430">
        <v>314494.21415999997</v>
      </c>
      <c r="AO13" s="430">
        <v>36747.704803713787</v>
      </c>
      <c r="AP13" s="430">
        <v>24764.172977856004</v>
      </c>
      <c r="AQ13" s="429">
        <v>5321.56787322931</v>
      </c>
      <c r="AR13" s="429">
        <v>21148.468565337236</v>
      </c>
      <c r="AS13" s="429">
        <v>119034.81246437519</v>
      </c>
      <c r="AT13" s="428">
        <v>93514.228406485781</v>
      </c>
      <c r="AU13" s="428">
        <v>461767.55383823148</v>
      </c>
      <c r="AV13" s="433">
        <v>20871779.57368926</v>
      </c>
      <c r="AW13" s="428">
        <v>967866.78436499997</v>
      </c>
      <c r="AX13" s="428">
        <v>221332.18004444442</v>
      </c>
      <c r="AY13" s="428">
        <v>0</v>
      </c>
      <c r="AZ13" s="431">
        <v>51330.579525594825</v>
      </c>
      <c r="BA13" s="431">
        <v>2463.8678172285522</v>
      </c>
      <c r="BB13" s="431">
        <v>36958.01725842827</v>
      </c>
      <c r="BC13" s="431">
        <v>30101.959109101561</v>
      </c>
      <c r="BD13" s="431">
        <v>1444.8940372368752</v>
      </c>
      <c r="BE13" s="431">
        <v>21673.410558553122</v>
      </c>
      <c r="BF13" s="429">
        <v>0</v>
      </c>
      <c r="BG13" s="429">
        <v>0</v>
      </c>
      <c r="BH13" s="429">
        <v>215187.55663185651</v>
      </c>
      <c r="BI13" s="429">
        <v>2946548.9673545719</v>
      </c>
      <c r="BJ13" s="429">
        <v>617462.50563725422</v>
      </c>
      <c r="BK13" s="429">
        <v>194570.91983562164</v>
      </c>
      <c r="BL13" s="429">
        <v>4158.8977721910733</v>
      </c>
      <c r="BM13" s="429">
        <v>62927.051573883677</v>
      </c>
      <c r="BN13" s="429">
        <v>7261655.246347419</v>
      </c>
      <c r="BO13" s="429">
        <v>289122.51762424491</v>
      </c>
      <c r="BP13" s="428">
        <v>35835.258351621917</v>
      </c>
      <c r="BQ13" s="428">
        <v>15843.638494469144</v>
      </c>
      <c r="BR13" s="428">
        <v>0</v>
      </c>
      <c r="BS13" s="428">
        <v>99802.592241923834</v>
      </c>
      <c r="BT13" s="428">
        <v>406.86702933333333</v>
      </c>
      <c r="BU13" s="428">
        <v>0</v>
      </c>
      <c r="BV13" s="431"/>
      <c r="BW13" s="431"/>
      <c r="BX13" s="429">
        <v>577.28105186549669</v>
      </c>
      <c r="BY13" s="429"/>
      <c r="BZ13" s="429"/>
      <c r="CA13" s="429">
        <v>474.97753735448396</v>
      </c>
      <c r="CB13" s="429"/>
      <c r="CC13" s="429">
        <v>11936.543591020099</v>
      </c>
      <c r="CD13" s="429">
        <v>11140.546606537589</v>
      </c>
      <c r="CE13" s="429">
        <v>7.7198102524250816</v>
      </c>
      <c r="CF13" s="429">
        <v>7106.5731433240117</v>
      </c>
      <c r="CG13" s="333"/>
      <c r="CH13" s="429">
        <v>82355.774685601544</v>
      </c>
      <c r="CI13" s="430">
        <v>274384.43424000003</v>
      </c>
      <c r="CJ13" s="430">
        <v>32060.997430800991</v>
      </c>
      <c r="CK13" s="430">
        <v>26306.607632760002</v>
      </c>
      <c r="CL13" s="429">
        <v>5449.1075905877442</v>
      </c>
      <c r="CM13" s="429">
        <v>20181.051951588914</v>
      </c>
      <c r="CN13" s="429">
        <v>114785.35881443098</v>
      </c>
      <c r="CO13" s="428">
        <v>93151.729517959378</v>
      </c>
      <c r="CP13" s="428">
        <v>459776.1638402231</v>
      </c>
      <c r="CQ13" s="420">
        <f t="shared" si="0"/>
        <v>15046675.791300366</v>
      </c>
      <c r="CR13" s="420">
        <f t="shared" si="1"/>
        <v>14216388.579054285</v>
      </c>
      <c r="CT13" s="420">
        <f t="shared" si="2"/>
        <v>12471315.190940827</v>
      </c>
      <c r="CU13" s="420">
        <f t="shared" si="3"/>
        <v>1462605.7108643262</v>
      </c>
      <c r="CV13" s="420">
        <f t="shared" si="4"/>
        <v>1076792.7230892288</v>
      </c>
      <c r="CW13" s="420">
        <f t="shared" si="5"/>
        <v>116389.94764873802</v>
      </c>
      <c r="CX13" s="427"/>
      <c r="CY13" s="420">
        <f t="shared" si="6"/>
        <v>11735606.391083185</v>
      </c>
      <c r="CZ13" s="420">
        <f t="shared" si="7"/>
        <v>1341087.3205267927</v>
      </c>
      <c r="DA13" s="420">
        <f t="shared" si="8"/>
        <v>1026095.4510183511</v>
      </c>
      <c r="DB13" s="420">
        <f t="shared" si="9"/>
        <v>113599.41642595566</v>
      </c>
    </row>
    <row r="14" spans="1:106" hidden="1">
      <c r="A14" s="434" t="s">
        <v>825</v>
      </c>
      <c r="B14" s="428">
        <v>3495764.8628500002</v>
      </c>
      <c r="C14" s="428">
        <v>313148.64139999996</v>
      </c>
      <c r="D14" s="428">
        <v>0</v>
      </c>
      <c r="E14" s="431">
        <v>6429.0112321057522</v>
      </c>
      <c r="F14" s="431">
        <v>278.01129652349198</v>
      </c>
      <c r="G14" s="431">
        <v>4517.6835685067454</v>
      </c>
      <c r="H14" s="431">
        <v>1508.5697335196398</v>
      </c>
      <c r="I14" s="431">
        <v>65.235447935984425</v>
      </c>
      <c r="J14" s="431">
        <v>1060.076028959747</v>
      </c>
      <c r="K14" s="429">
        <v>0</v>
      </c>
      <c r="L14" s="429">
        <v>0</v>
      </c>
      <c r="M14" s="429">
        <v>0</v>
      </c>
      <c r="N14" s="429">
        <v>640592.58718977345</v>
      </c>
      <c r="O14" s="429">
        <v>264270.07844001154</v>
      </c>
      <c r="P14" s="429"/>
      <c r="Q14" s="429">
        <v>3958.6109617034858</v>
      </c>
      <c r="R14" s="429">
        <v>11442.248819318595</v>
      </c>
      <c r="S14" s="429">
        <v>330367.29593636096</v>
      </c>
      <c r="T14" s="429">
        <v>73602.010318410728</v>
      </c>
      <c r="U14" s="428">
        <v>146661.50144383276</v>
      </c>
      <c r="V14" s="428">
        <v>15199.321958112643</v>
      </c>
      <c r="W14" s="428">
        <v>39302.177572478227</v>
      </c>
      <c r="X14" s="428">
        <v>162245.55283265887</v>
      </c>
      <c r="Y14" s="428">
        <v>26061.639496704</v>
      </c>
      <c r="Z14" s="428">
        <v>72428.800640000001</v>
      </c>
      <c r="AA14" s="429"/>
      <c r="AB14" s="429"/>
      <c r="AC14" s="429">
        <v>62.959820408985777</v>
      </c>
      <c r="AD14" s="429"/>
      <c r="AE14" s="429"/>
      <c r="AF14" s="429"/>
      <c r="AG14" s="429"/>
      <c r="AH14" s="429">
        <v>4884.8743205381397</v>
      </c>
      <c r="AI14" s="429">
        <v>1113.4009372020491</v>
      </c>
      <c r="AJ14" s="429">
        <v>10.686830846309093</v>
      </c>
      <c r="AK14" s="429">
        <v>1916.9460082377761</v>
      </c>
      <c r="AL14" s="333"/>
      <c r="AM14" s="429">
        <v>2223.9965509942494</v>
      </c>
      <c r="AN14" s="430">
        <v>53855.184600000001</v>
      </c>
      <c r="AO14" s="430">
        <v>5935.2156477251192</v>
      </c>
      <c r="AP14" s="430">
        <v>6317.7940987200009</v>
      </c>
      <c r="AQ14" s="429">
        <v>2313.8335203125607</v>
      </c>
      <c r="AR14" s="429">
        <v>5395.3616790888964</v>
      </c>
      <c r="AS14" s="429">
        <v>32612.932946328943</v>
      </c>
      <c r="AT14" s="428">
        <v>16859.611999999899</v>
      </c>
      <c r="AU14" s="428">
        <v>67001.887999999803</v>
      </c>
      <c r="AV14" s="433">
        <v>2870170.1281427206</v>
      </c>
      <c r="AW14" s="428">
        <v>3131592.62585</v>
      </c>
      <c r="AX14" s="428">
        <v>283506.39962222218</v>
      </c>
      <c r="AY14" s="428">
        <v>0</v>
      </c>
      <c r="AZ14" s="431">
        <v>39391.641214187017</v>
      </c>
      <c r="BA14" s="431">
        <v>1703.4223227756552</v>
      </c>
      <c r="BB14" s="431">
        <v>27680.612745104383</v>
      </c>
      <c r="BC14" s="431">
        <v>21194.924193609942</v>
      </c>
      <c r="BD14" s="431">
        <v>916.53726242637606</v>
      </c>
      <c r="BE14" s="431">
        <v>14893.730514428604</v>
      </c>
      <c r="BF14" s="429">
        <v>0</v>
      </c>
      <c r="BG14" s="429">
        <v>0</v>
      </c>
      <c r="BH14" s="429">
        <v>0</v>
      </c>
      <c r="BI14" s="429">
        <v>521135.03368015564</v>
      </c>
      <c r="BJ14" s="429">
        <v>131094.01363828688</v>
      </c>
      <c r="BK14" s="429"/>
      <c r="BL14" s="429">
        <v>7512.7944279561989</v>
      </c>
      <c r="BM14" s="429">
        <v>8396.9229327059929</v>
      </c>
      <c r="BN14" s="429">
        <v>247617.24058638455</v>
      </c>
      <c r="BO14" s="429">
        <v>48772.095477884919</v>
      </c>
      <c r="BP14" s="428">
        <v>148413.74439983928</v>
      </c>
      <c r="BQ14" s="428">
        <v>15380.916340926031</v>
      </c>
      <c r="BR14" s="428">
        <v>47021.764483681778</v>
      </c>
      <c r="BS14" s="428">
        <v>180519.35611735776</v>
      </c>
      <c r="BT14" s="428">
        <v>24855.082112597334</v>
      </c>
      <c r="BU14" s="428">
        <v>72428.800640000001</v>
      </c>
      <c r="BV14" s="431"/>
      <c r="BW14" s="431"/>
      <c r="BX14" s="429">
        <v>43.696853051466924</v>
      </c>
      <c r="BY14" s="429"/>
      <c r="BZ14" s="429"/>
      <c r="CA14" s="429"/>
      <c r="CB14" s="429"/>
      <c r="CC14" s="429">
        <v>4596.6815108695009</v>
      </c>
      <c r="CD14" s="429">
        <v>1047.7136496026815</v>
      </c>
      <c r="CE14" s="429">
        <v>9.5349002910860552</v>
      </c>
      <c r="CF14" s="429">
        <v>1822.8399076285791</v>
      </c>
      <c r="CG14" s="333"/>
      <c r="CH14" s="429">
        <v>2022.8682657660199</v>
      </c>
      <c r="CI14" s="430">
        <v>44319.547440000002</v>
      </c>
      <c r="CJ14" s="430">
        <v>4884.3221580190029</v>
      </c>
      <c r="CK14" s="430">
        <v>6330.3463793700002</v>
      </c>
      <c r="CL14" s="429">
        <v>3280.2070506708696</v>
      </c>
      <c r="CM14" s="429">
        <v>4856.3102828403471</v>
      </c>
      <c r="CN14" s="429">
        <v>29663.565386911654</v>
      </c>
      <c r="CO14" s="428">
        <v>21281.935888888675</v>
      </c>
      <c r="CP14" s="428">
        <v>91295.95299999963</v>
      </c>
      <c r="CQ14" s="420">
        <f t="shared" si="0"/>
        <v>5809408.6041273195</v>
      </c>
      <c r="CR14" s="420">
        <f t="shared" si="1"/>
        <v>5189483.1812364385</v>
      </c>
      <c r="CT14" s="420">
        <f t="shared" si="2"/>
        <v>1349533.667792449</v>
      </c>
      <c r="CU14" s="420">
        <f t="shared" si="3"/>
        <v>4270812.4981937865</v>
      </c>
      <c r="CV14" s="420">
        <f t="shared" si="4"/>
        <v>190291.82249217521</v>
      </c>
      <c r="CW14" s="420">
        <f t="shared" si="5"/>
        <v>10212.86446822751</v>
      </c>
      <c r="CX14" s="427"/>
      <c r="CY14" s="420">
        <f t="shared" si="6"/>
        <v>1070308.9689959062</v>
      </c>
      <c r="CZ14" s="420">
        <f t="shared" si="7"/>
        <v>3903718.6895666244</v>
      </c>
      <c r="DA14" s="420">
        <f t="shared" si="8"/>
        <v>205912.18758670019</v>
      </c>
      <c r="DB14" s="420">
        <f t="shared" si="9"/>
        <v>9543.3350872093342</v>
      </c>
    </row>
    <row r="15" spans="1:106" hidden="1">
      <c r="A15" s="434" t="s">
        <v>824</v>
      </c>
      <c r="B15" s="428">
        <v>1246073.7267834293</v>
      </c>
      <c r="C15" s="428">
        <v>206951.81861240842</v>
      </c>
      <c r="D15" s="428">
        <v>0</v>
      </c>
      <c r="E15" s="428">
        <v>110706.62776735706</v>
      </c>
      <c r="F15" s="428">
        <v>5190.5074658137919</v>
      </c>
      <c r="G15" s="428"/>
      <c r="H15" s="428">
        <v>177339.24033819692</v>
      </c>
      <c r="I15" s="428">
        <v>8314.5938912662841</v>
      </c>
      <c r="J15" s="428"/>
      <c r="K15" s="429">
        <v>4871.1238501196385</v>
      </c>
      <c r="L15" s="429">
        <v>1217.7809625299096</v>
      </c>
      <c r="M15" s="429">
        <v>0</v>
      </c>
      <c r="N15" s="429">
        <v>498631.27115495282</v>
      </c>
      <c r="O15" s="429">
        <v>907631.18161639571</v>
      </c>
      <c r="P15" s="429">
        <v>1325.2452277664718</v>
      </c>
      <c r="Q15" s="429">
        <v>936664.93067128037</v>
      </c>
      <c r="R15" s="429">
        <v>29664.529690934098</v>
      </c>
      <c r="S15" s="429">
        <v>850821.78668310121</v>
      </c>
      <c r="T15" s="429">
        <v>284295.08192330645</v>
      </c>
      <c r="U15" s="428">
        <v>13370.614939736593</v>
      </c>
      <c r="V15" s="428">
        <v>16943.694859211744</v>
      </c>
      <c r="W15" s="428">
        <v>9831.1250511809376</v>
      </c>
      <c r="X15" s="428">
        <v>135580.32058462378</v>
      </c>
      <c r="Y15" s="428">
        <v>0</v>
      </c>
      <c r="Z15" s="428">
        <v>0</v>
      </c>
      <c r="AA15" s="429">
        <v>16.18555632924603</v>
      </c>
      <c r="AB15" s="429">
        <v>5.2005854128968698</v>
      </c>
      <c r="AC15" s="429">
        <v>229.89694003632985</v>
      </c>
      <c r="AD15" s="429">
        <v>63792.824666586348</v>
      </c>
      <c r="AE15" s="429">
        <v>127.36680026336748</v>
      </c>
      <c r="AF15" s="429">
        <v>3.0068594466612253</v>
      </c>
      <c r="AG15" s="429">
        <v>219.44996820827171</v>
      </c>
      <c r="AH15" s="429">
        <v>14524.042060175036</v>
      </c>
      <c r="AI15" s="429">
        <v>4861.9017136020184</v>
      </c>
      <c r="AJ15" s="429">
        <v>247.07414118569417</v>
      </c>
      <c r="AK15" s="429">
        <v>18196.097545296121</v>
      </c>
      <c r="AL15" s="333"/>
      <c r="AM15" s="429">
        <v>11712.142205888302</v>
      </c>
      <c r="AN15" s="430">
        <v>233818.89440000005</v>
      </c>
      <c r="AO15" s="430">
        <v>96717.420721236937</v>
      </c>
      <c r="AP15" s="430">
        <v>38770.512961440007</v>
      </c>
      <c r="AQ15" s="429">
        <v>67422.854985429585</v>
      </c>
      <c r="AR15" s="429">
        <v>33109.806467601287</v>
      </c>
      <c r="AS15" s="429">
        <v>88784.907462927367</v>
      </c>
      <c r="AT15" s="428">
        <v>73982.633757125368</v>
      </c>
      <c r="AU15" s="428">
        <v>315788.08486476575</v>
      </c>
      <c r="AV15" s="433">
        <v>5333999.718425543</v>
      </c>
      <c r="AW15" s="428">
        <v>1147747.4633938007</v>
      </c>
      <c r="AX15" s="428">
        <v>190614.19584886567</v>
      </c>
      <c r="AY15" s="428">
        <v>0</v>
      </c>
      <c r="AZ15" s="428">
        <v>968926.90754152066</v>
      </c>
      <c r="BA15" s="428">
        <v>45428.376320799187</v>
      </c>
      <c r="BB15" s="428"/>
      <c r="BC15" s="428">
        <v>2935301.9371247301</v>
      </c>
      <c r="BD15" s="428">
        <v>137622.35311765136</v>
      </c>
      <c r="BE15" s="428"/>
      <c r="BF15" s="429">
        <v>19913.558387855261</v>
      </c>
      <c r="BG15" s="429">
        <v>4978.3895969638152</v>
      </c>
      <c r="BH15" s="429">
        <v>0</v>
      </c>
      <c r="BI15" s="429">
        <v>579920.8929889123</v>
      </c>
      <c r="BJ15" s="429">
        <v>352681.96913753136</v>
      </c>
      <c r="BK15" s="429">
        <v>3712.3208962399967</v>
      </c>
      <c r="BL15" s="429">
        <v>1118977.9546115976</v>
      </c>
      <c r="BM15" s="429">
        <v>24766.763149298644</v>
      </c>
      <c r="BN15" s="429">
        <v>806837.85967622011</v>
      </c>
      <c r="BO15" s="429">
        <v>286314.85059926525</v>
      </c>
      <c r="BP15" s="428">
        <v>20355.639400030617</v>
      </c>
      <c r="BQ15" s="428">
        <v>25795.353782363978</v>
      </c>
      <c r="BR15" s="428">
        <v>6167.712589304364</v>
      </c>
      <c r="BS15" s="428">
        <v>171938.78050786941</v>
      </c>
      <c r="BT15" s="428">
        <v>0</v>
      </c>
      <c r="BU15" s="428">
        <v>0</v>
      </c>
      <c r="BV15" s="431">
        <v>3.9810078259154693</v>
      </c>
      <c r="BW15" s="431">
        <v>5.063548160189927</v>
      </c>
      <c r="BX15" s="429">
        <v>241.76457782487023</v>
      </c>
      <c r="BY15" s="429">
        <v>29504.757709548365</v>
      </c>
      <c r="BZ15" s="429">
        <v>121.28436823030788</v>
      </c>
      <c r="CA15" s="429">
        <v>10.606673168098144</v>
      </c>
      <c r="CB15" s="429">
        <v>208.7225545251674</v>
      </c>
      <c r="CC15" s="429">
        <v>13650.726602840326</v>
      </c>
      <c r="CD15" s="429">
        <v>4569.5606489769571</v>
      </c>
      <c r="CE15" s="429">
        <v>220.17690691211482</v>
      </c>
      <c r="CF15" s="429">
        <v>17282.006129693189</v>
      </c>
      <c r="CG15" s="333"/>
      <c r="CH15" s="429">
        <v>10506.278645775838</v>
      </c>
      <c r="CI15" s="430">
        <v>201199.7000180649</v>
      </c>
      <c r="CJ15" s="430">
        <v>67066.566672688321</v>
      </c>
      <c r="CK15" s="430">
        <v>38312.689453740008</v>
      </c>
      <c r="CL15" s="429">
        <v>142378.75465044234</v>
      </c>
      <c r="CM15" s="429">
        <v>29391.489281504862</v>
      </c>
      <c r="CN15" s="429">
        <v>79643.7544001106</v>
      </c>
      <c r="CO15" s="428">
        <v>85690.38483812772</v>
      </c>
      <c r="CP15" s="428">
        <v>380104.69145261048</v>
      </c>
      <c r="CQ15" s="420">
        <f t="shared" si="0"/>
        <v>6507755.5067365672</v>
      </c>
      <c r="CR15" s="420">
        <f t="shared" si="1"/>
        <v>9948116.2388115954</v>
      </c>
      <c r="CT15" s="420">
        <f t="shared" si="2"/>
        <v>3846338.4309339542</v>
      </c>
      <c r="CU15" s="420">
        <f t="shared" si="3"/>
        <v>1628751.3008305908</v>
      </c>
      <c r="CV15" s="420">
        <f t="shared" si="4"/>
        <v>948395.11562052625</v>
      </c>
      <c r="CW15" s="420">
        <f t="shared" si="5"/>
        <v>113935.18904243027</v>
      </c>
      <c r="CX15" s="427"/>
      <c r="CY15" s="420">
        <f t="shared" si="6"/>
        <v>7285384.1331485864</v>
      </c>
      <c r="CZ15" s="420">
        <f t="shared" si="7"/>
        <v>1562619.1455222347</v>
      </c>
      <c r="DA15" s="420">
        <f t="shared" si="8"/>
        <v>1023788.0307672892</v>
      </c>
      <c r="DB15" s="420">
        <f t="shared" si="9"/>
        <v>76324.92937348134</v>
      </c>
    </row>
    <row r="16" spans="1:106" hidden="1">
      <c r="A16" s="434" t="s">
        <v>823</v>
      </c>
      <c r="B16" s="428">
        <v>6455260.0498750005</v>
      </c>
      <c r="C16" s="428">
        <v>2061236.1131000002</v>
      </c>
      <c r="D16" s="428">
        <v>0</v>
      </c>
      <c r="E16" s="428">
        <v>932162.27920686721</v>
      </c>
      <c r="F16" s="428">
        <v>42384.019394571631</v>
      </c>
      <c r="G16" s="428">
        <v>355904.99556121125</v>
      </c>
      <c r="H16" s="428">
        <v>254279.77998946735</v>
      </c>
      <c r="I16" s="428">
        <v>11145.28032726204</v>
      </c>
      <c r="J16" s="428">
        <v>90231.045058748743</v>
      </c>
      <c r="K16" s="429">
        <v>191428.96571937279</v>
      </c>
      <c r="L16" s="429">
        <v>47983.880305493127</v>
      </c>
      <c r="M16" s="429">
        <v>28608.193046669636</v>
      </c>
      <c r="N16" s="429">
        <v>7609403.9092792775</v>
      </c>
      <c r="O16" s="429">
        <v>3868309.0559627591</v>
      </c>
      <c r="P16" s="429">
        <v>94586.093766782957</v>
      </c>
      <c r="Q16" s="429">
        <v>4006766.5269851196</v>
      </c>
      <c r="R16" s="429">
        <v>183917.53282336448</v>
      </c>
      <c r="S16" s="429">
        <v>11237516.800696652</v>
      </c>
      <c r="T16" s="429">
        <v>1166684.6291757473</v>
      </c>
      <c r="U16" s="428">
        <v>108633.25021750902</v>
      </c>
      <c r="V16" s="428">
        <v>47648.957087552226</v>
      </c>
      <c r="W16" s="428">
        <v>178880.45544711454</v>
      </c>
      <c r="X16" s="428">
        <v>687781.56700969732</v>
      </c>
      <c r="Y16" s="428">
        <v>274286.75140732864</v>
      </c>
      <c r="Z16" s="428">
        <v>1854369.5348355174</v>
      </c>
      <c r="AA16" s="429">
        <v>66.480693410967504</v>
      </c>
      <c r="AB16" s="429">
        <v>34.262587999244715</v>
      </c>
      <c r="AC16" s="429">
        <v>1688.408816367084</v>
      </c>
      <c r="AD16" s="429">
        <v>167388.42725529731</v>
      </c>
      <c r="AE16" s="429">
        <v>633.79811956882372</v>
      </c>
      <c r="AF16" s="429">
        <v>238.4932921514808</v>
      </c>
      <c r="AG16" s="429">
        <v>1073.3771694935301</v>
      </c>
      <c r="AH16" s="429">
        <v>139790.54394296184</v>
      </c>
      <c r="AI16" s="429">
        <v>10895.358948505471</v>
      </c>
      <c r="AJ16" s="429">
        <v>5607.8726805867318</v>
      </c>
      <c r="AK16" s="429">
        <v>47191.847776639806</v>
      </c>
      <c r="AL16" s="333"/>
      <c r="AM16" s="429">
        <v>242335.75442376873</v>
      </c>
      <c r="AN16" s="430">
        <v>1949462.6869199998</v>
      </c>
      <c r="AO16" s="430">
        <v>245734.44237617654</v>
      </c>
      <c r="AP16" s="430">
        <v>222634.90958716802</v>
      </c>
      <c r="AQ16" s="429">
        <v>733189.28324414638</v>
      </c>
      <c r="AR16" s="429">
        <v>190128.99769199383</v>
      </c>
      <c r="AS16" s="429">
        <v>514258.43227186392</v>
      </c>
      <c r="AT16" s="428">
        <v>324883.09642345511</v>
      </c>
      <c r="AU16" s="428">
        <v>775344.85642417939</v>
      </c>
      <c r="AV16" s="433">
        <v>49890178.845437057</v>
      </c>
      <c r="AW16" s="428">
        <v>6494841.4479361111</v>
      </c>
      <c r="AX16" s="428">
        <v>2132860.7740999996</v>
      </c>
      <c r="AY16" s="428">
        <v>0</v>
      </c>
      <c r="AZ16" s="428">
        <v>4246130.3290894646</v>
      </c>
      <c r="BA16" s="428">
        <v>194298.7286491917</v>
      </c>
      <c r="BB16" s="428">
        <v>1570710.628199033</v>
      </c>
      <c r="BC16" s="428">
        <v>3706057.3584786053</v>
      </c>
      <c r="BD16" s="428">
        <v>162408.63572226488</v>
      </c>
      <c r="BE16" s="428">
        <v>1316286.7865655264</v>
      </c>
      <c r="BF16" s="429">
        <v>442166.69682462804</v>
      </c>
      <c r="BG16" s="429">
        <v>110742.32803661763</v>
      </c>
      <c r="BH16" s="429">
        <v>66214.808411859209</v>
      </c>
      <c r="BI16" s="429">
        <v>7493646.6095247874</v>
      </c>
      <c r="BJ16" s="429">
        <v>2007242.306824073</v>
      </c>
      <c r="BK16" s="429">
        <v>84888.959871879037</v>
      </c>
      <c r="BL16" s="429">
        <v>3965846.0567644751</v>
      </c>
      <c r="BM16" s="429">
        <v>147658.1370550424</v>
      </c>
      <c r="BN16" s="429">
        <v>12538979.14193999</v>
      </c>
      <c r="BO16" s="429">
        <v>1079881.7041675637</v>
      </c>
      <c r="BP16" s="428">
        <v>92734.779977309096</v>
      </c>
      <c r="BQ16" s="428">
        <v>40675.534818438173</v>
      </c>
      <c r="BR16" s="428">
        <v>199490.11799041153</v>
      </c>
      <c r="BS16" s="428">
        <v>687515.60855509643</v>
      </c>
      <c r="BT16" s="428">
        <v>261588.29069402622</v>
      </c>
      <c r="BU16" s="428">
        <v>1854369.5348355174</v>
      </c>
      <c r="BV16" s="431">
        <v>14.576138681157968</v>
      </c>
      <c r="BW16" s="431">
        <v>41.753510290374699</v>
      </c>
      <c r="BX16" s="429">
        <v>1642.8290438079346</v>
      </c>
      <c r="BY16" s="429">
        <v>32997.377294543949</v>
      </c>
      <c r="BZ16" s="429">
        <v>735.298555403617</v>
      </c>
      <c r="CA16" s="429">
        <v>218.30173318364569</v>
      </c>
      <c r="CB16" s="429">
        <v>1240.8186872778649</v>
      </c>
      <c r="CC16" s="429">
        <v>140016.87336503176</v>
      </c>
      <c r="CD16" s="429">
        <v>10912.999199587593</v>
      </c>
      <c r="CE16" s="429">
        <v>5325.7027969947949</v>
      </c>
      <c r="CF16" s="429">
        <v>47765.814829451963</v>
      </c>
      <c r="CG16" s="333"/>
      <c r="CH16" s="429">
        <v>231641.17604419834</v>
      </c>
      <c r="CI16" s="430">
        <v>1685960.9040000001</v>
      </c>
      <c r="CJ16" s="430">
        <v>212519.41131893848</v>
      </c>
      <c r="CK16" s="430">
        <v>234433.70109900003</v>
      </c>
      <c r="CL16" s="429">
        <v>1840832.1249780511</v>
      </c>
      <c r="CM16" s="429">
        <v>179845.26044287274</v>
      </c>
      <c r="CN16" s="429">
        <v>491563.56776718557</v>
      </c>
      <c r="CO16" s="428">
        <v>363498.72745065176</v>
      </c>
      <c r="CP16" s="428">
        <v>987480.07622293406</v>
      </c>
      <c r="CQ16" s="420">
        <f t="shared" si="0"/>
        <v>47361990.996924818</v>
      </c>
      <c r="CR16" s="420">
        <f t="shared" si="1"/>
        <v>57365922.599509984</v>
      </c>
      <c r="CT16" s="420">
        <f t="shared" si="2"/>
        <v>30305230.520122733</v>
      </c>
      <c r="CU16" s="420">
        <f t="shared" si="3"/>
        <v>11668096.678979719</v>
      </c>
      <c r="CV16" s="420">
        <f t="shared" si="4"/>
        <v>4955636.7049389835</v>
      </c>
      <c r="CW16" s="420">
        <f t="shared" si="5"/>
        <v>616944.62570675102</v>
      </c>
      <c r="CX16" s="427"/>
      <c r="CY16" s="420">
        <f t="shared" si="6"/>
        <v>39133159.216125004</v>
      </c>
      <c r="CZ16" s="420">
        <f t="shared" si="7"/>
        <v>11764076.08890691</v>
      </c>
      <c r="DA16" s="420">
        <f t="shared" si="8"/>
        <v>5996133.7732796334</v>
      </c>
      <c r="DB16" s="420">
        <f t="shared" si="9"/>
        <v>472553.52119845303</v>
      </c>
    </row>
    <row r="17" spans="1:106" hidden="1">
      <c r="A17" s="434" t="s">
        <v>822</v>
      </c>
      <c r="B17" s="428">
        <v>19432391.370145004</v>
      </c>
      <c r="C17" s="428">
        <v>2509652.5497999997</v>
      </c>
      <c r="D17" s="428">
        <v>1916097.6096999999</v>
      </c>
      <c r="E17" s="428">
        <v>0</v>
      </c>
      <c r="F17" s="428">
        <v>0</v>
      </c>
      <c r="G17" s="428">
        <v>0</v>
      </c>
      <c r="H17" s="428">
        <v>0</v>
      </c>
      <c r="I17" s="428">
        <v>0</v>
      </c>
      <c r="J17" s="428">
        <v>0</v>
      </c>
      <c r="K17" s="429">
        <v>0</v>
      </c>
      <c r="L17" s="429">
        <v>0</v>
      </c>
      <c r="M17" s="429">
        <v>0</v>
      </c>
      <c r="N17" s="429">
        <v>2294146.8692841926</v>
      </c>
      <c r="O17" s="429">
        <v>97906.339328659466</v>
      </c>
      <c r="P17" s="429">
        <v>4183.4875204437212</v>
      </c>
      <c r="Q17" s="429">
        <v>5594.5737863027716</v>
      </c>
      <c r="R17" s="429">
        <v>40498.756148058543</v>
      </c>
      <c r="S17" s="429">
        <v>1351995.4527746129</v>
      </c>
      <c r="T17" s="429">
        <v>169529.07724099178</v>
      </c>
      <c r="U17" s="428">
        <v>981968.29135105561</v>
      </c>
      <c r="V17" s="428">
        <v>5063.9907807489753</v>
      </c>
      <c r="W17" s="428">
        <v>313523.31631776586</v>
      </c>
      <c r="X17" s="428">
        <v>172963.25511667499</v>
      </c>
      <c r="Y17" s="428">
        <v>1696361.0151270898</v>
      </c>
      <c r="Z17" s="428">
        <v>6821355.1679723477</v>
      </c>
      <c r="AA17" s="429"/>
      <c r="AB17" s="429"/>
      <c r="AC17" s="429">
        <v>225.49621689936043</v>
      </c>
      <c r="AD17" s="429"/>
      <c r="AE17" s="429"/>
      <c r="AF17" s="429">
        <v>7.3653788795638846</v>
      </c>
      <c r="AG17" s="429"/>
      <c r="AH17" s="429">
        <v>16205.621445886954</v>
      </c>
      <c r="AI17" s="429">
        <v>2005.3734275020049</v>
      </c>
      <c r="AJ17" s="429">
        <v>88.838702500650498</v>
      </c>
      <c r="AK17" s="429">
        <v>6084.6925646079872</v>
      </c>
      <c r="AL17" s="333"/>
      <c r="AM17" s="429">
        <v>13498.03877704693</v>
      </c>
      <c r="AN17" s="430">
        <v>160521.0987123512</v>
      </c>
      <c r="AO17" s="430">
        <v>86434.437768189091</v>
      </c>
      <c r="AP17" s="430">
        <v>26649.996624576004</v>
      </c>
      <c r="AQ17" s="429">
        <v>6747.9278216622406</v>
      </c>
      <c r="AR17" s="429">
        <v>22758.951667199359</v>
      </c>
      <c r="AS17" s="429">
        <v>237640.94217668331</v>
      </c>
      <c r="AT17" s="428">
        <v>98407.231901592619</v>
      </c>
      <c r="AU17" s="428">
        <v>279769.10762022977</v>
      </c>
      <c r="AV17" s="433">
        <v>14572794.199665243</v>
      </c>
      <c r="AW17" s="428">
        <v>19195630.892150559</v>
      </c>
      <c r="AX17" s="428">
        <v>2760545.7860222221</v>
      </c>
      <c r="AY17" s="428">
        <v>2088328.4929222222</v>
      </c>
      <c r="AZ17" s="428">
        <v>0</v>
      </c>
      <c r="BA17" s="428">
        <v>0</v>
      </c>
      <c r="BB17" s="428">
        <v>0</v>
      </c>
      <c r="BC17" s="428">
        <v>0</v>
      </c>
      <c r="BD17" s="428">
        <v>0</v>
      </c>
      <c r="BE17" s="428">
        <v>0</v>
      </c>
      <c r="BF17" s="429">
        <v>0</v>
      </c>
      <c r="BG17" s="429">
        <v>0</v>
      </c>
      <c r="BH17" s="429">
        <v>0</v>
      </c>
      <c r="BI17" s="429">
        <v>2407565.373408509</v>
      </c>
      <c r="BJ17" s="429">
        <v>17980.586049109344</v>
      </c>
      <c r="BK17" s="429">
        <v>2419.5645952224622</v>
      </c>
      <c r="BL17" s="429">
        <v>5470.1272121695156</v>
      </c>
      <c r="BM17" s="429">
        <v>40193.102116083603</v>
      </c>
      <c r="BN17" s="429">
        <v>1314010.9857692004</v>
      </c>
      <c r="BO17" s="429">
        <v>166072.83979486258</v>
      </c>
      <c r="BP17" s="428">
        <v>825520.2785930722</v>
      </c>
      <c r="BQ17" s="428">
        <v>4257.191517217866</v>
      </c>
      <c r="BR17" s="428">
        <v>311067.13151105732</v>
      </c>
      <c r="BS17" s="428">
        <v>159338.01342004153</v>
      </c>
      <c r="BT17" s="428">
        <v>2110509.3556214301</v>
      </c>
      <c r="BU17" s="428">
        <v>6821355.1679723477</v>
      </c>
      <c r="BV17" s="431"/>
      <c r="BW17" s="431"/>
      <c r="BX17" s="429">
        <v>269.32522738449899</v>
      </c>
      <c r="BY17" s="429"/>
      <c r="BZ17" s="429"/>
      <c r="CA17" s="429">
        <v>4.4939533997703984</v>
      </c>
      <c r="CB17" s="429"/>
      <c r="CC17" s="429">
        <v>15302.022221537554</v>
      </c>
      <c r="CD17" s="429">
        <v>1893.5570507174157</v>
      </c>
      <c r="CE17" s="429">
        <v>79.535597252636734</v>
      </c>
      <c r="CF17" s="429">
        <v>5805.8980595700341</v>
      </c>
      <c r="CG17" s="333"/>
      <c r="CH17" s="429">
        <v>12257.999728467388</v>
      </c>
      <c r="CI17" s="430">
        <v>152181.99482093568</v>
      </c>
      <c r="CJ17" s="430">
        <v>50727.331606978558</v>
      </c>
      <c r="CK17" s="430">
        <v>26660.887885710006</v>
      </c>
      <c r="CL17" s="429">
        <v>10666.465996736688</v>
      </c>
      <c r="CM17" s="429">
        <v>20452.837211399543</v>
      </c>
      <c r="CN17" s="429">
        <v>215809.32258307069</v>
      </c>
      <c r="CO17" s="428">
        <v>112682.86077620575</v>
      </c>
      <c r="CP17" s="428">
        <v>358192.36754180532</v>
      </c>
      <c r="CQ17" s="420">
        <f t="shared" si="0"/>
        <v>38770276.243199758</v>
      </c>
      <c r="CR17" s="420">
        <f t="shared" si="1"/>
        <v>39213251.788936511</v>
      </c>
      <c r="CT17" s="420">
        <f t="shared" si="2"/>
        <v>4004353.3122313204</v>
      </c>
      <c r="CU17" s="420">
        <f t="shared" si="3"/>
        <v>33849376.566310681</v>
      </c>
      <c r="CV17" s="420">
        <f t="shared" si="4"/>
        <v>918929.69429248362</v>
      </c>
      <c r="CW17" s="420">
        <f t="shared" si="5"/>
        <v>38115.426513323451</v>
      </c>
      <c r="CX17" s="427"/>
      <c r="CY17" s="420">
        <f t="shared" si="6"/>
        <v>3953712.5789451567</v>
      </c>
      <c r="CZ17" s="420">
        <f t="shared" si="7"/>
        <v>34276552.309730172</v>
      </c>
      <c r="DA17" s="420">
        <f t="shared" si="8"/>
        <v>947374.06842284231</v>
      </c>
      <c r="DB17" s="420">
        <f t="shared" si="9"/>
        <v>35612.831838329294</v>
      </c>
    </row>
    <row r="18" spans="1:106" hidden="1">
      <c r="A18" s="434" t="s">
        <v>821</v>
      </c>
      <c r="B18" s="428">
        <v>24429387.395854998</v>
      </c>
      <c r="C18" s="428">
        <v>4567923.1212999998</v>
      </c>
      <c r="D18" s="428">
        <v>0</v>
      </c>
      <c r="E18" s="428">
        <v>672084.48867332842</v>
      </c>
      <c r="F18" s="428">
        <v>28283.949946713554</v>
      </c>
      <c r="G18" s="428">
        <v>497126.0677135975</v>
      </c>
      <c r="H18" s="428">
        <v>161955.23271004128</v>
      </c>
      <c r="I18" s="428">
        <v>6870.3166597335658</v>
      </c>
      <c r="J18" s="428">
        <v>118457.29019299561</v>
      </c>
      <c r="K18" s="429">
        <v>589222.88936465338</v>
      </c>
      <c r="L18" s="429">
        <v>133681.45146809981</v>
      </c>
      <c r="M18" s="429">
        <v>874186.74187037873</v>
      </c>
      <c r="N18" s="429">
        <v>19434021.702358771</v>
      </c>
      <c r="O18" s="429">
        <v>31975379.010896564</v>
      </c>
      <c r="P18" s="429">
        <v>920721.99236595794</v>
      </c>
      <c r="Q18" s="429">
        <v>549792.62573059544</v>
      </c>
      <c r="R18" s="429">
        <v>667053.13332908496</v>
      </c>
      <c r="S18" s="429">
        <v>15186248.632119384</v>
      </c>
      <c r="T18" s="429">
        <v>4013123.0473623839</v>
      </c>
      <c r="U18" s="428">
        <v>522697.91444221413</v>
      </c>
      <c r="V18" s="428">
        <v>227626.91393605806</v>
      </c>
      <c r="W18" s="428">
        <v>161661.47998313283</v>
      </c>
      <c r="X18" s="428">
        <v>898972.84769385343</v>
      </c>
      <c r="Y18" s="428">
        <v>214980.53935262118</v>
      </c>
      <c r="Z18" s="428">
        <v>1238344.3515903486</v>
      </c>
      <c r="AA18" s="429">
        <v>7.7815533737022387</v>
      </c>
      <c r="AB18" s="429">
        <v>0.25959727777065267</v>
      </c>
      <c r="AC18" s="429">
        <v>2293.2126476994408</v>
      </c>
      <c r="AD18" s="429">
        <v>1277761.1888717124</v>
      </c>
      <c r="AE18" s="429">
        <v>2.3630399141351863</v>
      </c>
      <c r="AF18" s="429">
        <v>2321.146506020717</v>
      </c>
      <c r="AG18" s="429">
        <v>3.7087667487918718</v>
      </c>
      <c r="AH18" s="429">
        <v>89105.068326029665</v>
      </c>
      <c r="AI18" s="429">
        <v>46344.1865015847</v>
      </c>
      <c r="AJ18" s="429">
        <v>8057.0051726725051</v>
      </c>
      <c r="AK18" s="429">
        <v>102816.81259247394</v>
      </c>
      <c r="AL18" s="333">
        <v>787972.98647885572</v>
      </c>
      <c r="AM18" s="429">
        <v>175045.96831511377</v>
      </c>
      <c r="AN18" s="430">
        <v>2085276.86136</v>
      </c>
      <c r="AO18" s="430">
        <v>698345.58293036057</v>
      </c>
      <c r="AP18" s="430">
        <v>285396.381757344</v>
      </c>
      <c r="AQ18" s="429">
        <v>249592.06257414998</v>
      </c>
      <c r="AR18" s="429">
        <v>243726.95238614525</v>
      </c>
      <c r="AS18" s="429">
        <v>775824.56022797269</v>
      </c>
      <c r="AT18" s="428">
        <v>479583.10399999889</v>
      </c>
      <c r="AU18" s="428">
        <v>371079.12979999906</v>
      </c>
      <c r="AV18" s="433">
        <v>105830124.45013677</v>
      </c>
      <c r="AW18" s="428">
        <v>22640310.731162217</v>
      </c>
      <c r="AX18" s="428">
        <v>4462388.6045000004</v>
      </c>
      <c r="AY18" s="428">
        <v>0</v>
      </c>
      <c r="AZ18" s="428">
        <v>3320020.0511400783</v>
      </c>
      <c r="BA18" s="428">
        <v>140511.61800829077</v>
      </c>
      <c r="BB18" s="428">
        <v>2446304.0943561359</v>
      </c>
      <c r="BC18" s="428">
        <v>2679108.8057378749</v>
      </c>
      <c r="BD18" s="428">
        <v>114055.00516766863</v>
      </c>
      <c r="BE18" s="428">
        <v>1960796.688069697</v>
      </c>
      <c r="BF18" s="429">
        <v>1317209.4611589781</v>
      </c>
      <c r="BG18" s="429">
        <v>298447.10398713301</v>
      </c>
      <c r="BH18" s="429">
        <v>2071193.7522715868</v>
      </c>
      <c r="BI18" s="429">
        <v>18810501.573774111</v>
      </c>
      <c r="BJ18" s="429">
        <v>29675444.375603713</v>
      </c>
      <c r="BK18" s="429">
        <v>826655.78206217161</v>
      </c>
      <c r="BL18" s="429">
        <v>429910.91765062546</v>
      </c>
      <c r="BM18" s="429">
        <v>629991.29160965537</v>
      </c>
      <c r="BN18" s="429">
        <v>15052200.764666906</v>
      </c>
      <c r="BO18" s="429">
        <v>3858388.6938767498</v>
      </c>
      <c r="BP18" s="428">
        <v>604211.84751854872</v>
      </c>
      <c r="BQ18" s="428">
        <v>263124.97986723116</v>
      </c>
      <c r="BR18" s="428">
        <v>177184.31365578415</v>
      </c>
      <c r="BS18" s="428">
        <v>1013048.8386162267</v>
      </c>
      <c r="BT18" s="428">
        <v>205027.73660481483</v>
      </c>
      <c r="BU18" s="428">
        <v>1238344.3515903486</v>
      </c>
      <c r="BV18" s="431">
        <v>1.5613815300399569</v>
      </c>
      <c r="BW18" s="431">
        <v>0.24429223827101329</v>
      </c>
      <c r="BX18" s="429">
        <v>2472.6171183905708</v>
      </c>
      <c r="BY18" s="429">
        <v>1296811.7858872004</v>
      </c>
      <c r="BZ18" s="429">
        <v>2.6128058538768948</v>
      </c>
      <c r="CA18" s="429">
        <v>2361.8583353323315</v>
      </c>
      <c r="CB18" s="429">
        <v>4.1958171294731175</v>
      </c>
      <c r="CC18" s="429">
        <v>88961.837071947419</v>
      </c>
      <c r="CD18" s="429">
        <v>46269.690896825647</v>
      </c>
      <c r="CE18" s="429">
        <v>7626.9549055217512</v>
      </c>
      <c r="CF18" s="429">
        <v>103732.0830325306</v>
      </c>
      <c r="CG18" s="333">
        <v>2274422.504473648</v>
      </c>
      <c r="CH18" s="429">
        <v>168453.63750172936</v>
      </c>
      <c r="CI18" s="430">
        <v>1817750.1117944741</v>
      </c>
      <c r="CJ18" s="430">
        <v>605916.70393149147</v>
      </c>
      <c r="CK18" s="430">
        <v>302555.64340989001</v>
      </c>
      <c r="CL18" s="429">
        <v>588663.58908479719</v>
      </c>
      <c r="CM18" s="429">
        <v>232104.84769224466</v>
      </c>
      <c r="CN18" s="429">
        <v>746606.56564403395</v>
      </c>
      <c r="CO18" s="428">
        <v>500705.57288888749</v>
      </c>
      <c r="CP18" s="428">
        <v>487115.54979999899</v>
      </c>
      <c r="CQ18" s="420">
        <f t="shared" si="0"/>
        <v>115770359.46032093</v>
      </c>
      <c r="CR18" s="420">
        <f t="shared" si="1"/>
        <v>123506921.55042224</v>
      </c>
      <c r="CT18" s="420">
        <f t="shared" si="2"/>
        <v>76495261.706091374</v>
      </c>
      <c r="CU18" s="420">
        <f t="shared" si="3"/>
        <v>32261594.564153232</v>
      </c>
      <c r="CV18" s="420">
        <f t="shared" si="4"/>
        <v>5188824.6350359712</v>
      </c>
      <c r="CW18" s="420">
        <f t="shared" si="5"/>
        <v>2491731.6883694776</v>
      </c>
      <c r="CX18" s="427"/>
      <c r="CY18" s="420">
        <f t="shared" si="6"/>
        <v>83630739.979141369</v>
      </c>
      <c r="CZ18" s="420">
        <f t="shared" si="7"/>
        <v>30603641.403515168</v>
      </c>
      <c r="DA18" s="420">
        <f t="shared" si="8"/>
        <v>5281418.5842458177</v>
      </c>
      <c r="DB18" s="420">
        <f t="shared" si="9"/>
        <v>3991121.5835198774</v>
      </c>
    </row>
    <row r="19" spans="1:106" hidden="1">
      <c r="A19" s="434" t="s">
        <v>820</v>
      </c>
      <c r="B19" s="428">
        <v>1999384.5747849999</v>
      </c>
      <c r="C19" s="428">
        <v>188015.33569999994</v>
      </c>
      <c r="D19" s="428">
        <v>0</v>
      </c>
      <c r="E19" s="431">
        <v>54856.25752310003</v>
      </c>
      <c r="F19" s="431">
        <v>2372.1624874854065</v>
      </c>
      <c r="G19" s="431">
        <v>38547.640421637858</v>
      </c>
      <c r="H19" s="431">
        <v>12163.531897722318</v>
      </c>
      <c r="I19" s="431">
        <v>525.99056855015419</v>
      </c>
      <c r="J19" s="431">
        <v>8547.3467389400066</v>
      </c>
      <c r="K19" s="429">
        <v>37643.105228766595</v>
      </c>
      <c r="L19" s="429">
        <v>8365.1344952814652</v>
      </c>
      <c r="M19" s="429">
        <v>38431.641832527173</v>
      </c>
      <c r="N19" s="429">
        <v>712090.94528137194</v>
      </c>
      <c r="O19" s="429">
        <v>2419125.9104846069</v>
      </c>
      <c r="P19" s="429">
        <v>53017.699628188435</v>
      </c>
      <c r="Q19" s="429">
        <v>59626.061679682709</v>
      </c>
      <c r="R19" s="429">
        <v>31169.619988022569</v>
      </c>
      <c r="S19" s="429">
        <v>411879.2414059799</v>
      </c>
      <c r="T19" s="429">
        <v>270392.24783309893</v>
      </c>
      <c r="U19" s="428">
        <v>13855.044704319227</v>
      </c>
      <c r="V19" s="428">
        <v>107147.0692820222</v>
      </c>
      <c r="W19" s="428">
        <v>12078.593445465904</v>
      </c>
      <c r="X19" s="428">
        <v>69116.183717665364</v>
      </c>
      <c r="Y19" s="428">
        <v>0</v>
      </c>
      <c r="Z19" s="428">
        <v>0</v>
      </c>
      <c r="AA19" s="429"/>
      <c r="AB19" s="429">
        <v>0.13722096809145537</v>
      </c>
      <c r="AC19" s="429">
        <v>70.748884287678578</v>
      </c>
      <c r="AD19" s="429">
        <v>172489.14910090237</v>
      </c>
      <c r="AE19" s="429">
        <v>3.7114026063414163</v>
      </c>
      <c r="AF19" s="429">
        <v>81.443313361049093</v>
      </c>
      <c r="AG19" s="429">
        <v>6.4265036694181656</v>
      </c>
      <c r="AH19" s="429">
        <v>10799.382001471553</v>
      </c>
      <c r="AI19" s="429">
        <v>763.22352499392923</v>
      </c>
      <c r="AJ19" s="429">
        <v>158.50394044141134</v>
      </c>
      <c r="AK19" s="429">
        <v>3999.499932459652</v>
      </c>
      <c r="AL19" s="333"/>
      <c r="AM19" s="429">
        <v>5377.8798489185783</v>
      </c>
      <c r="AN19" s="430">
        <v>173642.11704000001</v>
      </c>
      <c r="AO19" s="430">
        <v>6794.5542078468343</v>
      </c>
      <c r="AP19" s="430">
        <v>18483.973673568005</v>
      </c>
      <c r="AQ19" s="429">
        <v>5217.7260621480009</v>
      </c>
      <c r="AR19" s="429">
        <v>15785.212635508627</v>
      </c>
      <c r="AS19" s="429">
        <v>13526.870477932393</v>
      </c>
      <c r="AT19" s="428">
        <v>28089.599999999999</v>
      </c>
      <c r="AU19" s="428">
        <v>70410.399999999965</v>
      </c>
      <c r="AV19" s="433">
        <v>4934082.3150551803</v>
      </c>
      <c r="AW19" s="428">
        <v>1889084.203507222</v>
      </c>
      <c r="AX19" s="428">
        <v>177928.38892222208</v>
      </c>
      <c r="AY19" s="428">
        <v>0</v>
      </c>
      <c r="AZ19" s="431">
        <v>217722.86626074871</v>
      </c>
      <c r="BA19" s="431">
        <v>9415.0428653296749</v>
      </c>
      <c r="BB19" s="431">
        <v>152994.44656160715</v>
      </c>
      <c r="BC19" s="431">
        <v>173964.61308715923</v>
      </c>
      <c r="BD19" s="431">
        <v>7522.7940794447259</v>
      </c>
      <c r="BE19" s="431">
        <v>122245.40379097674</v>
      </c>
      <c r="BF19" s="429">
        <v>118416.79130635191</v>
      </c>
      <c r="BG19" s="429">
        <v>26314.842512522653</v>
      </c>
      <c r="BH19" s="429">
        <v>93788.185165274394</v>
      </c>
      <c r="BI19" s="429">
        <v>1015281.0468582163</v>
      </c>
      <c r="BJ19" s="429">
        <v>1630928.9539113548</v>
      </c>
      <c r="BK19" s="429">
        <v>45326.388596438272</v>
      </c>
      <c r="BL19" s="429">
        <v>58544.167073592143</v>
      </c>
      <c r="BM19" s="429">
        <v>29393.034143835688</v>
      </c>
      <c r="BN19" s="429">
        <v>406284.72267664562</v>
      </c>
      <c r="BO19" s="429">
        <v>264789.03005117644</v>
      </c>
      <c r="BP19" s="428">
        <v>15799.208313637955</v>
      </c>
      <c r="BQ19" s="428">
        <v>122182.12960761765</v>
      </c>
      <c r="BR19" s="428">
        <v>18078.066823983587</v>
      </c>
      <c r="BS19" s="428">
        <v>93899.370460016711</v>
      </c>
      <c r="BT19" s="428">
        <v>0</v>
      </c>
      <c r="BU19" s="428">
        <v>0</v>
      </c>
      <c r="BV19" s="431"/>
      <c r="BW19" s="431">
        <v>0.14012430091449243</v>
      </c>
      <c r="BX19" s="429">
        <v>89.23514032246473</v>
      </c>
      <c r="BY19" s="429">
        <v>139092.37613524534</v>
      </c>
      <c r="BZ19" s="429">
        <v>4.4523530967414127</v>
      </c>
      <c r="CA19" s="429">
        <v>78.911893616836039</v>
      </c>
      <c r="CB19" s="429">
        <v>7.7639613855742056</v>
      </c>
      <c r="CC19" s="429">
        <v>9380.3861791997242</v>
      </c>
      <c r="CD19" s="429">
        <v>662.93899081610391</v>
      </c>
      <c r="CE19" s="429">
        <v>130.53833802302353</v>
      </c>
      <c r="CF19" s="429">
        <v>3510.5497829842575</v>
      </c>
      <c r="CG19" s="333"/>
      <c r="CH19" s="429">
        <v>4515.1832633189551</v>
      </c>
      <c r="CI19" s="430">
        <v>131902.69391999999</v>
      </c>
      <c r="CJ19" s="430">
        <v>5161.3054440819633</v>
      </c>
      <c r="CK19" s="430">
        <v>17095.749387210002</v>
      </c>
      <c r="CL19" s="429">
        <v>8168.7483793668343</v>
      </c>
      <c r="CM19" s="429">
        <v>13114.963789743195</v>
      </c>
      <c r="CN19" s="429">
        <v>11356.947515167201</v>
      </c>
      <c r="CO19" s="428">
        <v>35567.155555555553</v>
      </c>
      <c r="CP19" s="428">
        <v>111488.40000000001</v>
      </c>
      <c r="CQ19" s="420">
        <f t="shared" si="0"/>
        <v>7074051.8989005201</v>
      </c>
      <c r="CR19" s="420">
        <f t="shared" si="1"/>
        <v>7181232.1367288092</v>
      </c>
      <c r="CT19" s="420">
        <f t="shared" si="2"/>
        <v>4189924.157482984</v>
      </c>
      <c r="CU19" s="420">
        <f t="shared" si="3"/>
        <v>2389596.8016344728</v>
      </c>
      <c r="CV19" s="420">
        <f t="shared" si="4"/>
        <v>331950.45409700379</v>
      </c>
      <c r="CW19" s="420">
        <f t="shared" si="5"/>
        <v>193750.10567408009</v>
      </c>
      <c r="CX19" s="427"/>
      <c r="CY19" s="420">
        <f t="shared" si="6"/>
        <v>4372932.3289406747</v>
      </c>
      <c r="CZ19" s="420">
        <f t="shared" si="7"/>
        <v>2316971.3676347001</v>
      </c>
      <c r="DA19" s="420">
        <f t="shared" si="8"/>
        <v>333855.96399112477</v>
      </c>
      <c r="DB19" s="420">
        <f t="shared" si="9"/>
        <v>157472.47616230996</v>
      </c>
    </row>
    <row r="20" spans="1:106" hidden="1">
      <c r="A20" s="434" t="s">
        <v>819</v>
      </c>
      <c r="B20" s="428">
        <v>3113352.6276450003</v>
      </c>
      <c r="C20" s="428">
        <v>765186.26909999992</v>
      </c>
      <c r="D20" s="428">
        <v>0</v>
      </c>
      <c r="E20" s="428">
        <v>114410.33079514088</v>
      </c>
      <c r="F20" s="428">
        <v>4138.24600748382</v>
      </c>
      <c r="G20" s="428">
        <v>73027.870720302686</v>
      </c>
      <c r="H20" s="428">
        <v>74892.009929595311</v>
      </c>
      <c r="I20" s="428">
        <v>2708.8599336236612</v>
      </c>
      <c r="J20" s="428">
        <v>47803.410593358713</v>
      </c>
      <c r="K20" s="429">
        <v>154915.52266137491</v>
      </c>
      <c r="L20" s="429">
        <v>34425.671702527754</v>
      </c>
      <c r="M20" s="429">
        <v>36029.233546455122</v>
      </c>
      <c r="N20" s="429">
        <v>3466327.7125069629</v>
      </c>
      <c r="O20" s="429">
        <v>13046667.857581075</v>
      </c>
      <c r="P20" s="429">
        <v>56483.496832378936</v>
      </c>
      <c r="Q20" s="429">
        <v>107688.2937923429</v>
      </c>
      <c r="R20" s="429">
        <v>147918.08947854745</v>
      </c>
      <c r="S20" s="429">
        <v>660535.7503452854</v>
      </c>
      <c r="T20" s="429">
        <v>425399.37523685378</v>
      </c>
      <c r="U20" s="428">
        <v>8686.5142429122261</v>
      </c>
      <c r="V20" s="428">
        <v>33347.713672971113</v>
      </c>
      <c r="W20" s="428">
        <v>59569.671230974702</v>
      </c>
      <c r="X20" s="428">
        <v>370224.42663195194</v>
      </c>
      <c r="Y20" s="428">
        <v>0</v>
      </c>
      <c r="Z20" s="428">
        <v>0</v>
      </c>
      <c r="AA20" s="429">
        <v>0.5319270933571838</v>
      </c>
      <c r="AB20" s="429"/>
      <c r="AC20" s="429">
        <v>326.23771506141105</v>
      </c>
      <c r="AD20" s="429">
        <v>872100.60811463697</v>
      </c>
      <c r="AE20" s="429"/>
      <c r="AF20" s="429">
        <v>86.437286483799838</v>
      </c>
      <c r="AG20" s="429"/>
      <c r="AH20" s="429">
        <v>19916.885742146478</v>
      </c>
      <c r="AI20" s="429">
        <v>2031.7618906860018</v>
      </c>
      <c r="AJ20" s="429">
        <v>285.87065402371536</v>
      </c>
      <c r="AK20" s="429">
        <v>10476.177890723051</v>
      </c>
      <c r="AL20" s="333"/>
      <c r="AM20" s="429">
        <v>30313.954675883033</v>
      </c>
      <c r="AN20" s="430">
        <v>204692.74560000002</v>
      </c>
      <c r="AO20" s="430">
        <v>87870.419000444846</v>
      </c>
      <c r="AP20" s="430">
        <v>46445.553498240006</v>
      </c>
      <c r="AQ20" s="429">
        <v>40530.918624761529</v>
      </c>
      <c r="AR20" s="429">
        <v>39664.249197239194</v>
      </c>
      <c r="AS20" s="429">
        <v>696878.66764384904</v>
      </c>
      <c r="AT20" s="428">
        <v>51798.246551798147</v>
      </c>
      <c r="AU20" s="428">
        <v>228451.5037284515</v>
      </c>
      <c r="AV20" s="433">
        <v>22003818.227034401</v>
      </c>
      <c r="AW20" s="428">
        <v>2963654.5280838893</v>
      </c>
      <c r="AX20" s="428">
        <v>727858.98343333334</v>
      </c>
      <c r="AY20" s="428">
        <v>0</v>
      </c>
      <c r="AZ20" s="428">
        <v>614665.93507117359</v>
      </c>
      <c r="BA20" s="428">
        <v>22232.597651510536</v>
      </c>
      <c r="BB20" s="428">
        <v>392339.95855606819</v>
      </c>
      <c r="BC20" s="428">
        <v>1080140.9609013712</v>
      </c>
      <c r="BD20" s="428">
        <v>39068.928373028328</v>
      </c>
      <c r="BE20" s="428">
        <v>689451.67717108782</v>
      </c>
      <c r="BF20" s="429">
        <v>338605.77009155985</v>
      </c>
      <c r="BG20" s="429">
        <v>75245.726687013317</v>
      </c>
      <c r="BH20" s="429">
        <v>84476.601945890783</v>
      </c>
      <c r="BI20" s="429">
        <v>3037685.6439969065</v>
      </c>
      <c r="BJ20" s="429">
        <v>11173973.706065623</v>
      </c>
      <c r="BK20" s="429">
        <v>35086.513964170583</v>
      </c>
      <c r="BL20" s="429">
        <v>89962.350502017463</v>
      </c>
      <c r="BM20" s="429">
        <v>125822.95653516769</v>
      </c>
      <c r="BN20" s="429">
        <v>585213.62744607218</v>
      </c>
      <c r="BO20" s="429">
        <v>382448.33301432483</v>
      </c>
      <c r="BP20" s="428">
        <v>12047.755076129901</v>
      </c>
      <c r="BQ20" s="428">
        <v>46251.589008638875</v>
      </c>
      <c r="BR20" s="428">
        <v>91128.379724320577</v>
      </c>
      <c r="BS20" s="428">
        <v>542814.49401568726</v>
      </c>
      <c r="BT20" s="428">
        <v>0</v>
      </c>
      <c r="BU20" s="428">
        <v>0</v>
      </c>
      <c r="BV20" s="431">
        <v>0.17043484162079314</v>
      </c>
      <c r="BW20" s="431"/>
      <c r="BX20" s="429">
        <v>267.41575839326271</v>
      </c>
      <c r="BY20" s="429">
        <v>869226.26217257406</v>
      </c>
      <c r="BZ20" s="429"/>
      <c r="CA20" s="429">
        <v>69.061369226740055</v>
      </c>
      <c r="CB20" s="429"/>
      <c r="CC20" s="429">
        <v>18862.46038801923</v>
      </c>
      <c r="CD20" s="429">
        <v>1924.1978227476397</v>
      </c>
      <c r="CE20" s="429">
        <v>256.69811835229325</v>
      </c>
      <c r="CF20" s="429">
        <v>10025.993088864547</v>
      </c>
      <c r="CG20" s="333"/>
      <c r="CH20" s="429">
        <v>27677.502470350511</v>
      </c>
      <c r="CI20" s="430">
        <v>181258.97338755155</v>
      </c>
      <c r="CJ20" s="430">
        <v>60419.657795850522</v>
      </c>
      <c r="CK20" s="430">
        <v>46715.065094879996</v>
      </c>
      <c r="CL20" s="429">
        <v>100867.84224950869</v>
      </c>
      <c r="CM20" s="429">
        <v>35837.351921712601</v>
      </c>
      <c r="CN20" s="429">
        <v>636270.03640643775</v>
      </c>
      <c r="CO20" s="428">
        <v>65717.878787939873</v>
      </c>
      <c r="CP20" s="428">
        <v>304919.09380491893</v>
      </c>
      <c r="CQ20" s="420">
        <f t="shared" si="0"/>
        <v>25135609.723928649</v>
      </c>
      <c r="CR20" s="420">
        <f t="shared" si="1"/>
        <v>25510492.678387143</v>
      </c>
      <c r="CT20" s="420">
        <f t="shared" si="2"/>
        <v>18601289.821141861</v>
      </c>
      <c r="CU20" s="420">
        <f t="shared" si="3"/>
        <v>4350367.2225238094</v>
      </c>
      <c r="CV20" s="420">
        <f t="shared" si="4"/>
        <v>1396332.3038447842</v>
      </c>
      <c r="CW20" s="420">
        <f t="shared" si="5"/>
        <v>935538.46589673799</v>
      </c>
      <c r="CX20" s="427"/>
      <c r="CY20" s="420">
        <f t="shared" si="6"/>
        <v>18766421.287972987</v>
      </c>
      <c r="CZ20" s="420">
        <f t="shared" si="7"/>
        <v>4383755.7293419996</v>
      </c>
      <c r="DA20" s="420">
        <f t="shared" si="8"/>
        <v>1432005.8994488001</v>
      </c>
      <c r="DB20" s="420">
        <f t="shared" si="9"/>
        <v>928309.76162336988</v>
      </c>
    </row>
    <row r="21" spans="1:106" hidden="1">
      <c r="A21" s="434" t="s">
        <v>818</v>
      </c>
      <c r="B21" s="428">
        <v>1261744.1894850002</v>
      </c>
      <c r="C21" s="428">
        <v>159485.97159999996</v>
      </c>
      <c r="D21" s="428">
        <v>0</v>
      </c>
      <c r="E21" s="428">
        <v>14054.27299492557</v>
      </c>
      <c r="F21" s="428">
        <v>579.20640221511451</v>
      </c>
      <c r="G21" s="428">
        <v>11073.063571759538</v>
      </c>
      <c r="H21" s="428">
        <v>5190.6580290816401</v>
      </c>
      <c r="I21" s="428">
        <v>213.91802786518281</v>
      </c>
      <c r="J21" s="428">
        <v>4089.6093562461406</v>
      </c>
      <c r="K21" s="429">
        <v>0</v>
      </c>
      <c r="L21" s="429">
        <v>0</v>
      </c>
      <c r="M21" s="429">
        <v>37410.659218535322</v>
      </c>
      <c r="N21" s="429">
        <v>707336.26922753127</v>
      </c>
      <c r="O21" s="429">
        <v>83000.666652035477</v>
      </c>
      <c r="P21" s="429"/>
      <c r="Q21" s="429">
        <v>878.63614904424662</v>
      </c>
      <c r="R21" s="429">
        <v>18310.843440051318</v>
      </c>
      <c r="S21" s="429">
        <v>9476931.5229287893</v>
      </c>
      <c r="T21" s="429">
        <v>417092.21417657158</v>
      </c>
      <c r="U21" s="428">
        <v>117535.62656188165</v>
      </c>
      <c r="V21" s="428">
        <v>117.95583829133551</v>
      </c>
      <c r="W21" s="428">
        <v>21960.895622990171</v>
      </c>
      <c r="X21" s="428">
        <v>36574.834716451223</v>
      </c>
      <c r="Y21" s="428">
        <v>16.128</v>
      </c>
      <c r="Z21" s="428">
        <v>0</v>
      </c>
      <c r="AA21" s="429"/>
      <c r="AB21" s="429"/>
      <c r="AC21" s="429">
        <v>228.20820309354491</v>
      </c>
      <c r="AD21" s="429"/>
      <c r="AE21" s="429"/>
      <c r="AF21" s="429"/>
      <c r="AG21" s="429"/>
      <c r="AH21" s="333"/>
      <c r="AI21" s="429">
        <v>7384.4992400963356</v>
      </c>
      <c r="AJ21" s="430"/>
      <c r="AK21" s="429">
        <v>4687.9707018517729</v>
      </c>
      <c r="AL21" s="333"/>
      <c r="AM21" s="429">
        <v>28646.291550325612</v>
      </c>
      <c r="AN21" s="430">
        <v>92285.312498170329</v>
      </c>
      <c r="AO21" s="430">
        <v>49692.091345168636</v>
      </c>
      <c r="AP21" s="430">
        <v>26578.013167680005</v>
      </c>
      <c r="AQ21" s="429">
        <v>13287.26657162339</v>
      </c>
      <c r="AR21" s="429">
        <v>22697.478187881039</v>
      </c>
      <c r="AS21" s="429">
        <v>153101.46118941091</v>
      </c>
      <c r="AT21" s="428">
        <v>46197.151046197025</v>
      </c>
      <c r="AU21" s="428">
        <v>94060.336044060314</v>
      </c>
      <c r="AV21" s="433">
        <v>22215926.386370249</v>
      </c>
      <c r="AW21" s="428">
        <v>1500244.3830905559</v>
      </c>
      <c r="AX21" s="428">
        <v>193207.38582222219</v>
      </c>
      <c r="AY21" s="428">
        <v>0</v>
      </c>
      <c r="AZ21" s="428">
        <v>130831.27379083334</v>
      </c>
      <c r="BA21" s="428">
        <v>5391.8343138040418</v>
      </c>
      <c r="BB21" s="428">
        <v>103079.18541095956</v>
      </c>
      <c r="BC21" s="428">
        <v>73612.768510906651</v>
      </c>
      <c r="BD21" s="428">
        <v>3033.7383386313049</v>
      </c>
      <c r="BE21" s="428">
        <v>57997.938826774916</v>
      </c>
      <c r="BF21" s="429">
        <v>0</v>
      </c>
      <c r="BG21" s="429">
        <v>0</v>
      </c>
      <c r="BH21" s="429">
        <v>88981.615461448091</v>
      </c>
      <c r="BI21" s="429">
        <v>673796.29003190412</v>
      </c>
      <c r="BJ21" s="429">
        <v>15061.47658364302</v>
      </c>
      <c r="BK21" s="429"/>
      <c r="BL21" s="429">
        <v>801.11320855020995</v>
      </c>
      <c r="BM21" s="429">
        <v>15610.731609413144</v>
      </c>
      <c r="BN21" s="429">
        <v>9543025.4659594856</v>
      </c>
      <c r="BO21" s="429">
        <v>424239.34458335489</v>
      </c>
      <c r="BP21" s="428">
        <v>154508.66238746807</v>
      </c>
      <c r="BQ21" s="428">
        <v>155.06105959788636</v>
      </c>
      <c r="BR21" s="428">
        <v>22394.671618416443</v>
      </c>
      <c r="BS21" s="428">
        <v>43530.633214552567</v>
      </c>
      <c r="BT21" s="428">
        <v>15.38133333333333</v>
      </c>
      <c r="BU21" s="428">
        <v>0</v>
      </c>
      <c r="BV21" s="431"/>
      <c r="BW21" s="431"/>
      <c r="BX21" s="429">
        <v>258.95233180723426</v>
      </c>
      <c r="BY21" s="429"/>
      <c r="BZ21" s="429"/>
      <c r="CA21" s="429"/>
      <c r="CB21" s="429"/>
      <c r="CC21" s="333"/>
      <c r="CD21" s="429">
        <v>8169.6010764342991</v>
      </c>
      <c r="CE21" s="430"/>
      <c r="CF21" s="429">
        <v>5240.9777600965563</v>
      </c>
      <c r="CG21" s="333"/>
      <c r="CH21" s="429">
        <v>30633.23193601608</v>
      </c>
      <c r="CI21" s="430">
        <v>103024.19068968059</v>
      </c>
      <c r="CJ21" s="430">
        <v>34341.396896560196</v>
      </c>
      <c r="CK21" s="430">
        <v>31309.449955289998</v>
      </c>
      <c r="CL21" s="429">
        <v>14529.320203412684</v>
      </c>
      <c r="CM21" s="429">
        <v>24018.970630653235</v>
      </c>
      <c r="CN21" s="429">
        <v>163720.75813439384</v>
      </c>
      <c r="CO21" s="428">
        <v>49798.56938313166</v>
      </c>
      <c r="CP21" s="428">
        <v>113844.75106384471</v>
      </c>
      <c r="CQ21" s="420">
        <f t="shared" si="0"/>
        <v>12912443.221744826</v>
      </c>
      <c r="CR21" s="420">
        <f t="shared" si="1"/>
        <v>13628409.125217171</v>
      </c>
      <c r="CT21" s="420">
        <f t="shared" si="2"/>
        <v>10794472.383614702</v>
      </c>
      <c r="CU21" s="420">
        <f t="shared" si="3"/>
        <v>1597435.6018246147</v>
      </c>
      <c r="CV21" s="420">
        <f t="shared" si="4"/>
        <v>497899.11005019164</v>
      </c>
      <c r="CW21" s="420">
        <f t="shared" si="5"/>
        <v>40946.969695367268</v>
      </c>
      <c r="CX21" s="427"/>
      <c r="CY21" s="420">
        <f t="shared" si="6"/>
        <v>11135462.776629709</v>
      </c>
      <c r="CZ21" s="420">
        <f t="shared" si="7"/>
        <v>1914056.1785261466</v>
      </c>
      <c r="DA21" s="420">
        <f t="shared" si="8"/>
        <v>534587.40695696697</v>
      </c>
      <c r="DB21" s="420">
        <f t="shared" si="9"/>
        <v>44302.76310435417</v>
      </c>
    </row>
    <row r="22" spans="1:106" hidden="1">
      <c r="A22" s="434" t="s">
        <v>817</v>
      </c>
      <c r="B22" s="428">
        <v>7675951.3667199994</v>
      </c>
      <c r="C22" s="428">
        <v>1680226.5240000002</v>
      </c>
      <c r="D22" s="428">
        <v>0</v>
      </c>
      <c r="E22" s="428">
        <v>823357.01241758047</v>
      </c>
      <c r="F22" s="428">
        <v>38603.295992037376</v>
      </c>
      <c r="G22" s="428">
        <v>501719.98449603195</v>
      </c>
      <c r="H22" s="428">
        <v>278402.9222558951</v>
      </c>
      <c r="I22" s="428">
        <v>13052.989469702623</v>
      </c>
      <c r="J22" s="428">
        <v>179119.22751056612</v>
      </c>
      <c r="K22" s="429">
        <v>25235.830296881413</v>
      </c>
      <c r="L22" s="429">
        <v>6308.9575742203533</v>
      </c>
      <c r="M22" s="429">
        <v>0</v>
      </c>
      <c r="N22" s="429">
        <v>1751100.9772683936</v>
      </c>
      <c r="O22" s="429">
        <v>8045403.4096212806</v>
      </c>
      <c r="P22" s="429">
        <v>76016.087227178039</v>
      </c>
      <c r="Q22" s="429">
        <v>1961381.1508323038</v>
      </c>
      <c r="R22" s="429">
        <v>161073.87598039134</v>
      </c>
      <c r="S22" s="429">
        <v>14310470.133136503</v>
      </c>
      <c r="T22" s="429">
        <v>1711187.0494140645</v>
      </c>
      <c r="U22" s="428">
        <v>46585.79556864308</v>
      </c>
      <c r="V22" s="428">
        <v>32051.356919246871</v>
      </c>
      <c r="W22" s="428">
        <v>167504.40421299537</v>
      </c>
      <c r="X22" s="428">
        <v>1118674.6629200843</v>
      </c>
      <c r="Y22" s="428">
        <v>33510.14693041383</v>
      </c>
      <c r="Z22" s="428">
        <v>24998.740757354812</v>
      </c>
      <c r="AA22" s="429">
        <v>211.17953516333728</v>
      </c>
      <c r="AB22" s="429">
        <v>4.574557665803435</v>
      </c>
      <c r="AC22" s="429">
        <v>1041.9554977399534</v>
      </c>
      <c r="AD22" s="429">
        <v>582137.96051436791</v>
      </c>
      <c r="AE22" s="429">
        <v>206.99210168567143</v>
      </c>
      <c r="AF22" s="429">
        <v>134.6669044119202</v>
      </c>
      <c r="AG22" s="429">
        <v>365.2639757873925</v>
      </c>
      <c r="AH22" s="429">
        <v>58803.36776074607</v>
      </c>
      <c r="AI22" s="429">
        <v>31604.410066250643</v>
      </c>
      <c r="AJ22" s="429">
        <v>8707.9214454738521</v>
      </c>
      <c r="AK22" s="429">
        <v>79772.853954487917</v>
      </c>
      <c r="AL22" s="333"/>
      <c r="AM22" s="429">
        <v>115398.57467983534</v>
      </c>
      <c r="AN22" s="430">
        <v>994878.74340870336</v>
      </c>
      <c r="AO22" s="430">
        <v>535703.93875853252</v>
      </c>
      <c r="AP22" s="430">
        <v>288301.51394428813</v>
      </c>
      <c r="AQ22" s="429">
        <v>618809.09691810037</v>
      </c>
      <c r="AR22" s="429">
        <v>246207.91941818275</v>
      </c>
      <c r="AS22" s="429">
        <v>3380250.5012048506</v>
      </c>
      <c r="AT22" s="428">
        <v>527805.77849999897</v>
      </c>
      <c r="AU22" s="428">
        <v>1454547.2089999998</v>
      </c>
      <c r="AV22" s="433">
        <v>51878798.594631344</v>
      </c>
      <c r="AW22" s="428">
        <v>6706055.6429533334</v>
      </c>
      <c r="AX22" s="428">
        <v>1527397.5115555557</v>
      </c>
      <c r="AY22" s="428">
        <v>0</v>
      </c>
      <c r="AZ22" s="428">
        <v>2949266.3850029949</v>
      </c>
      <c r="BA22" s="428">
        <v>138277.07969030441</v>
      </c>
      <c r="BB22" s="428">
        <v>1829367.8994804446</v>
      </c>
      <c r="BC22" s="428">
        <v>4054116.8767147386</v>
      </c>
      <c r="BD22" s="428">
        <v>190078.26667875671</v>
      </c>
      <c r="BE22" s="428">
        <v>2607377.784073764</v>
      </c>
      <c r="BF22" s="429">
        <v>15345.127201677431</v>
      </c>
      <c r="BG22" s="429">
        <v>3836.2818004193578</v>
      </c>
      <c r="BH22" s="429">
        <v>0</v>
      </c>
      <c r="BI22" s="429">
        <v>912089.61229892203</v>
      </c>
      <c r="BJ22" s="429">
        <v>2830125.1101047266</v>
      </c>
      <c r="BK22" s="429">
        <v>372.15193245801487</v>
      </c>
      <c r="BL22" s="429">
        <v>1905077.0684349332</v>
      </c>
      <c r="BM22" s="429">
        <v>95817.848637717601</v>
      </c>
      <c r="BN22" s="429">
        <v>13842146.174422327</v>
      </c>
      <c r="BO22" s="429">
        <v>1622870.3809198227</v>
      </c>
      <c r="BP22" s="428">
        <v>22104.523815961526</v>
      </c>
      <c r="BQ22" s="428">
        <v>15208.068762321491</v>
      </c>
      <c r="BR22" s="428">
        <v>135911.5993444894</v>
      </c>
      <c r="BS22" s="428">
        <v>740862.47076908371</v>
      </c>
      <c r="BT22" s="428">
        <v>31958.751239190973</v>
      </c>
      <c r="BU22" s="428">
        <v>24998.740757354812</v>
      </c>
      <c r="BV22" s="431">
        <v>200.56315940739401</v>
      </c>
      <c r="BW22" s="431">
        <v>4.7056865735244857</v>
      </c>
      <c r="BX22" s="429">
        <v>1085.9962436107751</v>
      </c>
      <c r="BY22" s="429">
        <v>138052.85931416709</v>
      </c>
      <c r="BZ22" s="429">
        <v>210.49700982107419</v>
      </c>
      <c r="CA22" s="429">
        <v>1.0632931680649862</v>
      </c>
      <c r="CB22" s="429">
        <v>371.3294924058228</v>
      </c>
      <c r="CC22" s="429">
        <v>56098.137613094223</v>
      </c>
      <c r="CD22" s="429">
        <v>30150.459277958442</v>
      </c>
      <c r="CE22" s="429">
        <v>7876.5665671911147</v>
      </c>
      <c r="CF22" s="429">
        <v>76904.012759960373</v>
      </c>
      <c r="CG22" s="333"/>
      <c r="CH22" s="429">
        <v>105995.41997364323</v>
      </c>
      <c r="CI22" s="430">
        <v>953979.4510229883</v>
      </c>
      <c r="CJ22" s="430">
        <v>317993.15034099604</v>
      </c>
      <c r="CK22" s="430">
        <v>291717.23765652004</v>
      </c>
      <c r="CL22" s="429">
        <v>1547097.3994545953</v>
      </c>
      <c r="CM22" s="429">
        <v>223790.19030142346</v>
      </c>
      <c r="CN22" s="429">
        <v>3104813.6641668063</v>
      </c>
      <c r="CO22" s="428">
        <v>610209.2534999979</v>
      </c>
      <c r="CP22" s="428">
        <v>1907231.2334444441</v>
      </c>
      <c r="CQ22" s="420">
        <f t="shared" si="0"/>
        <v>49586830.323668033</v>
      </c>
      <c r="CR22" s="420">
        <f t="shared" si="1"/>
        <v>51574444.546870075</v>
      </c>
      <c r="CT22" s="420">
        <f t="shared" si="2"/>
        <v>30043506.779473424</v>
      </c>
      <c r="CU22" s="420">
        <f t="shared" si="3"/>
        <v>10779502.998028737</v>
      </c>
      <c r="CV22" s="420">
        <f t="shared" si="4"/>
        <v>8046504.7011526562</v>
      </c>
      <c r="CW22" s="420">
        <f t="shared" si="5"/>
        <v>878389.72099361592</v>
      </c>
      <c r="CX22" s="427"/>
      <c r="CY22" s="420">
        <f t="shared" si="6"/>
        <v>32996164.047394007</v>
      </c>
      <c r="CZ22" s="420">
        <f t="shared" si="7"/>
        <v>9204497.3091972917</v>
      </c>
      <c r="DA22" s="420">
        <f t="shared" si="8"/>
        <v>8956831.579887772</v>
      </c>
      <c r="DB22" s="420">
        <f t="shared" si="9"/>
        <v>416951.6103910011</v>
      </c>
    </row>
    <row r="23" spans="1:106" hidden="1">
      <c r="A23" s="434" t="s">
        <v>815</v>
      </c>
      <c r="B23" s="428">
        <v>2629133.6695649996</v>
      </c>
      <c r="C23" s="428">
        <v>424434.71749999997</v>
      </c>
      <c r="D23" s="428">
        <v>0</v>
      </c>
      <c r="E23" s="431">
        <v>24006.624187799443</v>
      </c>
      <c r="F23" s="431">
        <v>1038.124289202138</v>
      </c>
      <c r="G23" s="431">
        <v>16869.519699534743</v>
      </c>
      <c r="H23" s="431">
        <v>2349.3989822501139</v>
      </c>
      <c r="I23" s="431">
        <v>101.59563166486979</v>
      </c>
      <c r="J23" s="431">
        <v>1650.929014554134</v>
      </c>
      <c r="K23" s="429">
        <v>195132.90144193245</v>
      </c>
      <c r="L23" s="429">
        <v>43362.866987096102</v>
      </c>
      <c r="M23" s="429">
        <v>19084.408094659626</v>
      </c>
      <c r="N23" s="429">
        <v>2122718.2300432776</v>
      </c>
      <c r="O23" s="429">
        <v>1913555.2001594396</v>
      </c>
      <c r="P23" s="429">
        <v>32169.19434477255</v>
      </c>
      <c r="Q23" s="429">
        <v>7071.2555127563319</v>
      </c>
      <c r="R23" s="429">
        <v>49269.145215219025</v>
      </c>
      <c r="S23" s="429">
        <v>1242101.5746405779</v>
      </c>
      <c r="T23" s="429">
        <v>142166.16274989257</v>
      </c>
      <c r="U23" s="428">
        <v>102736.3064255112</v>
      </c>
      <c r="V23" s="428">
        <v>82530.98222738404</v>
      </c>
      <c r="W23" s="428">
        <v>50523.252387161032</v>
      </c>
      <c r="X23" s="428">
        <v>328773.56329995504</v>
      </c>
      <c r="Y23" s="428">
        <v>0</v>
      </c>
      <c r="Z23" s="428">
        <v>0</v>
      </c>
      <c r="AA23" s="429"/>
      <c r="AB23" s="429"/>
      <c r="AC23" s="429">
        <v>144.70443246816114</v>
      </c>
      <c r="AD23" s="429"/>
      <c r="AE23" s="429"/>
      <c r="AF23" s="429">
        <v>51.121014350475875</v>
      </c>
      <c r="AG23" s="429"/>
      <c r="AH23" s="429">
        <v>10130.845408771935</v>
      </c>
      <c r="AI23" s="429">
        <v>2159.7239094613674</v>
      </c>
      <c r="AJ23" s="429">
        <v>15.716311700466642</v>
      </c>
      <c r="AK23" s="429">
        <v>3784.7672240883235</v>
      </c>
      <c r="AL23" s="333"/>
      <c r="AM23" s="429">
        <v>5615.1828482975989</v>
      </c>
      <c r="AN23" s="430">
        <v>98077.058239999998</v>
      </c>
      <c r="AO23" s="430">
        <v>15211.10321553613</v>
      </c>
      <c r="AP23" s="430">
        <v>12436.088567136001</v>
      </c>
      <c r="AQ23" s="429">
        <v>4067.1189923224292</v>
      </c>
      <c r="AR23" s="429">
        <v>10620.351762726037</v>
      </c>
      <c r="AS23" s="429">
        <v>28522.146137571275</v>
      </c>
      <c r="AT23" s="428">
        <v>28716.495500000005</v>
      </c>
      <c r="AU23" s="428">
        <v>116592.75450000002</v>
      </c>
      <c r="AV23" s="433">
        <v>7484301.3707422288</v>
      </c>
      <c r="AW23" s="428">
        <v>2435093.4410761115</v>
      </c>
      <c r="AX23" s="428">
        <v>403301.83650000003</v>
      </c>
      <c r="AY23" s="428">
        <v>0</v>
      </c>
      <c r="AZ23" s="431">
        <v>85044.437262704974</v>
      </c>
      <c r="BA23" s="431">
        <v>3677.5972870358914</v>
      </c>
      <c r="BB23" s="431">
        <v>59760.955914333208</v>
      </c>
      <c r="BC23" s="431">
        <v>34078.11340933363</v>
      </c>
      <c r="BD23" s="431">
        <v>1473.6481474306438</v>
      </c>
      <c r="BE23" s="431">
        <v>23946.782395747949</v>
      </c>
      <c r="BF23" s="429">
        <v>467229.83751274535</v>
      </c>
      <c r="BG23" s="429">
        <v>103828.85278061009</v>
      </c>
      <c r="BH23" s="429">
        <v>47580.720367377828</v>
      </c>
      <c r="BI23" s="429">
        <v>1867708.4744071534</v>
      </c>
      <c r="BJ23" s="429">
        <v>3037738.9626253145</v>
      </c>
      <c r="BK23" s="429">
        <v>59571.635144920525</v>
      </c>
      <c r="BL23" s="429">
        <v>6315.5861717364578</v>
      </c>
      <c r="BM23" s="429">
        <v>44569.550754174699</v>
      </c>
      <c r="BN23" s="429">
        <v>918052.30377756606</v>
      </c>
      <c r="BO23" s="429">
        <v>119753.27347661798</v>
      </c>
      <c r="BP23" s="428">
        <v>120404.35647182833</v>
      </c>
      <c r="BQ23" s="428">
        <v>96724.226807598461</v>
      </c>
      <c r="BR23" s="428">
        <v>67237.084689980838</v>
      </c>
      <c r="BS23" s="428">
        <v>413837.62582742749</v>
      </c>
      <c r="BT23" s="428">
        <v>0</v>
      </c>
      <c r="BU23" s="428">
        <v>0</v>
      </c>
      <c r="BV23" s="431"/>
      <c r="BW23" s="431"/>
      <c r="BX23" s="429">
        <v>126.45541751189621</v>
      </c>
      <c r="BY23" s="429"/>
      <c r="BZ23" s="429"/>
      <c r="CA23" s="429">
        <v>112.78283832078544</v>
      </c>
      <c r="CB23" s="429"/>
      <c r="CC23" s="429">
        <v>8242.2719225940782</v>
      </c>
      <c r="CD23" s="429">
        <v>1757.1121679633245</v>
      </c>
      <c r="CE23" s="429">
        <v>12.123501896382864</v>
      </c>
      <c r="CF23" s="429">
        <v>3111.6307299582058</v>
      </c>
      <c r="CG23" s="333"/>
      <c r="CH23" s="429">
        <v>4415.7820059597498</v>
      </c>
      <c r="CI23" s="430">
        <v>69782.328960000013</v>
      </c>
      <c r="CJ23" s="430">
        <v>10822.777798183844</v>
      </c>
      <c r="CK23" s="430">
        <v>10773.48082941</v>
      </c>
      <c r="CL23" s="429">
        <v>5084.067136503827</v>
      </c>
      <c r="CM23" s="429">
        <v>8264.8503886534545</v>
      </c>
      <c r="CN23" s="429">
        <v>22429.826968827234</v>
      </c>
      <c r="CO23" s="428">
        <v>37632.667722222221</v>
      </c>
      <c r="CP23" s="428">
        <v>165573.8045</v>
      </c>
      <c r="CQ23" s="420">
        <f t="shared" si="0"/>
        <v>9766924.8004640732</v>
      </c>
      <c r="CR23" s="420">
        <f t="shared" si="1"/>
        <v>10765071.265695754</v>
      </c>
      <c r="CT23" s="420">
        <f t="shared" si="2"/>
        <v>5861916.276209848</v>
      </c>
      <c r="CU23" s="420">
        <f t="shared" si="3"/>
        <v>3618132.4914050107</v>
      </c>
      <c r="CV23" s="420">
        <f t="shared" si="4"/>
        <v>314243.11691529193</v>
      </c>
      <c r="CW23" s="420">
        <f t="shared" si="5"/>
        <v>21902.061149138328</v>
      </c>
      <c r="CX23" s="427"/>
      <c r="CY23" s="420">
        <f t="shared" si="6"/>
        <v>6880330.7314348025</v>
      </c>
      <c r="CZ23" s="420">
        <f t="shared" si="7"/>
        <v>3536598.5713729467</v>
      </c>
      <c r="DA23" s="420">
        <f t="shared" si="8"/>
        <v>330363.80430380057</v>
      </c>
      <c r="DB23" s="420">
        <f t="shared" si="9"/>
        <v>17778.158584204422</v>
      </c>
    </row>
    <row r="24" spans="1:106" hidden="1">
      <c r="A24" s="434" t="s">
        <v>814</v>
      </c>
      <c r="B24" s="428">
        <v>5018713.61472</v>
      </c>
      <c r="C24" s="428">
        <v>1027332.3987000001</v>
      </c>
      <c r="D24" s="428">
        <v>0</v>
      </c>
      <c r="E24" s="431">
        <v>3372.2772561698198</v>
      </c>
      <c r="F24" s="431">
        <v>145.82820567220841</v>
      </c>
      <c r="G24" s="431">
        <v>2369.7083421733869</v>
      </c>
      <c r="H24" s="431">
        <v>2054.5861070435863</v>
      </c>
      <c r="I24" s="431">
        <v>88.846966791073996</v>
      </c>
      <c r="J24" s="431">
        <v>1443.7632103549524</v>
      </c>
      <c r="K24" s="429">
        <v>175710.64886147945</v>
      </c>
      <c r="L24" s="429">
        <v>39046.810858106546</v>
      </c>
      <c r="M24" s="429">
        <v>12878.87329518584</v>
      </c>
      <c r="N24" s="429">
        <v>1535630.6929159195</v>
      </c>
      <c r="O24" s="429">
        <v>763625.94613438309</v>
      </c>
      <c r="P24" s="429"/>
      <c r="Q24" s="429">
        <v>3633.8946586180296</v>
      </c>
      <c r="R24" s="429">
        <v>26567.781652155394</v>
      </c>
      <c r="S24" s="429">
        <v>117348.32616545667</v>
      </c>
      <c r="T24" s="429">
        <v>128566.52088239376</v>
      </c>
      <c r="U24" s="428">
        <v>366716.88443814032</v>
      </c>
      <c r="V24" s="428">
        <v>118682.63424237317</v>
      </c>
      <c r="W24" s="428">
        <v>142247.60206319144</v>
      </c>
      <c r="X24" s="428">
        <v>205302.93533550345</v>
      </c>
      <c r="Y24" s="428">
        <v>0</v>
      </c>
      <c r="Z24" s="428">
        <v>0</v>
      </c>
      <c r="AA24" s="429"/>
      <c r="AB24" s="429"/>
      <c r="AC24" s="429">
        <v>112.00136531190687</v>
      </c>
      <c r="AD24" s="429"/>
      <c r="AE24" s="429"/>
      <c r="AF24" s="429"/>
      <c r="AG24" s="429"/>
      <c r="AH24" s="430"/>
      <c r="AI24" s="429">
        <v>1085.9010848547584</v>
      </c>
      <c r="AJ24" s="430"/>
      <c r="AK24" s="429">
        <v>2464.5736287745649</v>
      </c>
      <c r="AL24" s="333"/>
      <c r="AM24" s="429">
        <v>2148.5025645192691</v>
      </c>
      <c r="AN24" s="430">
        <v>26655.194980755743</v>
      </c>
      <c r="AO24" s="430">
        <v>14352.797297330015</v>
      </c>
      <c r="AP24" s="430">
        <v>8270.014613952002</v>
      </c>
      <c r="AQ24" s="429">
        <v>2902.3637324641577</v>
      </c>
      <c r="AR24" s="429">
        <v>7062.5473442798375</v>
      </c>
      <c r="AS24" s="429">
        <v>11848.726272601143</v>
      </c>
      <c r="AT24" s="428">
        <v>24615.7065</v>
      </c>
      <c r="AU24" s="428">
        <v>102608.53059999899</v>
      </c>
      <c r="AV24" s="433">
        <v>4178241.6010118765</v>
      </c>
      <c r="AW24" s="428">
        <v>5045611.3388200002</v>
      </c>
      <c r="AX24" s="428">
        <v>1061684.7487000001</v>
      </c>
      <c r="AY24" s="428">
        <v>0</v>
      </c>
      <c r="AZ24" s="431">
        <v>20359.488508672148</v>
      </c>
      <c r="BA24" s="431">
        <v>880.41031388852548</v>
      </c>
      <c r="BB24" s="431">
        <v>14306.667600688532</v>
      </c>
      <c r="BC24" s="431">
        <v>30005.363270169368</v>
      </c>
      <c r="BD24" s="431">
        <v>1297.5292224938107</v>
      </c>
      <c r="BE24" s="431">
        <v>21084.849865524415</v>
      </c>
      <c r="BF24" s="429">
        <v>410329.26422391937</v>
      </c>
      <c r="BG24" s="429">
        <v>91184.280938648764</v>
      </c>
      <c r="BH24" s="429">
        <v>32303.051146409089</v>
      </c>
      <c r="BI24" s="429">
        <v>1738440.162632362</v>
      </c>
      <c r="BJ24" s="429">
        <v>288069.33235779376</v>
      </c>
      <c r="BK24" s="429"/>
      <c r="BL24" s="429">
        <v>4377.5122556934075</v>
      </c>
      <c r="BM24" s="429">
        <v>25150.368587817786</v>
      </c>
      <c r="BN24" s="429">
        <v>97479.862417759534</v>
      </c>
      <c r="BO24" s="429">
        <v>109845.22666556308</v>
      </c>
      <c r="BP24" s="428">
        <v>474218.84477277368</v>
      </c>
      <c r="BQ24" s="428">
        <v>153474.09430367182</v>
      </c>
      <c r="BR24" s="428">
        <v>217878.83383214165</v>
      </c>
      <c r="BS24" s="428">
        <v>294153.33225887408</v>
      </c>
      <c r="BT24" s="428">
        <v>0</v>
      </c>
      <c r="BU24" s="428">
        <v>0</v>
      </c>
      <c r="BV24" s="431"/>
      <c r="BW24" s="431"/>
      <c r="BX24" s="429">
        <v>94.804739549137494</v>
      </c>
      <c r="BY24" s="429"/>
      <c r="BZ24" s="429"/>
      <c r="CA24" s="429"/>
      <c r="CB24" s="429"/>
      <c r="CC24" s="430"/>
      <c r="CD24" s="429">
        <v>866.88220031367098</v>
      </c>
      <c r="CE24" s="430"/>
      <c r="CF24" s="429">
        <v>1988.1962191753</v>
      </c>
      <c r="CG24" s="333"/>
      <c r="CH24" s="429">
        <v>1657.8612001730166</v>
      </c>
      <c r="CI24" s="430">
        <v>21472.191308854581</v>
      </c>
      <c r="CJ24" s="430">
        <v>7157.3971029515287</v>
      </c>
      <c r="CK24" s="430">
        <v>7029.8665784099994</v>
      </c>
      <c r="CL24" s="429">
        <v>3500.0397043879325</v>
      </c>
      <c r="CM24" s="429">
        <v>5392.9455523926199</v>
      </c>
      <c r="CN24" s="429">
        <v>9142.899749440774</v>
      </c>
      <c r="CO24" s="428">
        <v>31495.057611111119</v>
      </c>
      <c r="CP24" s="428">
        <v>140400.29055555363</v>
      </c>
      <c r="CQ24" s="420">
        <f t="shared" si="0"/>
        <v>9895607.4349959549</v>
      </c>
      <c r="CR24" s="420">
        <f t="shared" si="1"/>
        <v>10362332.995217178</v>
      </c>
      <c r="CT24" s="420">
        <f t="shared" si="2"/>
        <v>2839052.287164059</v>
      </c>
      <c r="CU24" s="420">
        <f t="shared" si="3"/>
        <v>6878996.0694992086</v>
      </c>
      <c r="CV24" s="420">
        <f t="shared" si="4"/>
        <v>198315.8813413819</v>
      </c>
      <c r="CW24" s="420">
        <f t="shared" si="5"/>
        <v>5810.9786434604994</v>
      </c>
      <c r="CX24" s="427"/>
      <c r="CY24" s="420">
        <f t="shared" si="6"/>
        <v>2885113.3700074032</v>
      </c>
      <c r="CZ24" s="420">
        <f t="shared" si="7"/>
        <v>7247021.192687463</v>
      </c>
      <c r="DA24" s="420">
        <f t="shared" si="8"/>
        <v>225590.6881631022</v>
      </c>
      <c r="DB24" s="420">
        <f t="shared" si="9"/>
        <v>4607.7443592111249</v>
      </c>
    </row>
    <row r="25" spans="1:106" hidden="1">
      <c r="A25" s="434" t="s">
        <v>811</v>
      </c>
      <c r="B25" s="428">
        <v>0</v>
      </c>
      <c r="C25" s="428">
        <v>0</v>
      </c>
      <c r="D25" s="428">
        <v>0</v>
      </c>
      <c r="E25" s="431">
        <v>374.34416472268595</v>
      </c>
      <c r="F25" s="431">
        <v>17.551218214866918</v>
      </c>
      <c r="G25" s="431">
        <v>0</v>
      </c>
      <c r="H25" s="431">
        <v>182.2120221787674</v>
      </c>
      <c r="I25" s="431">
        <v>8.5430554660864733</v>
      </c>
      <c r="J25" s="431">
        <v>0</v>
      </c>
      <c r="K25" s="429">
        <v>0</v>
      </c>
      <c r="L25" s="429">
        <v>0</v>
      </c>
      <c r="M25" s="429">
        <v>0</v>
      </c>
      <c r="N25" s="429">
        <v>686.05410084532457</v>
      </c>
      <c r="O25" s="429"/>
      <c r="P25" s="429"/>
      <c r="Q25" s="429">
        <v>620.77918807203855</v>
      </c>
      <c r="R25" s="429">
        <v>51.30358536230856</v>
      </c>
      <c r="S25" s="429"/>
      <c r="T25" s="429"/>
      <c r="U25" s="428">
        <v>0</v>
      </c>
      <c r="V25" s="428">
        <v>0</v>
      </c>
      <c r="W25" s="428">
        <v>0</v>
      </c>
      <c r="X25" s="428">
        <v>6717.1345035300028</v>
      </c>
      <c r="Y25" s="428">
        <v>0</v>
      </c>
      <c r="Z25" s="428">
        <v>0</v>
      </c>
      <c r="AA25" s="429"/>
      <c r="AB25" s="429"/>
      <c r="AC25" s="429">
        <v>6.7157769293307155</v>
      </c>
      <c r="AD25" s="429"/>
      <c r="AE25" s="429"/>
      <c r="AF25" s="429"/>
      <c r="AG25" s="429"/>
      <c r="AH25" s="429">
        <v>2956.7523473338056</v>
      </c>
      <c r="AI25" s="333"/>
      <c r="AJ25" s="430"/>
      <c r="AK25" s="429">
        <v>1084.6667946653008</v>
      </c>
      <c r="AL25" s="333"/>
      <c r="AM25" s="429">
        <v>444.00583941475526</v>
      </c>
      <c r="AN25" s="430"/>
      <c r="AO25" s="430"/>
      <c r="AP25" s="430"/>
      <c r="AQ25" s="429">
        <v>1309.2977602887659</v>
      </c>
      <c r="AR25" s="429">
        <v>2286.7449801611979</v>
      </c>
      <c r="AS25" s="429">
        <v>7708.3329727210858</v>
      </c>
      <c r="AT25" s="428">
        <v>2148.4155000000001</v>
      </c>
      <c r="AU25" s="428">
        <v>7911.8344999999999</v>
      </c>
      <c r="AV25" s="433">
        <v>14109.780488072993</v>
      </c>
      <c r="AW25" s="428">
        <v>0</v>
      </c>
      <c r="AX25" s="428">
        <v>0</v>
      </c>
      <c r="AY25" s="428">
        <v>0</v>
      </c>
      <c r="AZ25" s="431">
        <v>1335.3656022003931</v>
      </c>
      <c r="BA25" s="431">
        <v>62.608944627756166</v>
      </c>
      <c r="BB25" s="431">
        <v>0</v>
      </c>
      <c r="BC25" s="431">
        <v>134747.45128564246</v>
      </c>
      <c r="BD25" s="431">
        <v>6317.6673881465176</v>
      </c>
      <c r="BE25" s="431">
        <v>0</v>
      </c>
      <c r="BF25" s="429">
        <v>0</v>
      </c>
      <c r="BG25" s="429">
        <v>0</v>
      </c>
      <c r="BH25" s="429">
        <v>0</v>
      </c>
      <c r="BI25" s="429">
        <v>663.82880000021419</v>
      </c>
      <c r="BJ25" s="429"/>
      <c r="BK25" s="429"/>
      <c r="BL25" s="429">
        <v>335.35558210010765</v>
      </c>
      <c r="BM25" s="429">
        <v>44.602986272203303</v>
      </c>
      <c r="BN25" s="429"/>
      <c r="BO25" s="429"/>
      <c r="BP25" s="428">
        <v>0</v>
      </c>
      <c r="BQ25" s="428">
        <v>0</v>
      </c>
      <c r="BR25" s="428">
        <v>0</v>
      </c>
      <c r="BS25" s="428">
        <v>6717.1345035300028</v>
      </c>
      <c r="BT25" s="428">
        <v>0</v>
      </c>
      <c r="BU25" s="428">
        <v>0</v>
      </c>
      <c r="BV25" s="431"/>
      <c r="BW25" s="431"/>
      <c r="BX25" s="429">
        <v>7.5929352013932618</v>
      </c>
      <c r="BY25" s="429"/>
      <c r="BZ25" s="429"/>
      <c r="CA25" s="429"/>
      <c r="CB25" s="429"/>
      <c r="CC25" s="429">
        <v>2675.7861908734244</v>
      </c>
      <c r="CD25" s="333"/>
      <c r="CE25" s="430"/>
      <c r="CF25" s="429">
        <v>1236.0615210376786</v>
      </c>
      <c r="CG25" s="333"/>
      <c r="CH25" s="429">
        <v>483.97983642650115</v>
      </c>
      <c r="CI25" s="430"/>
      <c r="CJ25" s="430"/>
      <c r="CK25" s="430"/>
      <c r="CL25" s="429">
        <v>1930.8890795585671</v>
      </c>
      <c r="CM25" s="429">
        <v>2466.6566035506617</v>
      </c>
      <c r="CN25" s="429">
        <v>8402.3168167697258</v>
      </c>
      <c r="CO25" s="428">
        <v>2626.3288333333335</v>
      </c>
      <c r="CP25" s="428">
        <v>10537.254500000001</v>
      </c>
      <c r="CQ25" s="420">
        <f t="shared" si="0"/>
        <v>34514.68830990632</v>
      </c>
      <c r="CR25" s="420">
        <f t="shared" si="1"/>
        <v>180590.88140927092</v>
      </c>
      <c r="CT25" s="420">
        <f t="shared" si="2"/>
        <v>1992.0909202243868</v>
      </c>
      <c r="CU25" s="420">
        <f t="shared" si="3"/>
        <v>6717.1345035300028</v>
      </c>
      <c r="CV25" s="420">
        <f t="shared" si="4"/>
        <v>21364.625713171052</v>
      </c>
      <c r="CW25" s="420">
        <f t="shared" si="5"/>
        <v>4492.1407583431928</v>
      </c>
      <c r="CX25" s="427"/>
      <c r="CY25" s="420">
        <f t="shared" si="6"/>
        <v>143506.88058898965</v>
      </c>
      <c r="CZ25" s="420">
        <f t="shared" si="7"/>
        <v>6717.1345035300028</v>
      </c>
      <c r="DA25" s="420">
        <f t="shared" si="8"/>
        <v>25963.445833212289</v>
      </c>
      <c r="DB25" s="420">
        <f t="shared" si="9"/>
        <v>4403.4204835389974</v>
      </c>
    </row>
    <row r="26" spans="1:106" hidden="1">
      <c r="A26" s="434" t="s">
        <v>810</v>
      </c>
      <c r="B26" s="428">
        <v>476876.44036499999</v>
      </c>
      <c r="C26" s="428">
        <v>24766.417300000008</v>
      </c>
      <c r="D26" s="428">
        <v>0</v>
      </c>
      <c r="E26" s="428">
        <v>32711.582811924865</v>
      </c>
      <c r="F26" s="428">
        <v>1402.9506616800618</v>
      </c>
      <c r="G26" s="428">
        <v>25224.39275750922</v>
      </c>
      <c r="H26" s="428">
        <v>18821.234153074081</v>
      </c>
      <c r="I26" s="428">
        <v>802.76952653809519</v>
      </c>
      <c r="J26" s="428">
        <v>14557.785718307943</v>
      </c>
      <c r="K26" s="429">
        <v>0</v>
      </c>
      <c r="L26" s="429">
        <v>0</v>
      </c>
      <c r="M26" s="429">
        <v>75037.031681595356</v>
      </c>
      <c r="N26" s="429">
        <v>592372.81470894278</v>
      </c>
      <c r="O26" s="429">
        <v>130480.23302475612</v>
      </c>
      <c r="P26" s="429">
        <v>140060.63340128039</v>
      </c>
      <c r="Q26" s="429">
        <v>9321.055503728554</v>
      </c>
      <c r="R26" s="429">
        <v>24772.39712240802</v>
      </c>
      <c r="S26" s="429">
        <v>14199629.049570486</v>
      </c>
      <c r="T26" s="429">
        <v>227480.55839720691</v>
      </c>
      <c r="U26" s="428">
        <v>13084.665397713825</v>
      </c>
      <c r="V26" s="428">
        <v>6538.3273708138468</v>
      </c>
      <c r="W26" s="428">
        <v>564.11643701946002</v>
      </c>
      <c r="X26" s="428">
        <v>261079.79207282973</v>
      </c>
      <c r="Y26" s="428">
        <v>4055.4634011736316</v>
      </c>
      <c r="Z26" s="428">
        <v>0</v>
      </c>
      <c r="AA26" s="429"/>
      <c r="AB26" s="429"/>
      <c r="AC26" s="429">
        <v>723.0154684733061</v>
      </c>
      <c r="AD26" s="429"/>
      <c r="AE26" s="429"/>
      <c r="AF26" s="429">
        <v>419.24253959998606</v>
      </c>
      <c r="AG26" s="429"/>
      <c r="AH26" s="429">
        <v>8162.7971061066501</v>
      </c>
      <c r="AI26" s="429">
        <v>23549.474476167463</v>
      </c>
      <c r="AJ26" s="429">
        <v>60.006815624385588</v>
      </c>
      <c r="AK26" s="429">
        <v>29406.491097683986</v>
      </c>
      <c r="AL26" s="333">
        <v>196993.24661971393</v>
      </c>
      <c r="AM26" s="429">
        <v>81451.557426309519</v>
      </c>
      <c r="AN26" s="430">
        <v>3451348.06268</v>
      </c>
      <c r="AO26" s="430">
        <v>147797.9991577011</v>
      </c>
      <c r="AP26" s="430">
        <v>81197.015868384013</v>
      </c>
      <c r="AQ26" s="429">
        <v>83602.873882569154</v>
      </c>
      <c r="AR26" s="429">
        <v>69341.808395023443</v>
      </c>
      <c r="AS26" s="429">
        <v>367603.86561150476</v>
      </c>
      <c r="AT26" s="428">
        <v>90888.608818222798</v>
      </c>
      <c r="AU26" s="428">
        <v>564698.4580706032</v>
      </c>
      <c r="AV26" s="433">
        <v>32218217.99479102</v>
      </c>
      <c r="AW26" s="428">
        <v>439752.12239833333</v>
      </c>
      <c r="AX26" s="428">
        <v>23824.722633333335</v>
      </c>
      <c r="AY26" s="428">
        <v>0</v>
      </c>
      <c r="AZ26" s="428">
        <v>124487.26718046523</v>
      </c>
      <c r="BA26" s="428">
        <v>5341.1843937806716</v>
      </c>
      <c r="BB26" s="428">
        <v>95972.876678751563</v>
      </c>
      <c r="BC26" s="428">
        <v>488999.58648277819</v>
      </c>
      <c r="BD26" s="428">
        <v>20925.80369351515</v>
      </c>
      <c r="BE26" s="428">
        <v>377541.46684418235</v>
      </c>
      <c r="BF26" s="429">
        <v>0</v>
      </c>
      <c r="BG26" s="429">
        <v>0</v>
      </c>
      <c r="BH26" s="429">
        <v>175944.94507748724</v>
      </c>
      <c r="BI26" s="429">
        <v>534911.35891824937</v>
      </c>
      <c r="BJ26" s="429">
        <v>73695.265430134721</v>
      </c>
      <c r="BK26" s="429">
        <v>119424.6434872869</v>
      </c>
      <c r="BL26" s="429">
        <v>11143.457907686003</v>
      </c>
      <c r="BM26" s="429">
        <v>20485.278884044325</v>
      </c>
      <c r="BN26" s="429">
        <v>13414970.332331609</v>
      </c>
      <c r="BO26" s="429">
        <v>238289.8391236203</v>
      </c>
      <c r="BP26" s="428">
        <v>14281.45555475857</v>
      </c>
      <c r="BQ26" s="428">
        <v>7136.3561016282674</v>
      </c>
      <c r="BR26" s="428">
        <v>564.11643701946002</v>
      </c>
      <c r="BS26" s="428">
        <v>273532.16693896294</v>
      </c>
      <c r="BT26" s="428">
        <v>3867.7104659341117</v>
      </c>
      <c r="BU26" s="428">
        <v>0</v>
      </c>
      <c r="BV26" s="431"/>
      <c r="BW26" s="431"/>
      <c r="BX26" s="429">
        <v>751.76101439832451</v>
      </c>
      <c r="BY26" s="429"/>
      <c r="BZ26" s="429"/>
      <c r="CA26" s="429">
        <v>395.37218342661379</v>
      </c>
      <c r="CB26" s="429"/>
      <c r="CC26" s="429">
        <v>7387.1252000923359</v>
      </c>
      <c r="CD26" s="429">
        <v>23362.747139011044</v>
      </c>
      <c r="CE26" s="429">
        <v>56.444219285051943</v>
      </c>
      <c r="CF26" s="429">
        <v>29480.410198037051</v>
      </c>
      <c r="CG26" s="333">
        <v>568605.62611841201</v>
      </c>
      <c r="CH26" s="429">
        <v>77913.489486429869</v>
      </c>
      <c r="CI26" s="430">
        <v>2987007.6038399995</v>
      </c>
      <c r="CJ26" s="430">
        <v>127913.42376914113</v>
      </c>
      <c r="CK26" s="430">
        <v>85562.18080488003</v>
      </c>
      <c r="CL26" s="429">
        <v>121019.19531054172</v>
      </c>
      <c r="CM26" s="429">
        <v>65638.825044252328</v>
      </c>
      <c r="CN26" s="429">
        <v>351636.00087579881</v>
      </c>
      <c r="CO26" s="428">
        <v>93341.002146651314</v>
      </c>
      <c r="CP26" s="428">
        <v>594514.39801097149</v>
      </c>
      <c r="CQ26" s="420">
        <f t="shared" si="0"/>
        <v>21476884.235417672</v>
      </c>
      <c r="CR26" s="420">
        <f t="shared" si="1"/>
        <v>21599677.562324889</v>
      </c>
      <c r="CT26" s="420">
        <f t="shared" si="2"/>
        <v>15517446.886161847</v>
      </c>
      <c r="CU26" s="420">
        <f t="shared" si="3"/>
        <v>786965.22234455042</v>
      </c>
      <c r="CV26" s="420">
        <f t="shared" si="4"/>
        <v>4856478.6924840081</v>
      </c>
      <c r="CW26" s="420">
        <f t="shared" si="5"/>
        <v>340765.83154967922</v>
      </c>
      <c r="CX26" s="427"/>
      <c r="CY26" s="420">
        <f t="shared" si="6"/>
        <v>15702133.30643359</v>
      </c>
      <c r="CZ26" s="420">
        <f t="shared" si="7"/>
        <v>762958.65052996995</v>
      </c>
      <c r="DA26" s="420">
        <f t="shared" si="8"/>
        <v>4426632.6298022363</v>
      </c>
      <c r="DB26" s="420">
        <f t="shared" si="9"/>
        <v>707952.97555909224</v>
      </c>
    </row>
    <row r="27" spans="1:106" hidden="1">
      <c r="A27" s="434" t="s">
        <v>808</v>
      </c>
      <c r="B27" s="428">
        <v>12193348.984569998</v>
      </c>
      <c r="C27" s="428">
        <v>1733417.0691999998</v>
      </c>
      <c r="D27" s="428">
        <v>0</v>
      </c>
      <c r="E27" s="428">
        <v>203362.00721120971</v>
      </c>
      <c r="F27" s="428">
        <v>8794.0327442685284</v>
      </c>
      <c r="G27" s="428">
        <v>142903.03209436359</v>
      </c>
      <c r="H27" s="428">
        <v>75137.720031620847</v>
      </c>
      <c r="I27" s="428">
        <v>3249.1987040700906</v>
      </c>
      <c r="J27" s="428">
        <v>52799.478941138972</v>
      </c>
      <c r="K27" s="429">
        <v>977296.77486697538</v>
      </c>
      <c r="L27" s="429">
        <v>217177.06108155008</v>
      </c>
      <c r="M27" s="429">
        <v>103287.68659336309</v>
      </c>
      <c r="N27" s="429">
        <v>11886344.484061496</v>
      </c>
      <c r="O27" s="429">
        <v>12962993.244089063</v>
      </c>
      <c r="P27" s="429">
        <v>585135.5989655978</v>
      </c>
      <c r="Q27" s="429">
        <v>429759.1985239432</v>
      </c>
      <c r="R27" s="429">
        <v>314620.00352174579</v>
      </c>
      <c r="S27" s="429">
        <v>8169646.1685882406</v>
      </c>
      <c r="T27" s="429">
        <v>2309829.861953753</v>
      </c>
      <c r="U27" s="428">
        <v>606264.13344889774</v>
      </c>
      <c r="V27" s="428">
        <v>97209.336840016214</v>
      </c>
      <c r="W27" s="428">
        <v>362364.08838497178</v>
      </c>
      <c r="X27" s="428">
        <v>2202585.0407845709</v>
      </c>
      <c r="Y27" s="428">
        <v>143683.16944144981</v>
      </c>
      <c r="Z27" s="428">
        <v>882498.74449354399</v>
      </c>
      <c r="AA27" s="429"/>
      <c r="AB27" s="429"/>
      <c r="AC27" s="429">
        <v>1665.047948092945</v>
      </c>
      <c r="AD27" s="429"/>
      <c r="AE27" s="429"/>
      <c r="AF27" s="429">
        <v>1041.4556476134599</v>
      </c>
      <c r="AG27" s="429"/>
      <c r="AH27" s="429">
        <v>98289.543030709916</v>
      </c>
      <c r="AI27" s="429">
        <v>20279.679216627974</v>
      </c>
      <c r="AJ27" s="429">
        <v>225.03943317424529</v>
      </c>
      <c r="AK27" s="429">
        <v>53774.63946316018</v>
      </c>
      <c r="AL27" s="333"/>
      <c r="AM27" s="429">
        <v>141444.44349992837</v>
      </c>
      <c r="AN27" s="430">
        <v>1058558.093339761</v>
      </c>
      <c r="AO27" s="430">
        <v>569992.81949064066</v>
      </c>
      <c r="AP27" s="430">
        <v>178744.04453193606</v>
      </c>
      <c r="AQ27" s="429">
        <v>168568.8259252297</v>
      </c>
      <c r="AR27" s="429">
        <v>152646.43848212055</v>
      </c>
      <c r="AS27" s="429">
        <v>323586.39836474654</v>
      </c>
      <c r="AT27" s="428">
        <v>361750.15727649967</v>
      </c>
      <c r="AU27" s="428">
        <v>1766203.8384675824</v>
      </c>
      <c r="AV27" s="433">
        <v>52967247.775217384</v>
      </c>
      <c r="AW27" s="428">
        <v>11124076.081819998</v>
      </c>
      <c r="AX27" s="428">
        <v>1586864.4732000001</v>
      </c>
      <c r="AY27" s="428">
        <v>0</v>
      </c>
      <c r="AZ27" s="428">
        <v>1740691.9527756511</v>
      </c>
      <c r="BA27" s="428">
        <v>75273.165525433578</v>
      </c>
      <c r="BB27" s="428">
        <v>1223188.9397882947</v>
      </c>
      <c r="BC27" s="428">
        <v>1083351.537017694</v>
      </c>
      <c r="BD27" s="428">
        <v>46847.634033197588</v>
      </c>
      <c r="BE27" s="428">
        <v>761274.05303946044</v>
      </c>
      <c r="BF27" s="429">
        <v>2202619.7564016031</v>
      </c>
      <c r="BG27" s="429">
        <v>489471.05697813415</v>
      </c>
      <c r="BH27" s="429">
        <v>242170.00383332305</v>
      </c>
      <c r="BI27" s="429">
        <v>10737440.797748592</v>
      </c>
      <c r="BJ27" s="429">
        <v>12999744.769327749</v>
      </c>
      <c r="BK27" s="429">
        <v>574041.50294565537</v>
      </c>
      <c r="BL27" s="429">
        <v>549347.89583459438</v>
      </c>
      <c r="BM27" s="429">
        <v>267690.51496882585</v>
      </c>
      <c r="BN27" s="429">
        <v>7031346.2807552963</v>
      </c>
      <c r="BO27" s="429">
        <v>2106561.4612390171</v>
      </c>
      <c r="BP27" s="428">
        <v>907712.83861426346</v>
      </c>
      <c r="BQ27" s="428">
        <v>145544.09244184461</v>
      </c>
      <c r="BR27" s="428">
        <v>428733.11003440927</v>
      </c>
      <c r="BS27" s="428">
        <v>3022335.9315602286</v>
      </c>
      <c r="BT27" s="428">
        <v>137031.17085619731</v>
      </c>
      <c r="BU27" s="428">
        <v>882498.74449354399</v>
      </c>
      <c r="BV27" s="431"/>
      <c r="BW27" s="431"/>
      <c r="BX27" s="429">
        <v>1621.9828604333438</v>
      </c>
      <c r="BY27" s="429"/>
      <c r="BZ27" s="429"/>
      <c r="CA27" s="429">
        <v>1310.6824499170013</v>
      </c>
      <c r="CB27" s="429"/>
      <c r="CC27" s="429">
        <v>97510.190410377792</v>
      </c>
      <c r="CD27" s="429">
        <v>18373.463222806011</v>
      </c>
      <c r="CE27" s="429">
        <v>193.31465100547712</v>
      </c>
      <c r="CF27" s="429">
        <v>49232.861492024451</v>
      </c>
      <c r="CG27" s="333"/>
      <c r="CH27" s="429">
        <v>123443.71347676755</v>
      </c>
      <c r="CI27" s="430">
        <v>964450.61965554836</v>
      </c>
      <c r="CJ27" s="430">
        <v>321483.53988518281</v>
      </c>
      <c r="CK27" s="430">
        <v>171847.48537476</v>
      </c>
      <c r="CL27" s="429">
        <v>388246.91958302777</v>
      </c>
      <c r="CM27" s="429">
        <v>131832.39277796951</v>
      </c>
      <c r="CN27" s="429">
        <v>282405.62623965624</v>
      </c>
      <c r="CO27" s="428">
        <v>482941.82592300524</v>
      </c>
      <c r="CP27" s="428">
        <v>2431971.0571360374</v>
      </c>
      <c r="CQ27" s="420">
        <f t="shared" si="0"/>
        <v>61560476.583253667</v>
      </c>
      <c r="CR27" s="420">
        <f t="shared" si="1"/>
        <v>65832723.440371528</v>
      </c>
      <c r="CT27" s="420">
        <f t="shared" si="2"/>
        <v>38756955.555494137</v>
      </c>
      <c r="CU27" s="420">
        <f t="shared" si="3"/>
        <v>18221370.567163449</v>
      </c>
      <c r="CV27" s="420">
        <f t="shared" si="4"/>
        <v>4580050.6158785168</v>
      </c>
      <c r="CW27" s="420">
        <f t="shared" si="5"/>
        <v>316719.84823930706</v>
      </c>
      <c r="CX27" s="427"/>
      <c r="CY27" s="420">
        <f t="shared" si="6"/>
        <v>42131061.322212525</v>
      </c>
      <c r="CZ27" s="420">
        <f t="shared" si="7"/>
        <v>18234796.443020485</v>
      </c>
      <c r="DA27" s="420">
        <f t="shared" si="8"/>
        <v>5175179.4665751876</v>
      </c>
      <c r="DB27" s="420">
        <f t="shared" si="9"/>
        <v>291686.20856333163</v>
      </c>
    </row>
    <row r="28" spans="1:106" hidden="1">
      <c r="A28" s="434" t="s">
        <v>807</v>
      </c>
      <c r="B28" s="428">
        <v>4736992.3071249994</v>
      </c>
      <c r="C28" s="428">
        <v>2254773.0001000003</v>
      </c>
      <c r="D28" s="428">
        <v>0</v>
      </c>
      <c r="E28" s="428">
        <v>76610.698904424062</v>
      </c>
      <c r="F28" s="428">
        <v>2922.5972050041241</v>
      </c>
      <c r="G28" s="428">
        <v>35268.173360639914</v>
      </c>
      <c r="H28" s="428">
        <v>66056.984683139061</v>
      </c>
      <c r="I28" s="428">
        <v>2678.6411911668993</v>
      </c>
      <c r="J28" s="428">
        <v>20018.654202463422</v>
      </c>
      <c r="K28" s="429">
        <v>0</v>
      </c>
      <c r="L28" s="429">
        <v>0</v>
      </c>
      <c r="M28" s="429">
        <v>3149.8026128625193</v>
      </c>
      <c r="N28" s="429">
        <v>99559.759425929617</v>
      </c>
      <c r="O28" s="429">
        <v>458126.01101068757</v>
      </c>
      <c r="P28" s="429">
        <v>813.17017472904581</v>
      </c>
      <c r="Q28" s="429">
        <v>799963.85410128278</v>
      </c>
      <c r="R28" s="429">
        <v>9306.7029527102823</v>
      </c>
      <c r="S28" s="429">
        <v>970332.10852658341</v>
      </c>
      <c r="T28" s="429">
        <v>290591.91948655533</v>
      </c>
      <c r="U28" s="428">
        <v>55122.287561207573</v>
      </c>
      <c r="V28" s="428">
        <v>10211.237312376497</v>
      </c>
      <c r="W28" s="428">
        <v>47656.147797646663</v>
      </c>
      <c r="X28" s="428">
        <v>285924.65269659017</v>
      </c>
      <c r="Y28" s="428">
        <v>346148.58926591999</v>
      </c>
      <c r="Z28" s="428">
        <v>2403809.6476799999</v>
      </c>
      <c r="AA28" s="429">
        <v>15.456538698594475</v>
      </c>
      <c r="AB28" s="429">
        <v>0.90872382444120758</v>
      </c>
      <c r="AC28" s="429">
        <v>169.80685041464156</v>
      </c>
      <c r="AD28" s="429">
        <v>29804.693936427509</v>
      </c>
      <c r="AE28" s="429">
        <v>46.030177683692742</v>
      </c>
      <c r="AF28" s="429">
        <v>0.79859541598988848</v>
      </c>
      <c r="AG28" s="429">
        <v>81.467495685680106</v>
      </c>
      <c r="AH28" s="429">
        <v>14366.3197510478</v>
      </c>
      <c r="AI28" s="429">
        <v>1985.9934911644468</v>
      </c>
      <c r="AJ28" s="429">
        <v>957.41382205702757</v>
      </c>
      <c r="AK28" s="429">
        <v>9827.1860810233957</v>
      </c>
      <c r="AL28" s="333"/>
      <c r="AM28" s="429">
        <v>26606.885621606245</v>
      </c>
      <c r="AN28" s="430">
        <v>69217.639271042615</v>
      </c>
      <c r="AO28" s="430">
        <v>37271.03653056141</v>
      </c>
      <c r="AP28" s="430">
        <v>46394.115359904012</v>
      </c>
      <c r="AQ28" s="429">
        <v>47682.521819330665</v>
      </c>
      <c r="AR28" s="429">
        <v>39620.321307839011</v>
      </c>
      <c r="AS28" s="429">
        <v>544293.51513801271</v>
      </c>
      <c r="AT28" s="428">
        <v>59689.991825498735</v>
      </c>
      <c r="AU28" s="428">
        <v>261046.98974696829</v>
      </c>
      <c r="AV28" s="433">
        <v>4567557.1839977941</v>
      </c>
      <c r="AW28" s="428">
        <v>4340987.0689249998</v>
      </c>
      <c r="AX28" s="428">
        <v>2047168.4905444444</v>
      </c>
      <c r="AY28" s="428">
        <v>0</v>
      </c>
      <c r="AZ28" s="428">
        <v>308794.04718526709</v>
      </c>
      <c r="BA28" s="428">
        <v>11972.952718241762</v>
      </c>
      <c r="BB28" s="428">
        <v>134258.21876407502</v>
      </c>
      <c r="BC28" s="428">
        <v>1088028.5727538995</v>
      </c>
      <c r="BD28" s="428">
        <v>44891.935209247677</v>
      </c>
      <c r="BE28" s="428">
        <v>377208.99744506687</v>
      </c>
      <c r="BF28" s="429">
        <v>0</v>
      </c>
      <c r="BG28" s="429">
        <v>0</v>
      </c>
      <c r="BH28" s="429">
        <v>7328.6592309076859</v>
      </c>
      <c r="BI28" s="429">
        <v>194811.66131962632</v>
      </c>
      <c r="BJ28" s="429">
        <v>93824.327396768058</v>
      </c>
      <c r="BK28" s="429">
        <v>3.1344275147160419</v>
      </c>
      <c r="BL28" s="429">
        <v>799581.61487640836</v>
      </c>
      <c r="BM28" s="429">
        <v>6442.8161903489672</v>
      </c>
      <c r="BN28" s="429">
        <v>1026371.2758340363</v>
      </c>
      <c r="BO28" s="429">
        <v>287433.32157524023</v>
      </c>
      <c r="BP28" s="428">
        <v>42931.760071395474</v>
      </c>
      <c r="BQ28" s="428">
        <v>7952.9789078554986</v>
      </c>
      <c r="BR28" s="428">
        <v>42492.212695297509</v>
      </c>
      <c r="BS28" s="428">
        <v>239529.59571400925</v>
      </c>
      <c r="BT28" s="428">
        <v>330123.19161471986</v>
      </c>
      <c r="BU28" s="428">
        <v>2403809.6476799999</v>
      </c>
      <c r="BV28" s="431">
        <v>3.5468452885226904</v>
      </c>
      <c r="BW28" s="431">
        <v>0.85074250654967398</v>
      </c>
      <c r="BX28" s="429">
        <v>140.89151162943045</v>
      </c>
      <c r="BY28" s="429">
        <v>5232.0080811064217</v>
      </c>
      <c r="BZ28" s="429">
        <v>55.488708967791808</v>
      </c>
      <c r="CA28" s="429">
        <v>4.1554856519318952E-3</v>
      </c>
      <c r="CB28" s="429">
        <v>98.752021766375492</v>
      </c>
      <c r="CC28" s="429">
        <v>15536.278116569629</v>
      </c>
      <c r="CD28" s="429">
        <v>1827.7587173759177</v>
      </c>
      <c r="CE28" s="429">
        <v>835.44321696787915</v>
      </c>
      <c r="CF28" s="429">
        <v>9139.4034760808445</v>
      </c>
      <c r="CG28" s="333"/>
      <c r="CH28" s="429">
        <v>23461.355590889318</v>
      </c>
      <c r="CI28" s="430">
        <v>63717.401381129006</v>
      </c>
      <c r="CJ28" s="430">
        <v>21239.133793709669</v>
      </c>
      <c r="CK28" s="430">
        <v>45066.15142146001</v>
      </c>
      <c r="CL28" s="429">
        <v>89262.972560526323</v>
      </c>
      <c r="CM28" s="429">
        <v>34572.391689229633</v>
      </c>
      <c r="CN28" s="429">
        <v>479945.82628258411</v>
      </c>
      <c r="CO28" s="428">
        <v>69700.118521207594</v>
      </c>
      <c r="CP28" s="428">
        <v>316037.68575066625</v>
      </c>
      <c r="CQ28" s="420">
        <f t="shared" si="0"/>
        <v>14165116.039461132</v>
      </c>
      <c r="CR28" s="420">
        <f t="shared" si="1"/>
        <v>15011819.943664515</v>
      </c>
      <c r="CT28" s="420">
        <f t="shared" si="2"/>
        <v>2844705.7807908882</v>
      </c>
      <c r="CU28" s="420">
        <f t="shared" si="3"/>
        <v>10140637.869538741</v>
      </c>
      <c r="CV28" s="420">
        <f t="shared" si="4"/>
        <v>1105216.1309991574</v>
      </c>
      <c r="CW28" s="420">
        <f t="shared" si="5"/>
        <v>83862.96108504945</v>
      </c>
      <c r="CX28" s="427"/>
      <c r="CY28" s="420">
        <f t="shared" si="6"/>
        <v>4380951.5349266483</v>
      </c>
      <c r="CZ28" s="420">
        <f t="shared" si="7"/>
        <v>9454994.9461527225</v>
      </c>
      <c r="DA28" s="420">
        <f t="shared" si="8"/>
        <v>1119541.6814005126</v>
      </c>
      <c r="DB28" s="420">
        <f t="shared" si="9"/>
        <v>56331.781184634332</v>
      </c>
    </row>
    <row r="29" spans="1:106" hidden="1">
      <c r="A29" s="434" t="s">
        <v>806</v>
      </c>
      <c r="B29" s="428">
        <v>8732654.987160001</v>
      </c>
      <c r="C29" s="428">
        <v>1805169.3952000004</v>
      </c>
      <c r="D29" s="428">
        <v>0</v>
      </c>
      <c r="E29" s="428">
        <v>218571.45090819578</v>
      </c>
      <c r="F29" s="428">
        <v>9451.738417651708</v>
      </c>
      <c r="G29" s="428">
        <v>153590.74928684026</v>
      </c>
      <c r="H29" s="428">
        <v>75537.734908807295</v>
      </c>
      <c r="I29" s="428">
        <v>3266.4966447051797</v>
      </c>
      <c r="J29" s="428">
        <v>53080.570476459172</v>
      </c>
      <c r="K29" s="429">
        <v>119158.19035934657</v>
      </c>
      <c r="L29" s="429">
        <v>26479.597857632572</v>
      </c>
      <c r="M29" s="429">
        <v>29819.939024017767</v>
      </c>
      <c r="N29" s="429">
        <v>6130117.7025645329</v>
      </c>
      <c r="O29" s="429">
        <v>20832552.225913115</v>
      </c>
      <c r="P29" s="429">
        <v>84990.570367958673</v>
      </c>
      <c r="Q29" s="429">
        <v>186039.53968734539</v>
      </c>
      <c r="R29" s="429">
        <v>188433.07202559555</v>
      </c>
      <c r="S29" s="429">
        <v>3300713.2854315829</v>
      </c>
      <c r="T29" s="429">
        <v>625133.12247295736</v>
      </c>
      <c r="U29" s="428">
        <v>445552.75298056402</v>
      </c>
      <c r="V29" s="428">
        <v>266546.52798642043</v>
      </c>
      <c r="W29" s="428">
        <v>404511.72543561656</v>
      </c>
      <c r="X29" s="428">
        <v>1023884.1381690219</v>
      </c>
      <c r="Y29" s="428">
        <v>0</v>
      </c>
      <c r="Z29" s="428">
        <v>0</v>
      </c>
      <c r="AA29" s="429">
        <v>5.3384796930581935</v>
      </c>
      <c r="AB29" s="429"/>
      <c r="AC29" s="429">
        <v>473.36671607680904</v>
      </c>
      <c r="AD29" s="429">
        <v>1691656.6889692699</v>
      </c>
      <c r="AE29" s="429"/>
      <c r="AF29" s="429">
        <v>94.602728608590226</v>
      </c>
      <c r="AG29" s="429"/>
      <c r="AH29" s="429">
        <v>135587.62878106083</v>
      </c>
      <c r="AI29" s="429">
        <v>2131.3476824252339</v>
      </c>
      <c r="AJ29" s="429">
        <v>387.84004530607808</v>
      </c>
      <c r="AK29" s="429">
        <v>43655.783554169066</v>
      </c>
      <c r="AL29" s="333"/>
      <c r="AM29" s="429">
        <v>23407.680328165028</v>
      </c>
      <c r="AN29" s="430">
        <v>257261.42652000004</v>
      </c>
      <c r="AO29" s="430">
        <v>31718.595735392108</v>
      </c>
      <c r="AP29" s="430">
        <v>77831.446434144018</v>
      </c>
      <c r="AQ29" s="429">
        <v>90761.691029852242</v>
      </c>
      <c r="AR29" s="429">
        <v>66467.630466766743</v>
      </c>
      <c r="AS29" s="429">
        <v>103527.5201179703</v>
      </c>
      <c r="AT29" s="428">
        <v>171620.8726716199</v>
      </c>
      <c r="AU29" s="428">
        <v>761548.87826154905</v>
      </c>
      <c r="AV29" s="433">
        <v>39712605.60010802</v>
      </c>
      <c r="AW29" s="428">
        <v>7999584.0658211112</v>
      </c>
      <c r="AX29" s="428">
        <v>1649291.0136444448</v>
      </c>
      <c r="AY29" s="428">
        <v>0</v>
      </c>
      <c r="AZ29" s="428">
        <v>1414187.9557479604</v>
      </c>
      <c r="BA29" s="428">
        <v>61154.073762073967</v>
      </c>
      <c r="BB29" s="428">
        <v>993753.69863370154</v>
      </c>
      <c r="BC29" s="428">
        <v>1189907.9794341959</v>
      </c>
      <c r="BD29" s="428">
        <v>51455.480191749019</v>
      </c>
      <c r="BE29" s="428">
        <v>836151.5531159211</v>
      </c>
      <c r="BF29" s="429">
        <v>231371.65592818602</v>
      </c>
      <c r="BG29" s="429">
        <v>51415.923539596901</v>
      </c>
      <c r="BH29" s="429">
        <v>69915.772513201227</v>
      </c>
      <c r="BI29" s="429">
        <v>5412939.147202692</v>
      </c>
      <c r="BJ29" s="429">
        <v>19653011.823315639</v>
      </c>
      <c r="BK29" s="429">
        <v>89966.291771494973</v>
      </c>
      <c r="BL29" s="429">
        <v>154652.19591974062</v>
      </c>
      <c r="BM29" s="429">
        <v>170584.5403676545</v>
      </c>
      <c r="BN29" s="429">
        <v>3069048.9648512071</v>
      </c>
      <c r="BO29" s="429">
        <v>701563.10883552441</v>
      </c>
      <c r="BP29" s="428">
        <v>626778.51928211562</v>
      </c>
      <c r="BQ29" s="428">
        <v>374962.64362304442</v>
      </c>
      <c r="BR29" s="428">
        <v>618467.46024977369</v>
      </c>
      <c r="BS29" s="428">
        <v>1508831.5635204797</v>
      </c>
      <c r="BT29" s="428">
        <v>0</v>
      </c>
      <c r="BU29" s="428">
        <v>0</v>
      </c>
      <c r="BV29" s="431">
        <v>2.3514043968821658</v>
      </c>
      <c r="BW29" s="431"/>
      <c r="BX29" s="429">
        <v>584.84332129146617</v>
      </c>
      <c r="BY29" s="429">
        <v>1541616.9178381059</v>
      </c>
      <c r="BZ29" s="429"/>
      <c r="CA29" s="429">
        <v>125.9255524235476</v>
      </c>
      <c r="CB29" s="429"/>
      <c r="CC29" s="429">
        <v>122842.88544533122</v>
      </c>
      <c r="CD29" s="429">
        <v>1833.1836866679039</v>
      </c>
      <c r="CE29" s="429">
        <v>316.28641072066102</v>
      </c>
      <c r="CF29" s="429">
        <v>37943.824075606215</v>
      </c>
      <c r="CG29" s="333"/>
      <c r="CH29" s="429">
        <v>19389.479791492133</v>
      </c>
      <c r="CI29" s="430">
        <v>192804.31943999999</v>
      </c>
      <c r="CJ29" s="430">
        <v>23771.469928778202</v>
      </c>
      <c r="CK29" s="430">
        <v>71021.754274770006</v>
      </c>
      <c r="CL29" s="429">
        <v>203918.33952125229</v>
      </c>
      <c r="CM29" s="429">
        <v>54484.171152772047</v>
      </c>
      <c r="CN29" s="429">
        <v>85755.817366292627</v>
      </c>
      <c r="CO29" s="428">
        <v>221336.86383244599</v>
      </c>
      <c r="CP29" s="428">
        <v>1034663.9985346651</v>
      </c>
      <c r="CQ29" s="420">
        <f t="shared" si="0"/>
        <v>48173393.851800434</v>
      </c>
      <c r="CR29" s="420">
        <f t="shared" si="1"/>
        <v>50541407.86284852</v>
      </c>
      <c r="CT29" s="420">
        <f t="shared" si="2"/>
        <v>32225369.058372345</v>
      </c>
      <c r="CU29" s="420">
        <f t="shared" si="3"/>
        <v>12678319.526931625</v>
      </c>
      <c r="CV29" s="420">
        <f t="shared" si="4"/>
        <v>1560738.0612372945</v>
      </c>
      <c r="CW29" s="420">
        <f t="shared" si="5"/>
        <v>1897400.2772847747</v>
      </c>
      <c r="CX29" s="427"/>
      <c r="CY29" s="420">
        <f t="shared" si="6"/>
        <v>34151080.165130541</v>
      </c>
      <c r="CZ29" s="420">
        <f t="shared" si="7"/>
        <v>12777915.266140971</v>
      </c>
      <c r="DA29" s="420">
        <f t="shared" si="8"/>
        <v>1887756.7340509761</v>
      </c>
      <c r="DB29" s="420">
        <f t="shared" si="9"/>
        <v>1724655.6975260358</v>
      </c>
    </row>
    <row r="30" spans="1:106" hidden="1">
      <c r="A30" s="434" t="s">
        <v>805</v>
      </c>
      <c r="B30" s="428">
        <v>27413777.157389998</v>
      </c>
      <c r="C30" s="428">
        <v>4330274.2754999995</v>
      </c>
      <c r="D30" s="428">
        <v>3098897.4855999998</v>
      </c>
      <c r="E30" s="428">
        <v>15995.119560224664</v>
      </c>
      <c r="F30" s="428">
        <v>355.01952807226081</v>
      </c>
      <c r="G30" s="428">
        <v>5325.2929210839102</v>
      </c>
      <c r="H30" s="428">
        <v>9935.7270127132615</v>
      </c>
      <c r="I30" s="428">
        <v>342.78792861346574</v>
      </c>
      <c r="J30" s="428">
        <v>5272.5012497487578</v>
      </c>
      <c r="K30" s="429">
        <v>77643.222765839819</v>
      </c>
      <c r="L30" s="429">
        <v>17254.04950351996</v>
      </c>
      <c r="M30" s="429">
        <v>4099.0150850126411</v>
      </c>
      <c r="N30" s="429">
        <v>2251847.7590608969</v>
      </c>
      <c r="O30" s="429">
        <v>773990.04226540099</v>
      </c>
      <c r="P30" s="429">
        <v>84145.071264225844</v>
      </c>
      <c r="Q30" s="429">
        <v>6414.7997790423715</v>
      </c>
      <c r="R30" s="429">
        <v>49763.993410768089</v>
      </c>
      <c r="S30" s="429">
        <v>1587892.7238794602</v>
      </c>
      <c r="T30" s="429">
        <v>340460.97752319457</v>
      </c>
      <c r="U30" s="428">
        <v>1978565.3266575078</v>
      </c>
      <c r="V30" s="428">
        <v>13425.302855723996</v>
      </c>
      <c r="W30" s="428">
        <v>52960.673608832003</v>
      </c>
      <c r="X30" s="428">
        <v>403218.03300381877</v>
      </c>
      <c r="Y30" s="428">
        <v>1901605.2355993341</v>
      </c>
      <c r="Z30" s="428">
        <v>7833755.6469035093</v>
      </c>
      <c r="AA30" s="429"/>
      <c r="AB30" s="429"/>
      <c r="AC30" s="429">
        <v>273.26642780315967</v>
      </c>
      <c r="AD30" s="429"/>
      <c r="AE30" s="429"/>
      <c r="AF30" s="429">
        <v>161.75136643395749</v>
      </c>
      <c r="AG30" s="429"/>
      <c r="AH30" s="429">
        <v>27540.597942924971</v>
      </c>
      <c r="AI30" s="429">
        <v>2103.662995421796</v>
      </c>
      <c r="AJ30" s="430"/>
      <c r="AK30" s="429">
        <v>12338.659087638083</v>
      </c>
      <c r="AL30" s="333"/>
      <c r="AM30" s="429">
        <v>18662.293991415609</v>
      </c>
      <c r="AN30" s="430">
        <v>578037.63864000002</v>
      </c>
      <c r="AO30" s="430">
        <v>73269.051657637465</v>
      </c>
      <c r="AP30" s="430">
        <v>53591.814028896006</v>
      </c>
      <c r="AQ30" s="429">
        <v>13034.339182000527</v>
      </c>
      <c r="AR30" s="429">
        <v>45767.116687602414</v>
      </c>
      <c r="AS30" s="429">
        <v>275784.18315368984</v>
      </c>
      <c r="AT30" s="428">
        <v>80958.031080957997</v>
      </c>
      <c r="AU30" s="428">
        <v>428910.46942890942</v>
      </c>
      <c r="AV30" s="433">
        <v>28509180.690003894</v>
      </c>
      <c r="AW30" s="428">
        <v>28780405.160390001</v>
      </c>
      <c r="AX30" s="428">
        <v>4830353.4767222228</v>
      </c>
      <c r="AY30" s="428">
        <v>3432420.0597111112</v>
      </c>
      <c r="AZ30" s="428">
        <v>71276.559512785199</v>
      </c>
      <c r="BA30" s="428">
        <v>2320.0015057354108</v>
      </c>
      <c r="BB30" s="428">
        <v>35092.17330358606</v>
      </c>
      <c r="BC30" s="428">
        <v>154825.15848943198</v>
      </c>
      <c r="BD30" s="428">
        <v>5321.3075177343107</v>
      </c>
      <c r="BE30" s="428">
        <v>81720.079736634041</v>
      </c>
      <c r="BF30" s="429">
        <v>204279.7758340172</v>
      </c>
      <c r="BG30" s="429">
        <v>45395.505740892717</v>
      </c>
      <c r="BH30" s="429">
        <v>10075.552467304839</v>
      </c>
      <c r="BI30" s="429">
        <v>2663198.65347134</v>
      </c>
      <c r="BJ30" s="429">
        <v>85083.329240179417</v>
      </c>
      <c r="BK30" s="429">
        <v>87422.17483353609</v>
      </c>
      <c r="BL30" s="429">
        <v>6882.1513610435204</v>
      </c>
      <c r="BM30" s="429">
        <v>52626.24309226255</v>
      </c>
      <c r="BN30" s="429">
        <v>1673104.1937132315</v>
      </c>
      <c r="BO30" s="429">
        <v>351382.06323389412</v>
      </c>
      <c r="BP30" s="428">
        <v>1942650.1713322224</v>
      </c>
      <c r="BQ30" s="428">
        <v>13181.605146653697</v>
      </c>
      <c r="BR30" s="428">
        <v>80479.24017284096</v>
      </c>
      <c r="BS30" s="428">
        <v>538196.29962951201</v>
      </c>
      <c r="BT30" s="428">
        <v>2365861.7503246525</v>
      </c>
      <c r="BU30" s="428">
        <v>7833755.6469035093</v>
      </c>
      <c r="BV30" s="431"/>
      <c r="BW30" s="431"/>
      <c r="BX30" s="429">
        <v>302.34500101077566</v>
      </c>
      <c r="BY30" s="429"/>
      <c r="BZ30" s="429"/>
      <c r="CA30" s="429">
        <v>206.99244665528136</v>
      </c>
      <c r="CB30" s="429"/>
      <c r="CC30" s="429">
        <v>25346.290506930098</v>
      </c>
      <c r="CD30" s="429">
        <v>2282.3826548821025</v>
      </c>
      <c r="CE30" s="430"/>
      <c r="CF30" s="429">
        <v>13527.822102144248</v>
      </c>
      <c r="CG30" s="333"/>
      <c r="CH30" s="429">
        <v>19519.960405261871</v>
      </c>
      <c r="CI30" s="430">
        <v>547021.41695999994</v>
      </c>
      <c r="CJ30" s="430">
        <v>69337.596339531476</v>
      </c>
      <c r="CK30" s="430">
        <v>61750.556768160001</v>
      </c>
      <c r="CL30" s="429">
        <v>20094.677527831642</v>
      </c>
      <c r="CM30" s="429">
        <v>47371.793869228401</v>
      </c>
      <c r="CN30" s="429">
        <v>288458.44664293434</v>
      </c>
      <c r="CO30" s="428">
        <v>87889.399976778295</v>
      </c>
      <c r="CP30" s="428">
        <v>466987.98946698703</v>
      </c>
      <c r="CQ30" s="420">
        <f t="shared" si="0"/>
        <v>53867650.115527868</v>
      </c>
      <c r="CR30" s="420">
        <f t="shared" si="1"/>
        <v>56997406.004054666</v>
      </c>
      <c r="CT30" s="420">
        <f t="shared" si="2"/>
        <v>5280502.0961485859</v>
      </c>
      <c r="CU30" s="420">
        <f t="shared" si="3"/>
        <v>47026479.137118727</v>
      </c>
      <c r="CV30" s="420">
        <f t="shared" si="4"/>
        <v>1549352.6438596938</v>
      </c>
      <c r="CW30" s="420">
        <f t="shared" si="5"/>
        <v>61080.231811637575</v>
      </c>
      <c r="CX30" s="427"/>
      <c r="CY30" s="420">
        <f t="shared" si="6"/>
        <v>5530004.9230536092</v>
      </c>
      <c r="CZ30" s="420">
        <f t="shared" si="7"/>
        <v>49817303.410332724</v>
      </c>
      <c r="DA30" s="420">
        <f t="shared" si="8"/>
        <v>1588911.8775514511</v>
      </c>
      <c r="DB30" s="420">
        <f t="shared" si="9"/>
        <v>61185.793116884379</v>
      </c>
    </row>
    <row r="31" spans="1:106" hidden="1">
      <c r="A31" s="434" t="s">
        <v>804</v>
      </c>
      <c r="B31" s="428">
        <v>2749199.59002</v>
      </c>
      <c r="C31" s="428">
        <v>350421.3933</v>
      </c>
      <c r="D31" s="428">
        <v>0</v>
      </c>
      <c r="E31" s="431">
        <v>12932.5581100401</v>
      </c>
      <c r="F31" s="431">
        <v>559.24575610984209</v>
      </c>
      <c r="G31" s="431">
        <v>9087.7435367849357</v>
      </c>
      <c r="H31" s="431">
        <v>11970.773956060406</v>
      </c>
      <c r="I31" s="431">
        <v>517.65508999180122</v>
      </c>
      <c r="J31" s="431">
        <v>8411.8952123667714</v>
      </c>
      <c r="K31" s="429"/>
      <c r="L31" s="429"/>
      <c r="M31" s="429"/>
      <c r="N31" s="429">
        <v>150944.20155346661</v>
      </c>
      <c r="O31" s="429">
        <v>231918.49736431005</v>
      </c>
      <c r="P31" s="429"/>
      <c r="Q31" s="429">
        <v>16950.882834363398</v>
      </c>
      <c r="R31" s="429">
        <v>4735.5475167289751</v>
      </c>
      <c r="S31" s="429">
        <v>789746.39337969292</v>
      </c>
      <c r="T31" s="429">
        <v>122581.87425475586</v>
      </c>
      <c r="U31" s="428">
        <v>95229.739714456009</v>
      </c>
      <c r="V31" s="428">
        <v>16416.65164177306</v>
      </c>
      <c r="W31" s="428">
        <v>60321.425602948737</v>
      </c>
      <c r="X31" s="428">
        <v>161502.72799477627</v>
      </c>
      <c r="Y31" s="428">
        <v>4970.4383877119972</v>
      </c>
      <c r="Z31" s="428">
        <v>2227.5572480000001</v>
      </c>
      <c r="AA31" s="429"/>
      <c r="AB31" s="429"/>
      <c r="AC31" s="429">
        <v>42.857968035730337</v>
      </c>
      <c r="AD31" s="429">
        <v>15014.192966604769</v>
      </c>
      <c r="AE31" s="429">
        <v>0.27350233711595062</v>
      </c>
      <c r="AF31" s="429"/>
      <c r="AG31" s="429">
        <v>0.49607027154601463</v>
      </c>
      <c r="AH31" s="429">
        <v>56506.393803941915</v>
      </c>
      <c r="AI31" s="429">
        <v>380.3868892204224</v>
      </c>
      <c r="AJ31" s="429">
        <v>49.175731457394932</v>
      </c>
      <c r="AK31" s="429">
        <v>2324.2435642861074</v>
      </c>
      <c r="AL31" s="333"/>
      <c r="AM31" s="429">
        <v>2869.5749663131728</v>
      </c>
      <c r="AN31" s="430">
        <v>47383.821116360697</v>
      </c>
      <c r="AO31" s="430">
        <v>25514.365216501905</v>
      </c>
      <c r="AP31" s="430">
        <v>10170.372081792002</v>
      </c>
      <c r="AQ31" s="429">
        <v>3977.0124764116504</v>
      </c>
      <c r="AR31" s="429">
        <v>8685.4422500558339</v>
      </c>
      <c r="AS31" s="429">
        <v>19615.840159556039</v>
      </c>
      <c r="AT31" s="428">
        <v>13134.082486865926</v>
      </c>
      <c r="AU31" s="428">
        <v>63817.602836182341</v>
      </c>
      <c r="AV31" s="433">
        <v>2334367.4659096375</v>
      </c>
      <c r="AW31" s="428">
        <v>2553251.4862977779</v>
      </c>
      <c r="AX31" s="428">
        <v>329945.0738555555</v>
      </c>
      <c r="AY31" s="428">
        <v>0</v>
      </c>
      <c r="AZ31" s="431">
        <v>59146.896511940446</v>
      </c>
      <c r="BA31" s="431">
        <v>2557.7036329487764</v>
      </c>
      <c r="BB31" s="431">
        <v>41562.684035417595</v>
      </c>
      <c r="BC31" s="431">
        <v>171304.85789423564</v>
      </c>
      <c r="BD31" s="431">
        <v>7407.7776386696514</v>
      </c>
      <c r="BE31" s="431">
        <v>120376.38662838176</v>
      </c>
      <c r="BF31" s="429"/>
      <c r="BG31" s="429"/>
      <c r="BH31" s="429"/>
      <c r="BI31" s="429">
        <v>206042.77156700901</v>
      </c>
      <c r="BJ31" s="429">
        <v>33539.759009890731</v>
      </c>
      <c r="BK31" s="429"/>
      <c r="BL31" s="429">
        <v>17855.419235538568</v>
      </c>
      <c r="BM31" s="429">
        <v>3794.4786589642727</v>
      </c>
      <c r="BN31" s="429">
        <v>673666.59027630091</v>
      </c>
      <c r="BO31" s="429">
        <v>106967.24570332348</v>
      </c>
      <c r="BP31" s="428">
        <v>143777.10928265713</v>
      </c>
      <c r="BQ31" s="428">
        <v>24785.731056620905</v>
      </c>
      <c r="BR31" s="428">
        <v>87844.815348447359</v>
      </c>
      <c r="BS31" s="428">
        <v>239698.36444226099</v>
      </c>
      <c r="BT31" s="428">
        <v>4740.3254993919982</v>
      </c>
      <c r="BU31" s="428">
        <v>2227.5572480000001</v>
      </c>
      <c r="BV31" s="431"/>
      <c r="BW31" s="431"/>
      <c r="BX31" s="429">
        <v>41.891202479284253</v>
      </c>
      <c r="BY31" s="429">
        <v>2243.0608521539766</v>
      </c>
      <c r="BZ31" s="429">
        <v>0.32979523626171608</v>
      </c>
      <c r="CA31" s="429"/>
      <c r="CB31" s="429">
        <v>0.59817263037709645</v>
      </c>
      <c r="CC31" s="429">
        <v>48601.455392744167</v>
      </c>
      <c r="CD31" s="429">
        <v>361.74824018023071</v>
      </c>
      <c r="CE31" s="429">
        <v>44.341248476342919</v>
      </c>
      <c r="CF31" s="429">
        <v>2233.6244360375654</v>
      </c>
      <c r="CG31" s="333"/>
      <c r="CH31" s="429">
        <v>2637.7943571818537</v>
      </c>
      <c r="CI31" s="430">
        <v>45471.120156973077</v>
      </c>
      <c r="CJ31" s="430">
        <v>15157.040052324359</v>
      </c>
      <c r="CK31" s="430">
        <v>10298.849601690001</v>
      </c>
      <c r="CL31" s="429">
        <v>4729.1268802671102</v>
      </c>
      <c r="CM31" s="429">
        <v>7900.7381626233891</v>
      </c>
      <c r="CN31" s="429">
        <v>18031.434303574544</v>
      </c>
      <c r="CO31" s="428">
        <v>17060.611927383845</v>
      </c>
      <c r="CP31" s="428">
        <v>85388.017814611972</v>
      </c>
      <c r="CQ31" s="420">
        <f t="shared" si="0"/>
        <v>5070132.9265605314</v>
      </c>
      <c r="CR31" s="420">
        <f t="shared" si="1"/>
        <v>5090694.8164199023</v>
      </c>
      <c r="CT31" s="420">
        <f t="shared" si="2"/>
        <v>1365092.8160814007</v>
      </c>
      <c r="CU31" s="420">
        <f t="shared" si="3"/>
        <v>3440289.5239096661</v>
      </c>
      <c r="CV31" s="420">
        <f t="shared" si="4"/>
        <v>192298.5386237264</v>
      </c>
      <c r="CW31" s="420">
        <f t="shared" si="5"/>
        <v>77187.595462468162</v>
      </c>
      <c r="CX31" s="427"/>
      <c r="CY31" s="420">
        <f t="shared" si="6"/>
        <v>1444222.5707926208</v>
      </c>
      <c r="CZ31" s="420">
        <f t="shared" si="7"/>
        <v>3386270.4630307117</v>
      </c>
      <c r="DA31" s="420">
        <f t="shared" si="8"/>
        <v>204036.93889944829</v>
      </c>
      <c r="DB31" s="420">
        <f t="shared" si="9"/>
        <v>56164.843697120057</v>
      </c>
    </row>
    <row r="32" spans="1:106" hidden="1">
      <c r="A32" s="434" t="s">
        <v>803</v>
      </c>
      <c r="B32" s="428">
        <v>2764904.7272600005</v>
      </c>
      <c r="C32" s="428">
        <v>605550.92790000001</v>
      </c>
      <c r="D32" s="428">
        <v>0</v>
      </c>
      <c r="E32" s="431">
        <v>43683.335524922586</v>
      </c>
      <c r="F32" s="431">
        <v>1757.4149024630624</v>
      </c>
      <c r="G32" s="431">
        <v>29498.141794355186</v>
      </c>
      <c r="H32" s="431">
        <v>35994.774453643819</v>
      </c>
      <c r="I32" s="431">
        <v>1420.8455046568338</v>
      </c>
      <c r="J32" s="431">
        <v>24058.117028082266</v>
      </c>
      <c r="K32" s="432">
        <v>104097.77985101714</v>
      </c>
      <c r="L32" s="432">
        <v>23132.839966892694</v>
      </c>
      <c r="M32" s="432">
        <v>8472.420756311687</v>
      </c>
      <c r="N32" s="429">
        <v>1224398.8568753195</v>
      </c>
      <c r="O32" s="429">
        <v>3098629.2161234729</v>
      </c>
      <c r="P32" s="429">
        <v>50297.050175701334</v>
      </c>
      <c r="Q32" s="429">
        <v>14172.616016595421</v>
      </c>
      <c r="R32" s="429">
        <v>40866.781441860265</v>
      </c>
      <c r="S32" s="429">
        <v>451133.47871935909</v>
      </c>
      <c r="T32" s="429">
        <v>88575.12225585393</v>
      </c>
      <c r="U32" s="428">
        <v>103785.50538786758</v>
      </c>
      <c r="V32" s="428">
        <v>38607.439812755765</v>
      </c>
      <c r="W32" s="428">
        <v>19338.116954695284</v>
      </c>
      <c r="X32" s="428">
        <v>161659.29465760867</v>
      </c>
      <c r="Y32" s="428">
        <v>99617.484072959895</v>
      </c>
      <c r="Z32" s="428">
        <v>679547.77855999966</v>
      </c>
      <c r="AA32" s="429"/>
      <c r="AB32" s="429"/>
      <c r="AC32" s="429">
        <v>114.81386465559288</v>
      </c>
      <c r="AD32" s="429"/>
      <c r="AE32" s="429"/>
      <c r="AF32" s="429">
        <v>99.433616109332291</v>
      </c>
      <c r="AG32" s="429"/>
      <c r="AH32" s="429">
        <v>19278.107808012635</v>
      </c>
      <c r="AI32" s="429">
        <v>1034.595234304677</v>
      </c>
      <c r="AJ32" s="429">
        <v>63.91183516330458</v>
      </c>
      <c r="AK32" s="429">
        <v>5951.4757112978377</v>
      </c>
      <c r="AL32" s="333"/>
      <c r="AM32" s="429">
        <v>2386.3694136533004</v>
      </c>
      <c r="AN32" s="430">
        <v>258978.74799999999</v>
      </c>
      <c r="AO32" s="430">
        <v>17868.256682300296</v>
      </c>
      <c r="AP32" s="430">
        <v>26270.630093760003</v>
      </c>
      <c r="AQ32" s="429">
        <v>11242.011401194186</v>
      </c>
      <c r="AR32" s="429">
        <v>22434.974720386817</v>
      </c>
      <c r="AS32" s="429">
        <v>232703.19139698398</v>
      </c>
      <c r="AT32" s="428">
        <v>22571.8955225719</v>
      </c>
      <c r="AU32" s="428">
        <v>70740.354570740237</v>
      </c>
      <c r="AV32" s="433">
        <v>8286134.7857441781</v>
      </c>
      <c r="AW32" s="428">
        <v>2632465.2580488888</v>
      </c>
      <c r="AX32" s="428">
        <v>625832.2964555556</v>
      </c>
      <c r="AY32" s="428">
        <v>0</v>
      </c>
      <c r="AZ32" s="431">
        <v>204669.74121258038</v>
      </c>
      <c r="BA32" s="431">
        <v>8237.9034472307139</v>
      </c>
      <c r="BB32" s="431">
        <v>138243.10591037764</v>
      </c>
      <c r="BC32" s="431">
        <v>525784.18051410024</v>
      </c>
      <c r="BD32" s="431">
        <v>20754.357311484797</v>
      </c>
      <c r="BE32" s="431">
        <v>351420.15486503066</v>
      </c>
      <c r="BF32" s="429">
        <v>242487.55393394918</v>
      </c>
      <c r="BG32" s="429">
        <v>53886.123096433163</v>
      </c>
      <c r="BH32" s="429">
        <v>19994.210766757435</v>
      </c>
      <c r="BI32" s="429">
        <v>1189650.3955807344</v>
      </c>
      <c r="BJ32" s="429">
        <v>2749155.9379149186</v>
      </c>
      <c r="BK32" s="429">
        <v>37177.351189700727</v>
      </c>
      <c r="BL32" s="429">
        <v>12466.397998626044</v>
      </c>
      <c r="BM32" s="429">
        <v>36274.232523699036</v>
      </c>
      <c r="BN32" s="429">
        <v>408098.58267233823</v>
      </c>
      <c r="BO32" s="429">
        <v>78038.418073067427</v>
      </c>
      <c r="BP32" s="428">
        <v>102983.27643721054</v>
      </c>
      <c r="BQ32" s="428">
        <v>38309.016580987489</v>
      </c>
      <c r="BR32" s="428">
        <v>25436.987971649902</v>
      </c>
      <c r="BS32" s="428">
        <v>190934.21819536286</v>
      </c>
      <c r="BT32" s="428">
        <v>95005.563514026566</v>
      </c>
      <c r="BU32" s="428">
        <v>679547.77855999966</v>
      </c>
      <c r="BV32" s="431"/>
      <c r="BW32" s="431"/>
      <c r="BX32" s="429">
        <v>109.9662833661307</v>
      </c>
      <c r="BY32" s="429"/>
      <c r="BZ32" s="429"/>
      <c r="CA32" s="429">
        <v>99.058781001616069</v>
      </c>
      <c r="CB32" s="429"/>
      <c r="CC32" s="429">
        <v>20915.906671226592</v>
      </c>
      <c r="CD32" s="429">
        <v>967.39380516806193</v>
      </c>
      <c r="CE32" s="429">
        <v>56.661793582158325</v>
      </c>
      <c r="CF32" s="429">
        <v>5623.4795701667344</v>
      </c>
      <c r="CG32" s="333"/>
      <c r="CH32" s="429">
        <v>2138.8075724257446</v>
      </c>
      <c r="CI32" s="430">
        <v>210006.37199999997</v>
      </c>
      <c r="CJ32" s="430">
        <v>14489.404203215323</v>
      </c>
      <c r="CK32" s="430">
        <v>25937.794355850001</v>
      </c>
      <c r="CL32" s="429">
        <v>22627.688982657928</v>
      </c>
      <c r="CM32" s="429">
        <v>19898.117716750989</v>
      </c>
      <c r="CN32" s="429">
        <v>208562.5741932239</v>
      </c>
      <c r="CO32" s="428">
        <v>30125.852196792534</v>
      </c>
      <c r="CP32" s="428">
        <v>112238.06461223794</v>
      </c>
      <c r="CQ32" s="420">
        <f t="shared" si="0"/>
        <v>10404938.83586753</v>
      </c>
      <c r="CR32" s="420">
        <f t="shared" si="1"/>
        <v>11140650.185512375</v>
      </c>
      <c r="CT32" s="420">
        <f t="shared" si="2"/>
        <v>5281055.5728323683</v>
      </c>
      <c r="CU32" s="420">
        <f t="shared" si="3"/>
        <v>4473011.2746058879</v>
      </c>
      <c r="CV32" s="420">
        <f t="shared" si="4"/>
        <v>662810.06238793733</v>
      </c>
      <c r="CW32" s="420">
        <f t="shared" si="5"/>
        <v>28928.707483196682</v>
      </c>
      <c r="CX32" s="427"/>
      <c r="CY32" s="420">
        <f t="shared" si="6"/>
        <v>6076338.6470110295</v>
      </c>
      <c r="CZ32" s="420">
        <f t="shared" si="7"/>
        <v>4390514.3957636813</v>
      </c>
      <c r="DA32" s="420">
        <f t="shared" si="8"/>
        <v>643885.86826072866</v>
      </c>
      <c r="DB32" s="420">
        <f t="shared" si="9"/>
        <v>29911.27447693704</v>
      </c>
    </row>
    <row r="33" spans="1:106" s="479" customFormat="1">
      <c r="A33" s="477" t="s">
        <v>949</v>
      </c>
      <c r="B33" s="478">
        <f t="shared" ref="B33:AG33" si="10">SUM(B7:B32)</f>
        <v>182235333.36664501</v>
      </c>
      <c r="C33" s="478">
        <f t="shared" si="10"/>
        <v>32401704.332869101</v>
      </c>
      <c r="D33" s="478">
        <f t="shared" si="10"/>
        <v>5014995.0953000002</v>
      </c>
      <c r="E33" s="478">
        <f t="shared" si="10"/>
        <v>3870769.3685774375</v>
      </c>
      <c r="F33" s="478">
        <f t="shared" si="10"/>
        <v>170572.80837604881</v>
      </c>
      <c r="G33" s="478">
        <f t="shared" si="10"/>
        <v>2264134.5912288432</v>
      </c>
      <c r="H33" s="478">
        <f t="shared" si="10"/>
        <v>1685426.3381060066</v>
      </c>
      <c r="I33" s="478">
        <f t="shared" si="10"/>
        <v>73697.597051931167</v>
      </c>
      <c r="J33" s="478">
        <f t="shared" si="10"/>
        <v>917835.43857846817</v>
      </c>
      <c r="K33" s="478">
        <f t="shared" si="10"/>
        <v>4126607.5117683411</v>
      </c>
      <c r="L33" s="478">
        <f t="shared" si="10"/>
        <v>926047.33754085749</v>
      </c>
      <c r="M33" s="478">
        <f t="shared" si="10"/>
        <v>2012790.6697379912</v>
      </c>
      <c r="N33" s="478">
        <f t="shared" si="10"/>
        <v>89857825.999680862</v>
      </c>
      <c r="O33" s="478">
        <f t="shared" si="10"/>
        <v>135334089.01895559</v>
      </c>
      <c r="P33" s="478">
        <f t="shared" si="10"/>
        <v>3396172.0989504675</v>
      </c>
      <c r="Q33" s="478">
        <f t="shared" si="10"/>
        <v>9437955.2012040745</v>
      </c>
      <c r="R33" s="478">
        <f t="shared" si="10"/>
        <v>2818748.4968952597</v>
      </c>
      <c r="S33" s="478">
        <f t="shared" si="10"/>
        <v>105145348.32022747</v>
      </c>
      <c r="T33" s="478">
        <f t="shared" si="10"/>
        <v>23477141.778535351</v>
      </c>
      <c r="U33" s="478">
        <f t="shared" si="10"/>
        <v>8235997.952829293</v>
      </c>
      <c r="V33" s="478">
        <f t="shared" si="10"/>
        <v>1289673.982668747</v>
      </c>
      <c r="W33" s="478">
        <f t="shared" si="10"/>
        <v>2795196.6868013502</v>
      </c>
      <c r="X33" s="478">
        <f t="shared" si="10"/>
        <v>11632887.834575633</v>
      </c>
      <c r="Y33" s="478">
        <f t="shared" si="10"/>
        <v>5441018.0510986261</v>
      </c>
      <c r="Z33" s="478">
        <f t="shared" si="10"/>
        <v>25642518.359305911</v>
      </c>
      <c r="AA33" s="478">
        <f t="shared" si="10"/>
        <v>329.8033764310984</v>
      </c>
      <c r="AB33" s="478">
        <f t="shared" si="10"/>
        <v>45.516948209448749</v>
      </c>
      <c r="AC33" s="478">
        <f t="shared" si="10"/>
        <v>14240.793404654052</v>
      </c>
      <c r="AD33" s="478">
        <f t="shared" si="10"/>
        <v>5180308.3295478495</v>
      </c>
      <c r="AE33" s="478">
        <f t="shared" si="10"/>
        <v>1021.6102963931085</v>
      </c>
      <c r="AF33" s="478">
        <f t="shared" si="10"/>
        <v>7679.9168338706077</v>
      </c>
      <c r="AG33" s="478">
        <f t="shared" si="10"/>
        <v>1751.7538427212623</v>
      </c>
      <c r="AH33" s="478">
        <f t="shared" ref="AH33:BM33" si="11">SUM(AH7:AH32)</f>
        <v>1222467.3420551254</v>
      </c>
      <c r="AI33" s="478">
        <f t="shared" si="11"/>
        <v>242125.51066645628</v>
      </c>
      <c r="AJ33" s="478">
        <f t="shared" si="11"/>
        <v>26777.651566769204</v>
      </c>
      <c r="AK33" s="478">
        <f t="shared" si="11"/>
        <v>628502.39754250553</v>
      </c>
      <c r="AL33" s="478">
        <f t="shared" si="11"/>
        <v>984966.23309856968</v>
      </c>
      <c r="AM33" s="478">
        <f t="shared" si="11"/>
        <v>1468191.5548982229</v>
      </c>
      <c r="AN33" s="478">
        <f t="shared" si="11"/>
        <v>18056328.55874972</v>
      </c>
      <c r="AO33" s="478">
        <f t="shared" si="11"/>
        <v>3646100.4526687437</v>
      </c>
      <c r="AP33" s="478">
        <f t="shared" si="11"/>
        <v>1988847.6517166402</v>
      </c>
      <c r="AQ33" s="481">
        <f t="shared" si="11"/>
        <v>2873580.2030153899</v>
      </c>
      <c r="AR33" s="478">
        <f t="shared" si="11"/>
        <v>1700751.7848256244</v>
      </c>
      <c r="AS33" s="478">
        <f t="shared" si="11"/>
        <v>9854474.7372931875</v>
      </c>
      <c r="AT33" s="478">
        <f t="shared" si="11"/>
        <v>3681998.7598319151</v>
      </c>
      <c r="AU33" s="478">
        <f t="shared" si="11"/>
        <v>12007115.469771314</v>
      </c>
      <c r="AV33" s="478">
        <f t="shared" si="11"/>
        <v>605317147.31963468</v>
      </c>
      <c r="AW33" s="478">
        <f t="shared" si="11"/>
        <v>178374380.68973127</v>
      </c>
      <c r="AX33" s="478">
        <f t="shared" si="11"/>
        <v>32611032.23372658</v>
      </c>
      <c r="AY33" s="478">
        <f t="shared" si="11"/>
        <v>5520748.552633334</v>
      </c>
      <c r="AZ33" s="478">
        <f t="shared" si="11"/>
        <v>19707052.032495324</v>
      </c>
      <c r="BA33" s="478">
        <f t="shared" si="11"/>
        <v>867591.55405481404</v>
      </c>
      <c r="BB33" s="478">
        <f t="shared" si="11"/>
        <v>11516445.006764</v>
      </c>
      <c r="BC33" s="478">
        <f t="shared" si="11"/>
        <v>26067046.38373249</v>
      </c>
      <c r="BD33" s="478">
        <f t="shared" si="11"/>
        <v>1140654.6747047144</v>
      </c>
      <c r="BE33" s="478">
        <f t="shared" si="11"/>
        <v>14139865.137593759</v>
      </c>
      <c r="BF33" s="478">
        <f t="shared" si="11"/>
        <v>9320480.7540246751</v>
      </c>
      <c r="BG33" s="478">
        <f t="shared" si="11"/>
        <v>2090414.3057436985</v>
      </c>
      <c r="BH33" s="478">
        <f t="shared" si="11"/>
        <v>4778930.9214579733</v>
      </c>
      <c r="BI33" s="478">
        <f t="shared" si="11"/>
        <v>85848087.824854776</v>
      </c>
      <c r="BJ33" s="478">
        <f t="shared" si="11"/>
        <v>118387061.8116367</v>
      </c>
      <c r="BK33" s="478">
        <f t="shared" si="11"/>
        <v>3174291.1131516579</v>
      </c>
      <c r="BL33" s="478">
        <f t="shared" si="11"/>
        <v>9455648.3875115048</v>
      </c>
      <c r="BM33" s="478">
        <f t="shared" si="11"/>
        <v>2481859.7757798531</v>
      </c>
      <c r="BN33" s="478">
        <f t="shared" ref="BN33:CR33" si="12">SUM(BN7:BN32)</f>
        <v>102001854.68506302</v>
      </c>
      <c r="BO33" s="478">
        <f t="shared" si="12"/>
        <v>20942335.719285041</v>
      </c>
      <c r="BP33" s="478">
        <f t="shared" si="12"/>
        <v>8531959.1547949295</v>
      </c>
      <c r="BQ33" s="478">
        <f t="shared" si="12"/>
        <v>1542068.4892833072</v>
      </c>
      <c r="BR33" s="478">
        <f t="shared" si="12"/>
        <v>3318467.3240857651</v>
      </c>
      <c r="BS33" s="478">
        <f t="shared" si="12"/>
        <v>13329944.925052535</v>
      </c>
      <c r="BT33" s="478">
        <f t="shared" si="12"/>
        <v>6244784.9530833773</v>
      </c>
      <c r="BU33" s="478">
        <f t="shared" si="12"/>
        <v>25642518.359305911</v>
      </c>
      <c r="BV33" s="478">
        <f t="shared" si="12"/>
        <v>229.67017347408739</v>
      </c>
      <c r="BW33" s="478">
        <f t="shared" si="12"/>
        <v>52.931628843111739</v>
      </c>
      <c r="BX33" s="478">
        <f t="shared" si="12"/>
        <v>14676.525259861126</v>
      </c>
      <c r="BY33" s="478">
        <f t="shared" si="12"/>
        <v>4448055.6436504079</v>
      </c>
      <c r="BZ33" s="478">
        <f t="shared" si="12"/>
        <v>1130.9576422855014</v>
      </c>
      <c r="CA33" s="478">
        <f t="shared" si="12"/>
        <v>8502.6670901468442</v>
      </c>
      <c r="CB33" s="478">
        <f t="shared" si="12"/>
        <v>1933.597380632096</v>
      </c>
      <c r="CC33" s="478">
        <f t="shared" si="12"/>
        <v>1178585.8663950064</v>
      </c>
      <c r="CD33" s="478">
        <f t="shared" si="12"/>
        <v>235623.25093234581</v>
      </c>
      <c r="CE33" s="478">
        <f t="shared" si="12"/>
        <v>24741.117850281669</v>
      </c>
      <c r="CF33" s="478">
        <f t="shared" si="12"/>
        <v>610180.81400322681</v>
      </c>
      <c r="CG33" s="478">
        <f t="shared" si="12"/>
        <v>2843028.1305920603</v>
      </c>
      <c r="CH33" s="478">
        <f t="shared" si="12"/>
        <v>1377565.5493321114</v>
      </c>
      <c r="CI33" s="478">
        <f t="shared" si="12"/>
        <v>15700114.587913403</v>
      </c>
      <c r="CJ33" s="478">
        <f t="shared" si="12"/>
        <v>2733178.2407612554</v>
      </c>
      <c r="CK33" s="478">
        <f t="shared" si="12"/>
        <v>2035381.54084902</v>
      </c>
      <c r="CL33" s="478">
        <f t="shared" si="12"/>
        <v>6659902.8109145118</v>
      </c>
      <c r="CM33" s="478">
        <f t="shared" si="12"/>
        <v>1563904.8013693718</v>
      </c>
      <c r="CN33" s="478">
        <f t="shared" si="12"/>
        <v>9160730.2805822901</v>
      </c>
      <c r="CO33" s="478">
        <f t="shared" si="12"/>
        <v>4199198.4518144764</v>
      </c>
      <c r="CP33" s="478">
        <f t="shared" si="12"/>
        <v>14831314.967452262</v>
      </c>
      <c r="CQ33" s="478">
        <f t="shared" si="12"/>
        <v>723792094.26945889</v>
      </c>
      <c r="CR33" s="478">
        <f t="shared" si="12"/>
        <v>774663557.17313862</v>
      </c>
      <c r="CT33" s="480">
        <f t="shared" si="2"/>
        <v>388333911.07231027</v>
      </c>
      <c r="CU33" s="480">
        <f t="shared" si="3"/>
        <v>274689325.66209364</v>
      </c>
      <c r="CV33" s="480">
        <f t="shared" si="4"/>
        <v>53809197.617872536</v>
      </c>
      <c r="CW33" s="480">
        <f t="shared" si="5"/>
        <v>9778408.4140777774</v>
      </c>
      <c r="CX33" s="480"/>
      <c r="CY33" s="480">
        <f t="shared" si="6"/>
        <v>431919620.08785391</v>
      </c>
      <c r="CZ33" s="480">
        <f t="shared" si="7"/>
        <v>275115904.68169701</v>
      </c>
      <c r="DA33" s="480">
        <f t="shared" si="8"/>
        <v>56883725.681656584</v>
      </c>
      <c r="DB33" s="480">
        <f t="shared" si="9"/>
        <v>10744306.721930683</v>
      </c>
    </row>
    <row r="34" spans="1:106">
      <c r="S34" s="478">
        <f>SUM(S8:S33)</f>
        <v>207826409.14969325</v>
      </c>
      <c r="T34" s="478">
        <f>SUM(T8:T33)</f>
        <v>46522503.80432716</v>
      </c>
    </row>
    <row r="35" spans="1:106">
      <c r="C35" t="s">
        <v>947</v>
      </c>
      <c r="D35" t="s">
        <v>946</v>
      </c>
      <c r="S35" s="478">
        <f>SUM(S9:S34)</f>
        <v>415347387.9410038</v>
      </c>
      <c r="T35" s="478">
        <f>SUM(T9:T34)</f>
        <v>92869460.496517897</v>
      </c>
    </row>
    <row r="36" spans="1:106" ht="29">
      <c r="A36" t="s">
        <v>272</v>
      </c>
      <c r="B36" s="107" t="s">
        <v>273</v>
      </c>
      <c r="C36" s="9">
        <f>(N33+O33+P33)/1000000</f>
        <v>228.58808711758695</v>
      </c>
      <c r="D36">
        <f>(BI33+BJ33+BK33)/1000000</f>
        <v>207.40944074964315</v>
      </c>
    </row>
    <row r="37" spans="1:106" ht="29">
      <c r="A37" t="s">
        <v>290</v>
      </c>
      <c r="B37" s="107" t="s">
        <v>291</v>
      </c>
      <c r="C37" s="9">
        <f>(Q33+R33)/1000000</f>
        <v>12.256703698099333</v>
      </c>
      <c r="D37" s="466">
        <f>(BL33+BM33)/1000000</f>
        <v>11.937508163291357</v>
      </c>
    </row>
    <row r="38" spans="1:106" ht="29">
      <c r="A38" t="s">
        <v>797</v>
      </c>
      <c r="B38" s="107" t="s">
        <v>796</v>
      </c>
      <c r="C38" s="9">
        <f>(S33+T33+AS33)/1000000</f>
        <v>138.47696483605603</v>
      </c>
      <c r="D38">
        <f>(BN33+BO33+CN33)/1000000</f>
        <v>132.10492068493036</v>
      </c>
    </row>
    <row r="39" spans="1:106" ht="87">
      <c r="A39" t="s">
        <v>281</v>
      </c>
      <c r="B39" s="107" t="s">
        <v>795</v>
      </c>
      <c r="C39" s="9">
        <f>(AA33+AB33+AC33+AC33+AD33+AE33+AF33+AG33+AH33+AI33+AJ33+AK33+AL33)/1000000</f>
        <v>8.3244576525842096</v>
      </c>
      <c r="D39">
        <f>(BV33+BW33+BX33+BY33+BZ33+CA33+CB33+CC33+CD33+CE33+CF33+CG33)/1000000</f>
        <v>9.3667411725985712</v>
      </c>
    </row>
    <row r="40" spans="1:106" ht="29">
      <c r="A40" t="s">
        <v>274</v>
      </c>
      <c r="B40" s="107" t="s">
        <v>275</v>
      </c>
      <c r="C40" s="9">
        <f>(E33+G33+H33+J33)/1000000</f>
        <v>8.738165736490755</v>
      </c>
      <c r="D40">
        <f>(AZ33+BB33+BC33+BE33)/1000000</f>
        <v>71.430408560585576</v>
      </c>
    </row>
    <row r="41" spans="1:106">
      <c r="A41" t="s">
        <v>276</v>
      </c>
      <c r="B41" s="107" t="s">
        <v>277</v>
      </c>
      <c r="C41" s="9">
        <f>(K33+M33)/1000000</f>
        <v>6.1393981815063317</v>
      </c>
      <c r="D41">
        <f>(BF33+BH33)/1000000</f>
        <v>14.099411675482649</v>
      </c>
    </row>
    <row r="42" spans="1:106" ht="29">
      <c r="A42" t="s">
        <v>264</v>
      </c>
      <c r="B42" s="107" t="s">
        <v>265</v>
      </c>
      <c r="C42" s="9">
        <f>(F33+I33+L33)/1000000</f>
        <v>1.1703177429688374</v>
      </c>
      <c r="D42">
        <f>(BA33+BD33+BG33)/1000000</f>
        <v>4.0986605345032272</v>
      </c>
    </row>
    <row r="43" spans="1:106">
      <c r="A43" t="s">
        <v>794</v>
      </c>
      <c r="B43" s="421">
        <v>1100</v>
      </c>
      <c r="C43" s="9">
        <f>B33/1000000</f>
        <v>182.23533336664499</v>
      </c>
      <c r="D43">
        <f>AW33/1000000</f>
        <v>178.37438068973128</v>
      </c>
    </row>
    <row r="44" spans="1:106">
      <c r="A44" t="s">
        <v>293</v>
      </c>
      <c r="B44" s="107" t="s">
        <v>294</v>
      </c>
      <c r="C44" s="9">
        <f>(C33+D33)/1000000</f>
        <v>37.416699428169103</v>
      </c>
      <c r="D44">
        <f>(AX33+AY33)/1000000</f>
        <v>38.131780786359911</v>
      </c>
    </row>
    <row r="45" spans="1:106" ht="43.5">
      <c r="A45" t="s">
        <v>270</v>
      </c>
      <c r="B45" s="107" t="s">
        <v>271</v>
      </c>
      <c r="C45" s="9">
        <f>(U33+V33+W33+X33+Y33+Z33)/1000000</f>
        <v>55.037292867279561</v>
      </c>
      <c r="D45">
        <f>(BP33+BQ33+BR33+BS33+BT33+BU33)/1000000</f>
        <v>58.609743205605817</v>
      </c>
    </row>
    <row r="46" spans="1:106" ht="43.5">
      <c r="A46" t="s">
        <v>793</v>
      </c>
      <c r="B46" s="107" t="s">
        <v>792</v>
      </c>
      <c r="C46" s="9">
        <f>(AN33+AO33+AP33+AT33+AU33)/1000000</f>
        <v>39.380390892738333</v>
      </c>
      <c r="D46">
        <f>(CI33+CJ33+CK33+CO33+CP33)/1000000</f>
        <v>39.499187788790422</v>
      </c>
    </row>
    <row r="47" spans="1:106" ht="29">
      <c r="A47" t="s">
        <v>266</v>
      </c>
      <c r="B47" s="107" t="s">
        <v>791</v>
      </c>
      <c r="C47" s="9">
        <f>(AM33+AQ33+AR33)/1000000</f>
        <v>6.0425235427392368</v>
      </c>
      <c r="D47">
        <f>(CH33+CM33+CN33)/1000000</f>
        <v>12.102200631283774</v>
      </c>
    </row>
    <row r="48" spans="1:106">
      <c r="C48" s="9">
        <f>SUM(C36:C47)</f>
        <v>723.8063350628637</v>
      </c>
      <c r="D48" s="9">
        <f>SUM(D36:D47)</f>
        <v>777.16438464280611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E654-D73F-4FAA-95A3-D0237A0FB0B5}">
  <sheetPr codeName="Tabelle8"/>
  <dimension ref="A1:I52"/>
  <sheetViews>
    <sheetView workbookViewId="0">
      <selection activeCell="A45" sqref="A45"/>
    </sheetView>
  </sheetViews>
  <sheetFormatPr baseColWidth="10" defaultRowHeight="14.5"/>
  <cols>
    <col min="1" max="1" width="39.1796875" customWidth="1"/>
    <col min="2" max="2" width="14.54296875" customWidth="1"/>
    <col min="3" max="3" width="15.453125" customWidth="1"/>
    <col min="4" max="4" width="12" bestFit="1" customWidth="1"/>
    <col min="9" max="9" width="15.1796875" customWidth="1"/>
  </cols>
  <sheetData>
    <row r="1" spans="1:9" s="72" customFormat="1">
      <c r="A1" s="72" t="s">
        <v>789</v>
      </c>
    </row>
    <row r="2" spans="1:9">
      <c r="A2" s="72" t="s">
        <v>1136</v>
      </c>
      <c r="B2" s="72">
        <v>2023</v>
      </c>
      <c r="C2" s="72">
        <v>2024</v>
      </c>
      <c r="D2" s="72">
        <v>2025</v>
      </c>
      <c r="E2" s="72">
        <v>2026</v>
      </c>
      <c r="F2" s="72">
        <v>2027</v>
      </c>
      <c r="G2" s="72">
        <v>2028</v>
      </c>
      <c r="H2" s="72">
        <v>2029</v>
      </c>
      <c r="I2" s="72">
        <v>2030</v>
      </c>
    </row>
    <row r="3" spans="1:9">
      <c r="A3" s="34" t="s">
        <v>1083</v>
      </c>
      <c r="B3" s="632">
        <f>SUM(B4:B7)</f>
        <v>7453178</v>
      </c>
      <c r="C3" s="632">
        <f>SUM(C4:C7)</f>
        <v>7248537</v>
      </c>
      <c r="D3" s="34"/>
      <c r="E3" s="34"/>
      <c r="F3" s="34"/>
      <c r="G3" s="34"/>
      <c r="H3" s="34"/>
      <c r="I3" s="632">
        <f>SUM(I4:I7)</f>
        <v>7453178</v>
      </c>
    </row>
    <row r="4" spans="1:9">
      <c r="A4" t="s">
        <v>1084</v>
      </c>
      <c r="B4" s="324">
        <f>438676+5380700</f>
        <v>5819376</v>
      </c>
      <c r="C4" s="324">
        <f>458875+5127642</f>
        <v>5586517</v>
      </c>
      <c r="D4" s="324"/>
      <c r="E4" s="324"/>
      <c r="F4" s="324"/>
      <c r="G4" s="324"/>
      <c r="H4" s="324"/>
      <c r="I4" s="324">
        <f>438676+5380700</f>
        <v>5819376</v>
      </c>
    </row>
    <row r="5" spans="1:9">
      <c r="A5" t="s">
        <v>1085</v>
      </c>
      <c r="B5" s="324">
        <f>74+38+11+1511045+31+122603</f>
        <v>1633802</v>
      </c>
      <c r="C5" s="324">
        <f>61+34+479+1525883+0+135563</f>
        <v>1662020</v>
      </c>
      <c r="D5" s="324"/>
      <c r="E5" s="324"/>
      <c r="F5" s="324"/>
      <c r="G5" s="324"/>
      <c r="H5" s="324"/>
      <c r="I5" s="324">
        <f>74+38+11+1511045+31+122603</f>
        <v>1633802</v>
      </c>
    </row>
    <row r="6" spans="1:9">
      <c r="A6" t="s">
        <v>1086</v>
      </c>
      <c r="B6" s="324"/>
      <c r="C6" s="324"/>
      <c r="D6" s="324"/>
      <c r="E6" s="324"/>
      <c r="F6" s="324"/>
      <c r="G6" s="324"/>
      <c r="H6" s="324"/>
      <c r="I6" s="324"/>
    </row>
    <row r="7" spans="1:9">
      <c r="A7" t="s">
        <v>1087</v>
      </c>
      <c r="B7" s="324"/>
      <c r="C7" s="324"/>
      <c r="D7" s="324"/>
      <c r="E7" s="324"/>
      <c r="F7" s="324"/>
      <c r="G7" s="324"/>
      <c r="H7" s="324"/>
      <c r="I7" s="324"/>
    </row>
    <row r="8" spans="1:9">
      <c r="A8" s="34" t="s">
        <v>1088</v>
      </c>
      <c r="B8" s="633">
        <f>SUM(B9:B12)</f>
        <v>320486654</v>
      </c>
      <c r="C8" s="633">
        <f>SUM(C9:C12)</f>
        <v>311687091</v>
      </c>
      <c r="D8" s="324"/>
      <c r="E8" s="324"/>
      <c r="F8" s="324"/>
      <c r="G8" s="324"/>
      <c r="H8" s="324"/>
      <c r="I8" s="324">
        <f>SUM(I9:I12)</f>
        <v>320486664</v>
      </c>
    </row>
    <row r="9" spans="1:9">
      <c r="A9" t="s">
        <v>1089</v>
      </c>
      <c r="B9" s="324">
        <f>B4*'[9]Properties fuels'!$C$15</f>
        <v>250233168</v>
      </c>
      <c r="C9" s="324">
        <f>C4*'[9]Properties fuels'!$C$15</f>
        <v>240220231</v>
      </c>
      <c r="D9" s="324"/>
      <c r="E9" s="324"/>
      <c r="F9" s="324"/>
      <c r="G9" s="324"/>
      <c r="H9" s="324"/>
      <c r="I9" s="324">
        <f>I4*'[9]Properties fuels'!$C$15</f>
        <v>250233168</v>
      </c>
    </row>
    <row r="10" spans="1:9">
      <c r="A10" t="s">
        <v>1090</v>
      </c>
      <c r="B10" s="324">
        <f>B5*'[9]Properties fuels'!$C$10</f>
        <v>70253486</v>
      </c>
      <c r="C10" s="324">
        <f>C5*'[9]Properties fuels'!$C$10</f>
        <v>71466860</v>
      </c>
      <c r="D10" s="324"/>
      <c r="E10" s="324"/>
      <c r="F10" s="324"/>
      <c r="G10" s="324"/>
      <c r="H10" s="324"/>
      <c r="I10" s="324">
        <f>I5*'[9]Properties fuels'!$C$10</f>
        <v>70253486</v>
      </c>
    </row>
    <row r="11" spans="1:9">
      <c r="A11" t="s">
        <v>1091</v>
      </c>
      <c r="B11" s="324"/>
      <c r="C11" s="324"/>
      <c r="D11" s="324"/>
      <c r="E11" s="324"/>
      <c r="F11" s="324"/>
      <c r="G11" s="324"/>
      <c r="H11" s="324"/>
      <c r="I11" s="324">
        <v>10</v>
      </c>
    </row>
    <row r="12" spans="1:9">
      <c r="A12" t="s">
        <v>1092</v>
      </c>
      <c r="B12" s="324"/>
      <c r="C12" s="324"/>
      <c r="D12" s="324"/>
      <c r="E12" s="324"/>
      <c r="F12" s="324"/>
      <c r="G12" s="324"/>
      <c r="H12" s="324"/>
      <c r="I12" s="324"/>
    </row>
    <row r="13" spans="1:9">
      <c r="A13" t="s">
        <v>1093</v>
      </c>
      <c r="B13" s="324">
        <v>1174398</v>
      </c>
      <c r="C13" s="324">
        <v>1174398</v>
      </c>
      <c r="D13" s="324"/>
      <c r="E13" s="324"/>
      <c r="F13" s="324"/>
      <c r="G13" s="324"/>
      <c r="H13" s="324"/>
      <c r="I13" s="324">
        <v>1174398</v>
      </c>
    </row>
    <row r="14" spans="1:9" s="34" customFormat="1">
      <c r="A14" s="34" t="s">
        <v>1164</v>
      </c>
      <c r="B14" s="633">
        <f>SUM(B15:B18)</f>
        <v>275630000</v>
      </c>
      <c r="C14" s="633"/>
      <c r="D14" s="633"/>
      <c r="E14" s="633"/>
      <c r="F14" s="633"/>
      <c r="G14" s="633"/>
      <c r="H14" s="633"/>
      <c r="I14" s="633"/>
    </row>
    <row r="15" spans="1:9">
      <c r="A15" t="s">
        <v>1160</v>
      </c>
      <c r="B15" s="324">
        <f>177108*1000</f>
        <v>177108000</v>
      </c>
      <c r="C15" s="324"/>
      <c r="D15" s="324"/>
      <c r="E15" s="324"/>
      <c r="F15" s="324"/>
      <c r="G15" s="324"/>
      <c r="H15" s="324"/>
      <c r="I15" s="324"/>
    </row>
    <row r="16" spans="1:9">
      <c r="A16" t="s">
        <v>1161</v>
      </c>
      <c r="B16" s="324">
        <f>24160*1000</f>
        <v>24160000</v>
      </c>
      <c r="C16" s="324"/>
      <c r="D16" s="324"/>
      <c r="E16" s="324"/>
      <c r="F16" s="324"/>
      <c r="G16" s="324"/>
      <c r="H16" s="324"/>
      <c r="I16" s="324"/>
    </row>
    <row r="17" spans="1:9">
      <c r="A17" t="s">
        <v>1162</v>
      </c>
      <c r="B17" s="324">
        <f>72346*1000</f>
        <v>72346000</v>
      </c>
      <c r="C17" s="324"/>
      <c r="D17" s="324"/>
      <c r="E17" s="324"/>
      <c r="F17" s="324"/>
      <c r="G17" s="324"/>
      <c r="H17" s="324"/>
      <c r="I17" s="324"/>
    </row>
    <row r="18" spans="1:9">
      <c r="A18" t="s">
        <v>1163</v>
      </c>
      <c r="B18" s="324">
        <f>2016*1000</f>
        <v>2016000</v>
      </c>
      <c r="C18" s="324"/>
      <c r="D18" s="324"/>
      <c r="E18" s="324"/>
      <c r="F18" s="324"/>
      <c r="G18" s="324"/>
      <c r="H18" s="324"/>
      <c r="I18" s="324"/>
    </row>
    <row r="19" spans="1:9">
      <c r="B19" s="324"/>
      <c r="C19" s="324"/>
      <c r="D19" s="324"/>
      <c r="E19" s="324"/>
      <c r="F19" s="324"/>
      <c r="G19" s="324"/>
      <c r="H19" s="324"/>
      <c r="I19" s="324"/>
    </row>
    <row r="20" spans="1:9">
      <c r="B20" s="324"/>
      <c r="C20" s="324"/>
      <c r="D20" s="324"/>
      <c r="E20" s="324"/>
      <c r="F20" s="324"/>
      <c r="G20" s="324"/>
      <c r="H20" s="324"/>
      <c r="I20" s="324"/>
    </row>
    <row r="21" spans="1:9">
      <c r="B21" s="324"/>
      <c r="C21" s="324"/>
      <c r="D21" s="324"/>
      <c r="E21" s="324"/>
      <c r="F21" s="324"/>
      <c r="G21" s="324"/>
      <c r="H21" s="324"/>
      <c r="I21" s="324"/>
    </row>
    <row r="22" spans="1:9" s="63" customFormat="1" ht="25.5" customHeight="1">
      <c r="A22" s="643" t="s">
        <v>1094</v>
      </c>
      <c r="B22" s="644">
        <f>B13+B8</f>
        <v>321661052</v>
      </c>
      <c r="C22" s="644">
        <f>C13+C8</f>
        <v>312861489</v>
      </c>
      <c r="D22" s="645"/>
      <c r="E22" s="645"/>
      <c r="F22" s="645"/>
      <c r="G22" s="645"/>
      <c r="H22" s="645"/>
      <c r="I22" s="645">
        <f>I13+I8</f>
        <v>321661062</v>
      </c>
    </row>
    <row r="23" spans="1:9">
      <c r="A23" s="34" t="s">
        <v>1095</v>
      </c>
      <c r="B23" s="324"/>
      <c r="C23" s="324"/>
      <c r="D23" s="324"/>
      <c r="E23" s="324"/>
      <c r="F23" s="324"/>
      <c r="G23" s="324"/>
      <c r="H23" s="324"/>
      <c r="I23" s="324"/>
    </row>
    <row r="24" spans="1:9">
      <c r="A24" t="s">
        <v>1096</v>
      </c>
      <c r="I24" s="13">
        <v>0.28999999999999998</v>
      </c>
    </row>
    <row r="25" spans="1:9">
      <c r="A25" t="s">
        <v>1097</v>
      </c>
      <c r="I25" s="13">
        <v>7.0000000000000007E-2</v>
      </c>
    </row>
    <row r="26" spans="1:9">
      <c r="A26" t="s">
        <v>1098</v>
      </c>
      <c r="I26" s="19">
        <v>5.5E-2</v>
      </c>
    </row>
    <row r="27" spans="1:9">
      <c r="A27" t="s">
        <v>1099</v>
      </c>
      <c r="I27" s="13">
        <v>0.06</v>
      </c>
    </row>
    <row r="28" spans="1:9">
      <c r="A28" t="s">
        <v>1100</v>
      </c>
    </row>
    <row r="29" spans="1:9">
      <c r="A29" t="s">
        <v>1101</v>
      </c>
    </row>
    <row r="30" spans="1:9">
      <c r="A30" s="34" t="s">
        <v>1102</v>
      </c>
      <c r="B30" s="324"/>
      <c r="C30" s="324"/>
      <c r="D30" s="324"/>
      <c r="E30" s="324"/>
      <c r="F30" s="324"/>
      <c r="G30" s="324"/>
      <c r="H30" s="324"/>
      <c r="I30" s="324"/>
    </row>
    <row r="31" spans="1:9">
      <c r="A31" s="634" t="s">
        <v>1103</v>
      </c>
      <c r="B31" s="324"/>
      <c r="C31" s="324"/>
      <c r="D31" s="324"/>
      <c r="E31" s="324"/>
      <c r="F31" s="324"/>
      <c r="G31" s="324"/>
      <c r="H31" s="324"/>
      <c r="I31" s="324">
        <f>I22*I24</f>
        <v>93281707.979999989</v>
      </c>
    </row>
    <row r="32" spans="1:9">
      <c r="A32" s="634" t="s">
        <v>1104</v>
      </c>
      <c r="B32" s="324"/>
      <c r="C32" s="324"/>
      <c r="D32" s="324"/>
      <c r="E32" s="324"/>
      <c r="F32" s="324"/>
      <c r="G32" s="324"/>
      <c r="H32" s="324"/>
      <c r="I32" s="324">
        <f>I22*I25</f>
        <v>22516274.340000004</v>
      </c>
    </row>
    <row r="33" spans="1:9">
      <c r="A33" s="634" t="s">
        <v>1105</v>
      </c>
      <c r="B33" s="324"/>
      <c r="C33" s="324"/>
      <c r="D33" s="324"/>
      <c r="E33" s="324"/>
      <c r="F33" s="324"/>
      <c r="G33" s="324"/>
      <c r="H33" s="324"/>
      <c r="I33" s="324">
        <f>I22*I26</f>
        <v>17691358.41</v>
      </c>
    </row>
    <row r="34" spans="1:9">
      <c r="A34" s="634" t="s">
        <v>1106</v>
      </c>
      <c r="B34" s="324"/>
      <c r="C34" s="324"/>
      <c r="D34" s="324"/>
      <c r="E34" s="324"/>
      <c r="F34" s="324"/>
      <c r="G34" s="324"/>
      <c r="H34" s="324"/>
      <c r="I34" s="635">
        <f>I11*I27</f>
        <v>0.6</v>
      </c>
    </row>
    <row r="35" spans="1:9">
      <c r="A35" s="634" t="s">
        <v>1107</v>
      </c>
      <c r="B35" s="324"/>
      <c r="C35" s="324"/>
      <c r="D35" s="324"/>
      <c r="E35" s="324"/>
      <c r="F35" s="324"/>
      <c r="G35" s="324"/>
      <c r="H35" s="324"/>
      <c r="I35" s="324"/>
    </row>
    <row r="36" spans="1:9">
      <c r="A36" s="634" t="s">
        <v>1108</v>
      </c>
      <c r="B36" s="324"/>
      <c r="C36" s="324"/>
      <c r="D36" s="324"/>
      <c r="E36" s="324"/>
      <c r="F36" s="324"/>
      <c r="G36" s="324"/>
      <c r="H36" s="324"/>
      <c r="I36" s="324">
        <f>I31-I32-I33-I34-I35</f>
        <v>53074074.629999988</v>
      </c>
    </row>
    <row r="37" spans="1:9">
      <c r="A37" s="36" t="s">
        <v>1109</v>
      </c>
      <c r="B37" s="324"/>
      <c r="C37" s="324"/>
      <c r="D37" s="324"/>
      <c r="E37" s="324"/>
      <c r="F37" s="324"/>
      <c r="G37" s="324"/>
      <c r="H37" s="324"/>
      <c r="I37" s="324"/>
    </row>
    <row r="38" spans="1:9">
      <c r="A38" s="636" t="s">
        <v>1110</v>
      </c>
      <c r="B38" s="637">
        <f>B9/B22</f>
        <v>0.7779405260416794</v>
      </c>
      <c r="C38" s="638"/>
      <c r="D38" s="638"/>
      <c r="E38" s="638"/>
      <c r="F38" s="638"/>
      <c r="G38" s="638"/>
      <c r="H38" s="638"/>
      <c r="I38" s="637">
        <f>I9/I22</f>
        <v>0.77794050185657848</v>
      </c>
    </row>
    <row r="39" spans="1:9">
      <c r="A39" s="636" t="s">
        <v>1111</v>
      </c>
      <c r="B39" s="637">
        <f>B10/B22</f>
        <v>0.21840843199132484</v>
      </c>
      <c r="C39" s="638"/>
      <c r="D39" s="638"/>
      <c r="E39" s="638"/>
      <c r="F39" s="638"/>
      <c r="G39" s="638"/>
      <c r="H39" s="638"/>
      <c r="I39" s="637">
        <f>I10/I22</f>
        <v>0.21840842520130707</v>
      </c>
    </row>
    <row r="40" spans="1:9">
      <c r="A40" s="639" t="s">
        <v>1112</v>
      </c>
      <c r="B40" s="640"/>
      <c r="C40" s="640"/>
      <c r="D40" s="640"/>
      <c r="E40" s="640"/>
      <c r="F40" s="640"/>
      <c r="G40" s="640"/>
      <c r="H40" s="640"/>
      <c r="I40" s="640"/>
    </row>
    <row r="41" spans="1:9">
      <c r="A41" s="639" t="s">
        <v>1113</v>
      </c>
      <c r="B41" s="640"/>
      <c r="C41" s="640"/>
      <c r="D41" s="640"/>
      <c r="E41" s="640"/>
      <c r="F41" s="640"/>
      <c r="G41" s="640"/>
      <c r="H41" s="640"/>
      <c r="I41" s="640"/>
    </row>
    <row r="42" spans="1:9">
      <c r="A42" s="636" t="s">
        <v>1114</v>
      </c>
      <c r="B42" s="637">
        <f>B13/B22</f>
        <v>3.6510419669957433E-3</v>
      </c>
      <c r="C42" s="638"/>
      <c r="D42" s="638"/>
      <c r="E42" s="638"/>
      <c r="F42" s="638"/>
      <c r="G42" s="638"/>
      <c r="H42" s="638"/>
      <c r="I42" s="637">
        <f>I13/I22</f>
        <v>3.6510418534898702E-3</v>
      </c>
    </row>
    <row r="43" spans="1:9">
      <c r="A43" s="36" t="s">
        <v>1115</v>
      </c>
      <c r="B43" s="324"/>
      <c r="C43" s="324"/>
      <c r="D43" s="324"/>
      <c r="E43" s="324"/>
      <c r="F43" s="324"/>
      <c r="G43" s="324"/>
      <c r="H43" s="324"/>
      <c r="I43" s="324"/>
    </row>
    <row r="44" spans="1:9">
      <c r="A44" s="641" t="s">
        <v>1116</v>
      </c>
      <c r="B44" s="642"/>
      <c r="C44" s="642"/>
      <c r="D44" s="642"/>
      <c r="E44" s="642"/>
      <c r="F44" s="642"/>
      <c r="G44" s="642"/>
      <c r="H44" s="642"/>
      <c r="I44" s="642">
        <f>I32*I38</f>
        <v>17516321.760000002</v>
      </c>
    </row>
    <row r="45" spans="1:9">
      <c r="A45" s="641" t="s">
        <v>1117</v>
      </c>
      <c r="B45" s="642"/>
      <c r="C45" s="642"/>
      <c r="D45" s="642"/>
      <c r="E45" s="642"/>
      <c r="F45" s="642"/>
      <c r="G45" s="642"/>
      <c r="H45" s="642"/>
      <c r="I45" s="642">
        <f>I33*I38</f>
        <v>13762824.24</v>
      </c>
    </row>
    <row r="46" spans="1:9">
      <c r="A46" s="641" t="s">
        <v>1118</v>
      </c>
      <c r="B46" s="642"/>
      <c r="C46" s="642"/>
      <c r="D46" s="642"/>
      <c r="E46" s="642"/>
      <c r="F46" s="642"/>
      <c r="G46" s="642"/>
      <c r="H46" s="642"/>
      <c r="I46" s="642">
        <f>I32*I39</f>
        <v>4917744.0200000005</v>
      </c>
    </row>
    <row r="47" spans="1:9">
      <c r="A47" s="641" t="s">
        <v>1119</v>
      </c>
      <c r="B47" s="642"/>
      <c r="C47" s="642"/>
      <c r="D47" s="642"/>
      <c r="E47" s="642"/>
      <c r="F47" s="642"/>
      <c r="G47" s="642"/>
      <c r="H47" s="642"/>
      <c r="I47" s="642">
        <f>I33*I39</f>
        <v>3863941.73</v>
      </c>
    </row>
    <row r="48" spans="1:9">
      <c r="A48" s="641" t="s">
        <v>220</v>
      </c>
      <c r="B48" s="642"/>
      <c r="C48" s="642"/>
      <c r="D48" s="642"/>
      <c r="E48" s="642"/>
      <c r="F48" s="642"/>
      <c r="G48" s="642"/>
      <c r="H48" s="642"/>
      <c r="I48" s="642"/>
    </row>
    <row r="49" spans="1:9">
      <c r="A49" s="641" t="s">
        <v>1120</v>
      </c>
      <c r="B49" s="642"/>
      <c r="C49" s="642"/>
      <c r="D49" s="642"/>
      <c r="E49" s="642"/>
      <c r="F49" s="642"/>
      <c r="G49" s="642"/>
      <c r="H49" s="642"/>
      <c r="I49" s="642"/>
    </row>
    <row r="50" spans="1:9">
      <c r="A50" s="641" t="s">
        <v>1121</v>
      </c>
      <c r="B50" s="642"/>
      <c r="C50" s="642"/>
      <c r="D50" s="642"/>
      <c r="E50" s="642"/>
      <c r="F50" s="642"/>
      <c r="G50" s="642"/>
      <c r="H50" s="642"/>
      <c r="I50" s="642"/>
    </row>
    <row r="52" spans="1:9">
      <c r="A52" s="641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404-D0EC-4174-B98F-5FF723F22897}">
  <sheetPr codeName="Tabelle10">
    <tabColor theme="9" tint="-0.499984740745262"/>
  </sheetPr>
  <dimension ref="A2:DB58"/>
  <sheetViews>
    <sheetView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Q8" sqref="Q8"/>
    </sheetView>
  </sheetViews>
  <sheetFormatPr baseColWidth="10" defaultColWidth="9.1796875" defaultRowHeight="14.5"/>
  <cols>
    <col min="2" max="2" width="13.81640625" customWidth="1"/>
    <col min="3" max="3" width="13.7265625" bestFit="1" customWidth="1"/>
    <col min="4" max="5" width="12.54296875" bestFit="1" customWidth="1"/>
    <col min="6" max="6" width="11" bestFit="1" customWidth="1"/>
    <col min="7" max="8" width="12.54296875" bestFit="1" customWidth="1"/>
    <col min="9" max="9" width="10" bestFit="1" customWidth="1"/>
    <col min="10" max="10" width="11" bestFit="1" customWidth="1"/>
    <col min="11" max="13" width="12.54296875" bestFit="1" customWidth="1"/>
    <col min="14" max="15" width="14.7265625" bestFit="1" customWidth="1"/>
    <col min="16" max="16" width="12.54296875" bestFit="1" customWidth="1"/>
    <col min="17" max="17" width="13.7265625" bestFit="1" customWidth="1"/>
    <col min="18" max="18" width="9" bestFit="1" customWidth="1"/>
    <col min="19" max="19" width="12.1796875" customWidth="1"/>
    <col min="20" max="20" width="13.7265625" bestFit="1" customWidth="1"/>
    <col min="21" max="21" width="12.54296875" bestFit="1" customWidth="1"/>
    <col min="22" max="23" width="11" bestFit="1" customWidth="1"/>
    <col min="24" max="26" width="12.54296875" bestFit="1" customWidth="1"/>
    <col min="27" max="28" width="9" bestFit="1" customWidth="1"/>
    <col min="29" max="29" width="10" bestFit="1" customWidth="1"/>
    <col min="30" max="30" width="12.54296875" bestFit="1" customWidth="1"/>
    <col min="31" max="33" width="9" bestFit="1" customWidth="1"/>
    <col min="34" max="34" width="9.7265625" customWidth="1"/>
    <col min="35" max="37" width="9" bestFit="1" customWidth="1"/>
    <col min="38" max="38" width="11" bestFit="1" customWidth="1"/>
    <col min="39" max="39" width="10" bestFit="1" customWidth="1"/>
    <col min="40" max="40" width="13.7265625" bestFit="1" customWidth="1"/>
    <col min="41" max="42" width="12.54296875" bestFit="1" customWidth="1"/>
    <col min="43" max="43" width="9" bestFit="1" customWidth="1"/>
    <col min="44" max="44" width="12.54296875" bestFit="1" customWidth="1"/>
    <col min="45" max="45" width="10" bestFit="1" customWidth="1"/>
    <col min="46" max="47" width="12.54296875" bestFit="1" customWidth="1"/>
    <col min="48" max="48" width="14.7265625" bestFit="1" customWidth="1"/>
    <col min="49" max="50" width="13.7265625" bestFit="1" customWidth="1"/>
    <col min="51" max="51" width="12.54296875" bestFit="1" customWidth="1"/>
    <col min="52" max="52" width="13.7265625" bestFit="1" customWidth="1"/>
    <col min="53" max="53" width="11" bestFit="1" customWidth="1"/>
    <col min="54" max="55" width="13.7265625" bestFit="1" customWidth="1"/>
    <col min="56" max="56" width="12.54296875" bestFit="1" customWidth="1"/>
    <col min="57" max="58" width="13.7265625" bestFit="1" customWidth="1"/>
    <col min="59" max="60" width="12.54296875" bestFit="1" customWidth="1"/>
    <col min="61" max="61" width="13.7265625" bestFit="1" customWidth="1"/>
    <col min="62" max="62" width="14.7265625" bestFit="1" customWidth="1"/>
    <col min="63" max="63" width="12.54296875" bestFit="1" customWidth="1"/>
    <col min="64" max="64" width="13.7265625" bestFit="1" customWidth="1"/>
    <col min="65" max="65" width="9" bestFit="1" customWidth="1"/>
    <col min="66" max="66" width="14.7265625" bestFit="1" customWidth="1"/>
    <col min="67" max="67" width="13.7265625" bestFit="1" customWidth="1"/>
    <col min="68" max="68" width="12.54296875" bestFit="1" customWidth="1"/>
    <col min="69" max="70" width="11" bestFit="1" customWidth="1"/>
    <col min="71" max="73" width="12.54296875" bestFit="1" customWidth="1"/>
    <col min="74" max="75" width="9" bestFit="1" customWidth="1"/>
    <col min="76" max="76" width="10.54296875" bestFit="1" customWidth="1"/>
    <col min="77" max="77" width="12.54296875" bestFit="1" customWidth="1"/>
    <col min="78" max="78" width="9.54296875" bestFit="1" customWidth="1"/>
    <col min="79" max="79" width="9" bestFit="1" customWidth="1"/>
    <col min="80" max="80" width="7.1796875" customWidth="1"/>
    <col min="81" max="84" width="9" bestFit="1" customWidth="1"/>
    <col min="85" max="85" width="12.54296875" bestFit="1" customWidth="1"/>
    <col min="86" max="86" width="10" bestFit="1" customWidth="1"/>
    <col min="87" max="87" width="13.7265625" bestFit="1" customWidth="1"/>
    <col min="88" max="89" width="12.54296875" bestFit="1" customWidth="1"/>
    <col min="90" max="90" width="9" bestFit="1" customWidth="1"/>
    <col min="91" max="91" width="12.54296875" bestFit="1" customWidth="1"/>
    <col min="92" max="92" width="10" bestFit="1" customWidth="1"/>
    <col min="93" max="94" width="12.54296875" bestFit="1" customWidth="1"/>
    <col min="95" max="95" width="13.453125" customWidth="1"/>
    <col min="96" max="96" width="14.7265625" customWidth="1"/>
    <col min="98" max="101" width="11.7265625" customWidth="1"/>
    <col min="102" max="102" width="4.7265625" customWidth="1"/>
    <col min="103" max="106" width="12" customWidth="1"/>
  </cols>
  <sheetData>
    <row r="2" spans="1:106">
      <c r="A2" s="449" t="s">
        <v>948</v>
      </c>
      <c r="B2" s="449" t="s">
        <v>944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  <c r="CH2" s="449"/>
      <c r="CI2" s="449"/>
      <c r="CJ2" s="449"/>
      <c r="CK2" s="449"/>
      <c r="CL2" s="449"/>
      <c r="CM2" s="449"/>
      <c r="CN2" s="449"/>
      <c r="CO2" s="449"/>
      <c r="CP2" s="449"/>
    </row>
    <row r="3" spans="1:106" ht="15" thickBot="1">
      <c r="A3" s="449"/>
      <c r="B3" s="449" t="s">
        <v>943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58" t="s">
        <v>942</v>
      </c>
      <c r="AW3" s="449" t="s">
        <v>941</v>
      </c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 s="449"/>
      <c r="BW3" s="449"/>
      <c r="BX3" s="449"/>
      <c r="BY3" s="449"/>
      <c r="BZ3" s="449"/>
      <c r="CA3" s="449"/>
      <c r="CB3" s="449"/>
      <c r="CC3" s="449"/>
      <c r="CD3" s="449"/>
      <c r="CE3" s="449"/>
      <c r="CF3" s="449"/>
      <c r="CG3" s="449"/>
      <c r="CH3" s="449"/>
      <c r="CI3" s="449"/>
      <c r="CJ3" s="449"/>
      <c r="CK3" s="449"/>
      <c r="CL3" s="449"/>
      <c r="CM3" s="449"/>
      <c r="CN3" s="449"/>
      <c r="CO3" s="449"/>
      <c r="CP3" s="449"/>
    </row>
    <row r="4" spans="1:106" ht="36.5" thickBot="1">
      <c r="A4" s="449"/>
      <c r="B4" s="464" t="s">
        <v>794</v>
      </c>
      <c r="C4" s="464" t="s">
        <v>940</v>
      </c>
      <c r="D4" s="464" t="s">
        <v>939</v>
      </c>
      <c r="E4" s="463" t="s">
        <v>938</v>
      </c>
      <c r="F4" s="463" t="s">
        <v>937</v>
      </c>
      <c r="G4" s="463" t="s">
        <v>936</v>
      </c>
      <c r="H4" s="463" t="s">
        <v>935</v>
      </c>
      <c r="I4" s="463" t="s">
        <v>934</v>
      </c>
      <c r="J4" s="463" t="s">
        <v>933</v>
      </c>
      <c r="K4" s="462" t="s">
        <v>932</v>
      </c>
      <c r="L4" s="460" t="s">
        <v>931</v>
      </c>
      <c r="M4" s="460" t="s">
        <v>930</v>
      </c>
      <c r="N4" s="460" t="s">
        <v>929</v>
      </c>
      <c r="O4" s="460" t="s">
        <v>928</v>
      </c>
      <c r="P4" s="460" t="s">
        <v>927</v>
      </c>
      <c r="Q4" s="460" t="s">
        <v>926</v>
      </c>
      <c r="R4" s="460" t="s">
        <v>925</v>
      </c>
      <c r="S4" s="460" t="s">
        <v>924</v>
      </c>
      <c r="T4" s="460" t="s">
        <v>923</v>
      </c>
      <c r="U4" s="461" t="s">
        <v>922</v>
      </c>
      <c r="V4" s="461" t="s">
        <v>921</v>
      </c>
      <c r="W4" s="461" t="s">
        <v>920</v>
      </c>
      <c r="X4" s="461" t="s">
        <v>919</v>
      </c>
      <c r="Y4" s="460" t="s">
        <v>918</v>
      </c>
      <c r="Z4" s="460" t="s">
        <v>917</v>
      </c>
      <c r="AA4" s="460" t="s">
        <v>916</v>
      </c>
      <c r="AB4" s="460" t="s">
        <v>915</v>
      </c>
      <c r="AC4" s="460" t="s">
        <v>914</v>
      </c>
      <c r="AD4" s="460" t="s">
        <v>913</v>
      </c>
      <c r="AE4" s="460" t="s">
        <v>912</v>
      </c>
      <c r="AF4" s="460" t="s">
        <v>911</v>
      </c>
      <c r="AG4" s="460" t="s">
        <v>910</v>
      </c>
      <c r="AH4" s="460" t="s">
        <v>909</v>
      </c>
      <c r="AI4" s="460" t="s">
        <v>908</v>
      </c>
      <c r="AJ4" s="460" t="s">
        <v>907</v>
      </c>
      <c r="AK4" s="460" t="s">
        <v>906</v>
      </c>
      <c r="AL4" s="460" t="s">
        <v>905</v>
      </c>
      <c r="AM4" s="460" t="s">
        <v>904</v>
      </c>
      <c r="AN4" s="460" t="s">
        <v>903</v>
      </c>
      <c r="AO4" s="460" t="s">
        <v>902</v>
      </c>
      <c r="AP4" s="460" t="s">
        <v>901</v>
      </c>
      <c r="AQ4" s="460" t="s">
        <v>900</v>
      </c>
      <c r="AR4" s="460" t="s">
        <v>899</v>
      </c>
      <c r="AS4" s="460" t="s">
        <v>898</v>
      </c>
      <c r="AT4" s="459" t="s">
        <v>897</v>
      </c>
      <c r="AU4" s="459" t="s">
        <v>896</v>
      </c>
      <c r="AV4" s="458"/>
      <c r="AW4" s="464" t="s">
        <v>794</v>
      </c>
      <c r="AX4" s="464" t="s">
        <v>940</v>
      </c>
      <c r="AY4" s="464" t="s">
        <v>939</v>
      </c>
      <c r="AZ4" s="463" t="s">
        <v>938</v>
      </c>
      <c r="BA4" s="463" t="s">
        <v>937</v>
      </c>
      <c r="BB4" s="463" t="s">
        <v>936</v>
      </c>
      <c r="BC4" s="463" t="s">
        <v>935</v>
      </c>
      <c r="BD4" s="463" t="s">
        <v>934</v>
      </c>
      <c r="BE4" s="463" t="s">
        <v>933</v>
      </c>
      <c r="BF4" s="462" t="s">
        <v>932</v>
      </c>
      <c r="BG4" s="460" t="s">
        <v>931</v>
      </c>
      <c r="BH4" s="460" t="s">
        <v>930</v>
      </c>
      <c r="BI4" s="460" t="s">
        <v>929</v>
      </c>
      <c r="BJ4" s="460" t="s">
        <v>928</v>
      </c>
      <c r="BK4" s="460" t="s">
        <v>927</v>
      </c>
      <c r="BL4" s="460" t="s">
        <v>926</v>
      </c>
      <c r="BM4" s="460" t="s">
        <v>925</v>
      </c>
      <c r="BN4" s="460" t="s">
        <v>924</v>
      </c>
      <c r="BO4" s="460" t="s">
        <v>923</v>
      </c>
      <c r="BP4" s="461" t="s">
        <v>922</v>
      </c>
      <c r="BQ4" s="461" t="s">
        <v>921</v>
      </c>
      <c r="BR4" s="461" t="s">
        <v>920</v>
      </c>
      <c r="BS4" s="461" t="s">
        <v>919</v>
      </c>
      <c r="BT4" s="460" t="s">
        <v>918</v>
      </c>
      <c r="BU4" s="460" t="s">
        <v>917</v>
      </c>
      <c r="BV4" s="460" t="s">
        <v>916</v>
      </c>
      <c r="BW4" s="460" t="s">
        <v>915</v>
      </c>
      <c r="BX4" s="460" t="s">
        <v>914</v>
      </c>
      <c r="BY4" s="460" t="s">
        <v>913</v>
      </c>
      <c r="BZ4" s="460" t="s">
        <v>912</v>
      </c>
      <c r="CA4" s="460" t="s">
        <v>911</v>
      </c>
      <c r="CB4" s="460" t="s">
        <v>910</v>
      </c>
      <c r="CC4" s="460" t="s">
        <v>909</v>
      </c>
      <c r="CD4" s="460" t="s">
        <v>908</v>
      </c>
      <c r="CE4" s="460" t="s">
        <v>907</v>
      </c>
      <c r="CF4" s="460" t="s">
        <v>906</v>
      </c>
      <c r="CG4" s="460" t="s">
        <v>905</v>
      </c>
      <c r="CH4" s="460" t="s">
        <v>904</v>
      </c>
      <c r="CI4" s="460" t="s">
        <v>903</v>
      </c>
      <c r="CJ4" s="460" t="s">
        <v>902</v>
      </c>
      <c r="CK4" s="460" t="s">
        <v>901</v>
      </c>
      <c r="CL4" s="460" t="s">
        <v>900</v>
      </c>
      <c r="CM4" s="460" t="s">
        <v>899</v>
      </c>
      <c r="CN4" s="460" t="s">
        <v>898</v>
      </c>
      <c r="CO4" s="459" t="s">
        <v>897</v>
      </c>
      <c r="CP4" s="459" t="s">
        <v>896</v>
      </c>
      <c r="CT4" s="107" t="s">
        <v>895</v>
      </c>
      <c r="CU4" s="107" t="s">
        <v>894</v>
      </c>
      <c r="CV4" s="107" t="s">
        <v>893</v>
      </c>
      <c r="CY4" s="107" t="s">
        <v>839</v>
      </c>
      <c r="CZ4" s="107" t="s">
        <v>838</v>
      </c>
      <c r="DA4" s="107" t="s">
        <v>837</v>
      </c>
    </row>
    <row r="5" spans="1:106">
      <c r="A5" s="449"/>
      <c r="B5" s="457">
        <v>2</v>
      </c>
      <c r="C5" s="457">
        <v>2</v>
      </c>
      <c r="D5" s="457">
        <v>2</v>
      </c>
      <c r="E5" s="454">
        <v>1</v>
      </c>
      <c r="F5" s="454">
        <v>1</v>
      </c>
      <c r="G5" s="454">
        <v>1</v>
      </c>
      <c r="H5" s="454">
        <v>1</v>
      </c>
      <c r="I5" s="454">
        <v>1</v>
      </c>
      <c r="J5" s="454">
        <v>1</v>
      </c>
      <c r="K5" s="456">
        <v>1</v>
      </c>
      <c r="L5" s="454">
        <v>1</v>
      </c>
      <c r="M5" s="454">
        <v>1</v>
      </c>
      <c r="N5" s="454">
        <v>1</v>
      </c>
      <c r="O5" s="454">
        <v>1</v>
      </c>
      <c r="P5" s="454">
        <v>1</v>
      </c>
      <c r="Q5" s="454">
        <v>1</v>
      </c>
      <c r="R5" s="454">
        <v>1</v>
      </c>
      <c r="S5" s="454">
        <v>1</v>
      </c>
      <c r="T5" s="454">
        <v>1</v>
      </c>
      <c r="U5" s="455">
        <v>2</v>
      </c>
      <c r="V5" s="455">
        <v>2</v>
      </c>
      <c r="W5" s="455">
        <v>2</v>
      </c>
      <c r="X5" s="455">
        <v>2</v>
      </c>
      <c r="Y5" s="454">
        <v>2</v>
      </c>
      <c r="Z5" s="454">
        <v>2</v>
      </c>
      <c r="AA5" s="454">
        <v>4</v>
      </c>
      <c r="AB5" s="454">
        <v>4</v>
      </c>
      <c r="AC5" s="454">
        <v>4</v>
      </c>
      <c r="AD5" s="454">
        <v>4</v>
      </c>
      <c r="AE5" s="454">
        <v>4</v>
      </c>
      <c r="AF5" s="454">
        <v>4</v>
      </c>
      <c r="AG5" s="454">
        <v>4</v>
      </c>
      <c r="AH5" s="454">
        <v>4</v>
      </c>
      <c r="AI5" s="454">
        <v>4</v>
      </c>
      <c r="AJ5" s="454">
        <v>4</v>
      </c>
      <c r="AK5" s="454">
        <v>4</v>
      </c>
      <c r="AL5" s="454">
        <v>4</v>
      </c>
      <c r="AM5" s="454">
        <v>4</v>
      </c>
      <c r="AN5" s="454">
        <v>3</v>
      </c>
      <c r="AO5" s="454">
        <v>3</v>
      </c>
      <c r="AP5" s="454">
        <v>3</v>
      </c>
      <c r="AQ5" s="454">
        <v>3</v>
      </c>
      <c r="AR5" s="454">
        <v>3</v>
      </c>
      <c r="AS5" s="454">
        <v>3</v>
      </c>
      <c r="AT5" s="453">
        <v>3</v>
      </c>
      <c r="AU5" s="453">
        <v>3</v>
      </c>
      <c r="AV5" s="458"/>
      <c r="AW5" s="457">
        <v>2</v>
      </c>
      <c r="AX5" s="457">
        <v>2</v>
      </c>
      <c r="AY5" s="457">
        <v>2</v>
      </c>
      <c r="AZ5" s="454">
        <v>1</v>
      </c>
      <c r="BA5" s="454">
        <v>1</v>
      </c>
      <c r="BB5" s="454">
        <v>1</v>
      </c>
      <c r="BC5" s="454">
        <v>1</v>
      </c>
      <c r="BD5" s="454">
        <v>1</v>
      </c>
      <c r="BE5" s="454">
        <v>1</v>
      </c>
      <c r="BF5" s="456">
        <v>1</v>
      </c>
      <c r="BG5" s="454">
        <v>1</v>
      </c>
      <c r="BH5" s="454">
        <v>1</v>
      </c>
      <c r="BI5" s="454">
        <v>1</v>
      </c>
      <c r="BJ5" s="454">
        <v>1</v>
      </c>
      <c r="BK5" s="454">
        <v>1</v>
      </c>
      <c r="BL5" s="454">
        <v>1</v>
      </c>
      <c r="BM5" s="454">
        <v>1</v>
      </c>
      <c r="BN5" s="454">
        <v>1</v>
      </c>
      <c r="BO5" s="454">
        <v>1</v>
      </c>
      <c r="BP5" s="455">
        <v>2</v>
      </c>
      <c r="BQ5" s="455">
        <v>2</v>
      </c>
      <c r="BR5" s="455">
        <v>2</v>
      </c>
      <c r="BS5" s="455">
        <v>2</v>
      </c>
      <c r="BT5" s="454">
        <v>2</v>
      </c>
      <c r="BU5" s="454">
        <v>2</v>
      </c>
      <c r="BV5" s="454">
        <v>4</v>
      </c>
      <c r="BW5" s="454">
        <v>4</v>
      </c>
      <c r="BX5" s="454">
        <v>4</v>
      </c>
      <c r="BY5" s="454">
        <v>4</v>
      </c>
      <c r="BZ5" s="454">
        <v>4</v>
      </c>
      <c r="CA5" s="454">
        <v>4</v>
      </c>
      <c r="CB5" s="454">
        <v>4</v>
      </c>
      <c r="CC5" s="454">
        <v>4</v>
      </c>
      <c r="CD5" s="454">
        <v>4</v>
      </c>
      <c r="CE5" s="454">
        <v>4</v>
      </c>
      <c r="CF5" s="454">
        <v>4</v>
      </c>
      <c r="CG5" s="454">
        <v>4</v>
      </c>
      <c r="CH5" s="454">
        <v>4</v>
      </c>
      <c r="CI5" s="454">
        <v>3</v>
      </c>
      <c r="CJ5" s="454">
        <v>3</v>
      </c>
      <c r="CK5" s="454">
        <v>3</v>
      </c>
      <c r="CL5" s="454">
        <v>3</v>
      </c>
      <c r="CM5" s="454">
        <v>3</v>
      </c>
      <c r="CN5" s="454">
        <v>3</v>
      </c>
      <c r="CO5" s="453">
        <v>3</v>
      </c>
      <c r="CP5" s="453">
        <v>3</v>
      </c>
      <c r="CT5" s="107"/>
      <c r="CU5" s="107"/>
      <c r="CV5" s="107"/>
      <c r="CX5" s="452"/>
      <c r="CY5" s="107"/>
      <c r="CZ5" s="107"/>
      <c r="DA5" s="107"/>
    </row>
    <row r="6" spans="1:106" ht="43.5">
      <c r="A6" s="450" t="s">
        <v>892</v>
      </c>
      <c r="B6" s="450" t="s">
        <v>891</v>
      </c>
      <c r="C6" s="450" t="s">
        <v>890</v>
      </c>
      <c r="D6" s="450" t="s">
        <v>889</v>
      </c>
      <c r="E6" s="450" t="s">
        <v>888</v>
      </c>
      <c r="F6" s="450" t="s">
        <v>887</v>
      </c>
      <c r="G6" s="450" t="s">
        <v>886</v>
      </c>
      <c r="H6" s="450" t="s">
        <v>885</v>
      </c>
      <c r="I6" s="450" t="s">
        <v>884</v>
      </c>
      <c r="J6" s="450" t="s">
        <v>883</v>
      </c>
      <c r="K6" s="450" t="s">
        <v>882</v>
      </c>
      <c r="L6" s="450" t="s">
        <v>881</v>
      </c>
      <c r="M6" s="450" t="s">
        <v>880</v>
      </c>
      <c r="N6" s="450" t="s">
        <v>879</v>
      </c>
      <c r="O6" s="450" t="s">
        <v>878</v>
      </c>
      <c r="P6" s="450" t="s">
        <v>877</v>
      </c>
      <c r="Q6" s="450" t="s">
        <v>876</v>
      </c>
      <c r="R6" s="450" t="s">
        <v>875</v>
      </c>
      <c r="S6" s="450" t="s">
        <v>874</v>
      </c>
      <c r="T6" s="450" t="s">
        <v>873</v>
      </c>
      <c r="U6" s="450" t="s">
        <v>872</v>
      </c>
      <c r="V6" s="450" t="s">
        <v>871</v>
      </c>
      <c r="W6" s="450" t="s">
        <v>870</v>
      </c>
      <c r="X6" s="450" t="s">
        <v>869</v>
      </c>
      <c r="Y6" s="450" t="s">
        <v>868</v>
      </c>
      <c r="Z6" s="450" t="s">
        <v>867</v>
      </c>
      <c r="AA6" s="450" t="s">
        <v>866</v>
      </c>
      <c r="AB6" s="450" t="s">
        <v>865</v>
      </c>
      <c r="AC6" s="450" t="s">
        <v>864</v>
      </c>
      <c r="AD6" s="450" t="s">
        <v>863</v>
      </c>
      <c r="AE6" s="450" t="s">
        <v>862</v>
      </c>
      <c r="AF6" s="450" t="s">
        <v>861</v>
      </c>
      <c r="AG6" s="450" t="s">
        <v>860</v>
      </c>
      <c r="AH6" s="450" t="s">
        <v>859</v>
      </c>
      <c r="AI6" s="450" t="s">
        <v>858</v>
      </c>
      <c r="AJ6" s="450" t="s">
        <v>857</v>
      </c>
      <c r="AK6" s="450" t="s">
        <v>856</v>
      </c>
      <c r="AL6" s="450" t="s">
        <v>855</v>
      </c>
      <c r="AM6" s="450" t="s">
        <v>854</v>
      </c>
      <c r="AN6" s="450" t="s">
        <v>853</v>
      </c>
      <c r="AO6" s="450" t="s">
        <v>852</v>
      </c>
      <c r="AP6" s="450" t="s">
        <v>851</v>
      </c>
      <c r="AQ6" s="450" t="s">
        <v>850</v>
      </c>
      <c r="AR6" s="450" t="s">
        <v>849</v>
      </c>
      <c r="AS6" s="450" t="s">
        <v>848</v>
      </c>
      <c r="AT6" s="450" t="s">
        <v>847</v>
      </c>
      <c r="AU6" s="450" t="s">
        <v>846</v>
      </c>
      <c r="AV6" s="451"/>
      <c r="AW6" s="450" t="s">
        <v>891</v>
      </c>
      <c r="AX6" s="450" t="s">
        <v>890</v>
      </c>
      <c r="AY6" s="450" t="s">
        <v>889</v>
      </c>
      <c r="AZ6" s="450" t="s">
        <v>888</v>
      </c>
      <c r="BA6" s="450" t="s">
        <v>887</v>
      </c>
      <c r="BB6" s="450" t="s">
        <v>886</v>
      </c>
      <c r="BC6" s="450" t="s">
        <v>885</v>
      </c>
      <c r="BD6" s="450" t="s">
        <v>884</v>
      </c>
      <c r="BE6" s="450" t="s">
        <v>883</v>
      </c>
      <c r="BF6" s="450" t="s">
        <v>882</v>
      </c>
      <c r="BG6" s="450" t="s">
        <v>881</v>
      </c>
      <c r="BH6" s="450" t="s">
        <v>880</v>
      </c>
      <c r="BI6" s="450" t="s">
        <v>879</v>
      </c>
      <c r="BJ6" s="450" t="s">
        <v>878</v>
      </c>
      <c r="BK6" s="450" t="s">
        <v>877</v>
      </c>
      <c r="BL6" s="450" t="s">
        <v>876</v>
      </c>
      <c r="BM6" s="450" t="s">
        <v>875</v>
      </c>
      <c r="BN6" s="450" t="s">
        <v>874</v>
      </c>
      <c r="BO6" s="450" t="s">
        <v>873</v>
      </c>
      <c r="BP6" s="450" t="s">
        <v>872</v>
      </c>
      <c r="BQ6" s="450" t="s">
        <v>871</v>
      </c>
      <c r="BR6" s="450" t="s">
        <v>870</v>
      </c>
      <c r="BS6" s="450" t="s">
        <v>869</v>
      </c>
      <c r="BT6" s="450" t="s">
        <v>868</v>
      </c>
      <c r="BU6" s="450" t="s">
        <v>867</v>
      </c>
      <c r="BV6" s="450" t="s">
        <v>866</v>
      </c>
      <c r="BW6" s="450" t="s">
        <v>865</v>
      </c>
      <c r="BX6" s="450" t="s">
        <v>864</v>
      </c>
      <c r="BY6" s="450" t="s">
        <v>863</v>
      </c>
      <c r="BZ6" s="450" t="s">
        <v>862</v>
      </c>
      <c r="CA6" s="450" t="s">
        <v>861</v>
      </c>
      <c r="CB6" s="450" t="s">
        <v>860</v>
      </c>
      <c r="CC6" s="450" t="s">
        <v>859</v>
      </c>
      <c r="CD6" s="450" t="s">
        <v>858</v>
      </c>
      <c r="CE6" s="450" t="s">
        <v>857</v>
      </c>
      <c r="CF6" s="450" t="s">
        <v>856</v>
      </c>
      <c r="CG6" s="450" t="s">
        <v>855</v>
      </c>
      <c r="CH6" s="450" t="s">
        <v>854</v>
      </c>
      <c r="CI6" s="450" t="s">
        <v>853</v>
      </c>
      <c r="CJ6" s="450" t="s">
        <v>852</v>
      </c>
      <c r="CK6" s="450" t="s">
        <v>851</v>
      </c>
      <c r="CL6" s="450" t="s">
        <v>850</v>
      </c>
      <c r="CM6" s="450" t="s">
        <v>849</v>
      </c>
      <c r="CN6" s="450" t="s">
        <v>848</v>
      </c>
      <c r="CO6" s="450" t="s">
        <v>847</v>
      </c>
      <c r="CP6" s="450" t="s">
        <v>846</v>
      </c>
      <c r="CQ6" s="449" t="s">
        <v>845</v>
      </c>
      <c r="CR6" s="449" t="s">
        <v>844</v>
      </c>
      <c r="CT6" s="447" t="s">
        <v>843</v>
      </c>
      <c r="CU6" s="447" t="s">
        <v>842</v>
      </c>
      <c r="CV6" s="447" t="s">
        <v>841</v>
      </c>
      <c r="CW6" s="447" t="s">
        <v>840</v>
      </c>
      <c r="CX6" s="448"/>
      <c r="CY6" s="447" t="s">
        <v>839</v>
      </c>
      <c r="CZ6" s="447" t="s">
        <v>838</v>
      </c>
      <c r="DA6" s="447" t="s">
        <v>837</v>
      </c>
      <c r="DB6" s="447" t="s">
        <v>836</v>
      </c>
    </row>
    <row r="7" spans="1:106">
      <c r="A7" s="434" t="s">
        <v>835</v>
      </c>
      <c r="B7" s="428">
        <v>537325.6703750001</v>
      </c>
      <c r="C7" s="428">
        <v>121946.62380000002</v>
      </c>
      <c r="D7" s="428">
        <v>0</v>
      </c>
      <c r="E7" s="428"/>
      <c r="F7" s="428"/>
      <c r="G7" s="428"/>
      <c r="H7" s="428"/>
      <c r="I7" s="428"/>
      <c r="J7" s="428"/>
      <c r="K7" s="429">
        <v>8567.4134346850842</v>
      </c>
      <c r="L7" s="429">
        <v>1903.8696521522409</v>
      </c>
      <c r="M7" s="429">
        <v>2733.1045551239831</v>
      </c>
      <c r="N7" s="429">
        <v>200751.90146073996</v>
      </c>
      <c r="O7" s="429">
        <v>438721.53299745038</v>
      </c>
      <c r="P7" s="429"/>
      <c r="Q7" s="429">
        <v>80895.690941288951</v>
      </c>
      <c r="R7" s="429">
        <v>7263.2727407292605</v>
      </c>
      <c r="S7" s="429">
        <v>680620.62215091812</v>
      </c>
      <c r="T7" s="429">
        <v>122562.61612811238</v>
      </c>
      <c r="U7" s="428">
        <v>1617.3456609825673</v>
      </c>
      <c r="V7" s="428">
        <v>8069.4787399157249</v>
      </c>
      <c r="W7" s="428">
        <v>331.92352693805327</v>
      </c>
      <c r="X7" s="428">
        <v>19947.421433563199</v>
      </c>
      <c r="Y7" s="428">
        <v>0</v>
      </c>
      <c r="Z7" s="428">
        <v>0</v>
      </c>
      <c r="AA7" s="429"/>
      <c r="AB7" s="429">
        <v>0.21598370264215871</v>
      </c>
      <c r="AC7" s="429">
        <v>50.547036186962401</v>
      </c>
      <c r="AD7" s="429">
        <v>39826.70172911667</v>
      </c>
      <c r="AE7" s="429">
        <v>3.5231268436440506</v>
      </c>
      <c r="AF7" s="429"/>
      <c r="AG7" s="429">
        <v>5.909877022195186</v>
      </c>
      <c r="AH7" s="429">
        <v>1447.8269022641734</v>
      </c>
      <c r="AI7" s="429">
        <v>316.74276582188133</v>
      </c>
      <c r="AJ7" s="446"/>
      <c r="AK7" s="429">
        <v>4821.6060519544726</v>
      </c>
      <c r="AL7" s="333"/>
      <c r="AM7" s="429">
        <v>760.40621360309683</v>
      </c>
      <c r="AN7" s="429">
        <v>13820.57791558678</v>
      </c>
      <c r="AO7" s="429">
        <v>3762.9476279704086</v>
      </c>
      <c r="AP7" s="430"/>
      <c r="AQ7" s="429">
        <v>6428.534171224841</v>
      </c>
      <c r="AR7" s="429">
        <v>11520.601492870706</v>
      </c>
      <c r="AS7" s="429"/>
      <c r="AT7" s="428">
        <v>16281.727000000001</v>
      </c>
      <c r="AU7" s="428">
        <v>46071.781780000005</v>
      </c>
      <c r="AV7" s="433">
        <v>2409480.4868882541</v>
      </c>
      <c r="AW7" s="428">
        <v>454652.05409722222</v>
      </c>
      <c r="AX7" s="428">
        <v>100578.13746666667</v>
      </c>
      <c r="AY7" s="428">
        <v>0</v>
      </c>
      <c r="AZ7" s="428"/>
      <c r="BA7" s="428"/>
      <c r="BB7" s="428"/>
      <c r="BC7" s="428"/>
      <c r="BD7" s="428"/>
      <c r="BE7" s="428"/>
      <c r="BF7" s="429">
        <v>29726.10711892484</v>
      </c>
      <c r="BG7" s="429">
        <v>6605.801581983299</v>
      </c>
      <c r="BH7" s="429">
        <v>6669.7797140773091</v>
      </c>
      <c r="BI7" s="429">
        <v>280329.83746194618</v>
      </c>
      <c r="BJ7" s="429">
        <v>532023.06422954029</v>
      </c>
      <c r="BK7" s="429"/>
      <c r="BL7" s="429">
        <v>90529.404570838291</v>
      </c>
      <c r="BM7" s="429">
        <v>8902.6772223460412</v>
      </c>
      <c r="BN7" s="429">
        <v>650370.00504747464</v>
      </c>
      <c r="BO7" s="429">
        <v>128087.56138396576</v>
      </c>
      <c r="BP7" s="428">
        <v>1996.8664379789755</v>
      </c>
      <c r="BQ7" s="428">
        <v>9963.034901230234</v>
      </c>
      <c r="BR7" s="428">
        <v>375.25171242477904</v>
      </c>
      <c r="BS7" s="428">
        <v>23647.977409683612</v>
      </c>
      <c r="BT7" s="428">
        <v>0</v>
      </c>
      <c r="BU7" s="428">
        <v>0</v>
      </c>
      <c r="BV7" s="431"/>
      <c r="BW7" s="431">
        <v>0.27605043910586874</v>
      </c>
      <c r="BX7" s="429">
        <v>48.685022820535309</v>
      </c>
      <c r="BY7" s="429">
        <v>54163.678565583621</v>
      </c>
      <c r="BZ7" s="429">
        <v>5.6459538540805339</v>
      </c>
      <c r="CA7" s="429"/>
      <c r="CB7" s="429">
        <v>9.6266313694578045</v>
      </c>
      <c r="CC7" s="429">
        <v>1247.3692519140845</v>
      </c>
      <c r="CD7" s="429">
        <v>272.88841382527949</v>
      </c>
      <c r="CE7" s="430"/>
      <c r="CF7" s="429">
        <v>4197.7613408863799</v>
      </c>
      <c r="CG7" s="333"/>
      <c r="CH7" s="429">
        <v>633.2373486600178</v>
      </c>
      <c r="CI7" s="429">
        <v>6075.4236022276555</v>
      </c>
      <c r="CJ7" s="429">
        <v>2025.1412007425513</v>
      </c>
      <c r="CK7" s="430"/>
      <c r="CL7" s="429">
        <v>6834.4604357045118</v>
      </c>
      <c r="CM7" s="429">
        <v>9493.9817241713681</v>
      </c>
      <c r="CN7" s="429"/>
      <c r="CO7" s="428">
        <v>21144.576444444556</v>
      </c>
      <c r="CP7" s="428">
        <v>72785.876780000006</v>
      </c>
      <c r="CQ7" s="420">
        <f t="shared" ref="CQ7:CQ41" si="0">SUM(B7:AU7)</f>
        <v>2378378.1372717689</v>
      </c>
      <c r="CR7" s="420">
        <f t="shared" ref="CR7:CR41" si="1">SUM(AW7:CP7)</f>
        <v>2503396.189122946</v>
      </c>
      <c r="CT7" s="420">
        <f t="shared" ref="CT7:CT42" si="2">E7+F7+G7+H7+I7+J7+K7+L7+M7+N7+O7+P7+Q7+R7+R7+S7+T7</f>
        <v>1551283.2968019296</v>
      </c>
      <c r="CU7" s="420">
        <f t="shared" ref="CU7:CU42" si="3">B7+C7+D7+U7+V7+W7+X7+Y7+Z7</f>
        <v>689238.46353639977</v>
      </c>
      <c r="CV7" s="420">
        <f t="shared" ref="CV7:CV42" si="4">AN7+AO7+AP7+AQ7+AR7+AS7+AT7+AU7</f>
        <v>97886.169987652742</v>
      </c>
      <c r="CW7" s="420">
        <f t="shared" ref="CW7:CW42" si="5">AA7+AB7+AC7+AD7+AE7+AF7+AG7+AH7+AI7+AJ7+AK7+AL7+AM7</f>
        <v>47233.479686515748</v>
      </c>
      <c r="CX7" s="427"/>
      <c r="CY7" s="420">
        <f t="shared" ref="CY7:CY42" si="6">AZ7+BA7+BB7+BC7+BD7+BE7+BF7+BG7+BH7+BI7+BJ7+BK7+BL7+BM7+BN7+BO7</f>
        <v>1733244.2383310965</v>
      </c>
      <c r="CZ7" s="420">
        <f t="shared" ref="CZ7:CZ42" si="7">AW7+AX7+AY7+BP7+BQ7+BR7+BS7+BT7+BU7</f>
        <v>591213.32202520652</v>
      </c>
      <c r="DA7" s="420">
        <f t="shared" ref="DA7:DA42" si="8">CI7+CJ7+CK7+CL7+CM7+CN7+CO7+CP7</f>
        <v>118359.46018729065</v>
      </c>
      <c r="DB7" s="420">
        <f t="shared" ref="DB7:DB42" si="9">BV7+BW7+BX7+BY7+BZ7+CA7+CB7+CC7+CD7+CE7+CF7+CG7+CH7</f>
        <v>60579.168579352561</v>
      </c>
    </row>
    <row r="8" spans="1:106" s="23" customFormat="1">
      <c r="A8" s="467" t="s">
        <v>834</v>
      </c>
      <c r="B8" s="468">
        <v>8152036.820785</v>
      </c>
      <c r="C8" s="468">
        <v>1461293.7622</v>
      </c>
      <c r="D8" s="468">
        <v>0</v>
      </c>
      <c r="E8" s="468">
        <v>19714.163970974267</v>
      </c>
      <c r="F8" s="468">
        <v>838.66983876062795</v>
      </c>
      <c r="G8" s="468">
        <v>13727.223173243299</v>
      </c>
      <c r="H8" s="468">
        <v>30879.175221828336</v>
      </c>
      <c r="I8" s="468">
        <v>1258.4835052509684</v>
      </c>
      <c r="J8" s="468">
        <v>20999.269791142775</v>
      </c>
      <c r="K8" s="469">
        <v>60656.556690795922</v>
      </c>
      <c r="L8" s="469">
        <v>13479.234820176871</v>
      </c>
      <c r="M8" s="469">
        <v>74417.354292762204</v>
      </c>
      <c r="N8" s="469">
        <v>1335942.5959476323</v>
      </c>
      <c r="O8" s="469">
        <v>2149451.0826672567</v>
      </c>
      <c r="P8" s="469">
        <v>127314.58055718288</v>
      </c>
      <c r="Q8" s="469">
        <v>30901.574332854583</v>
      </c>
      <c r="R8" s="469">
        <v>49313.391550106295</v>
      </c>
      <c r="S8" s="469">
        <v>2464287.4907616908</v>
      </c>
      <c r="T8" s="469">
        <v>431779.75274354324</v>
      </c>
      <c r="U8" s="468">
        <v>495286.42457704869</v>
      </c>
      <c r="V8" s="468">
        <v>9429.1989813479631</v>
      </c>
      <c r="W8" s="468">
        <v>123105.33745457411</v>
      </c>
      <c r="X8" s="468">
        <v>349662.8382126856</v>
      </c>
      <c r="Y8" s="468">
        <v>191092.19453891739</v>
      </c>
      <c r="Z8" s="468">
        <v>1273788.7236166324</v>
      </c>
      <c r="AA8" s="469"/>
      <c r="AB8" s="469"/>
      <c r="AC8" s="469">
        <v>253.08689036358618</v>
      </c>
      <c r="AD8" s="469"/>
      <c r="AE8" s="469"/>
      <c r="AF8" s="469">
        <v>275.82430095213851</v>
      </c>
      <c r="AG8" s="469"/>
      <c r="AH8" s="469">
        <v>29997.508006143878</v>
      </c>
      <c r="AI8" s="469">
        <v>5054.8009899495</v>
      </c>
      <c r="AJ8" s="469">
        <v>162.49943866824574</v>
      </c>
      <c r="AK8" s="469">
        <v>13500.695977369194</v>
      </c>
      <c r="AL8" s="470"/>
      <c r="AM8" s="469">
        <v>31168.732329369741</v>
      </c>
      <c r="AN8" s="471">
        <v>371449.44060000003</v>
      </c>
      <c r="AO8" s="471">
        <v>26705.896130134541</v>
      </c>
      <c r="AP8" s="471">
        <v>44176.061116512006</v>
      </c>
      <c r="AQ8" s="469">
        <v>26324.587914870059</v>
      </c>
      <c r="AR8" s="469">
        <v>37726.115089665116</v>
      </c>
      <c r="AS8" s="469">
        <v>250773.15011450477</v>
      </c>
      <c r="AT8" s="468">
        <v>88194.029091233882</v>
      </c>
      <c r="AU8" s="468">
        <v>221872.37522951988</v>
      </c>
      <c r="AV8" s="472">
        <v>13146440.857563134</v>
      </c>
      <c r="AW8" s="468">
        <v>7993082.2697627777</v>
      </c>
      <c r="AX8" s="468">
        <v>1461831.4138666668</v>
      </c>
      <c r="AY8" s="468">
        <v>0</v>
      </c>
      <c r="AZ8" s="468">
        <v>142675.11629393269</v>
      </c>
      <c r="BA8" s="468">
        <v>6062.7112419992009</v>
      </c>
      <c r="BB8" s="468">
        <v>99283.666749662952</v>
      </c>
      <c r="BC8" s="468">
        <v>443094.54812437011</v>
      </c>
      <c r="BD8" s="468">
        <v>18057.40148849801</v>
      </c>
      <c r="BE8" s="468">
        <v>301316.11785238876</v>
      </c>
      <c r="BF8" s="469">
        <v>141532.90016154505</v>
      </c>
      <c r="BG8" s="469">
        <v>31451.755591454461</v>
      </c>
      <c r="BH8" s="469">
        <v>176075.03798871269</v>
      </c>
      <c r="BI8" s="469">
        <v>1249242.0955431617</v>
      </c>
      <c r="BJ8" s="469">
        <v>1027172.5082343295</v>
      </c>
      <c r="BK8" s="469">
        <v>138148.63919845235</v>
      </c>
      <c r="BL8" s="469">
        <v>29436.435749741919</v>
      </c>
      <c r="BM8" s="469">
        <v>35257.978220705198</v>
      </c>
      <c r="BN8" s="469">
        <v>2193952.4891017354</v>
      </c>
      <c r="BO8" s="469">
        <v>368622.99199680949</v>
      </c>
      <c r="BP8" s="468">
        <v>349587.91597201937</v>
      </c>
      <c r="BQ8" s="468">
        <v>6655.4095925197962</v>
      </c>
      <c r="BR8" s="468">
        <v>134805.30318489426</v>
      </c>
      <c r="BS8" s="468">
        <v>325786.48634433129</v>
      </c>
      <c r="BT8" s="468">
        <v>156297.83674991515</v>
      </c>
      <c r="BU8" s="468">
        <v>1273788.7236166324</v>
      </c>
      <c r="BV8" s="473"/>
      <c r="BW8" s="473"/>
      <c r="BX8" s="469">
        <v>259.4521434603127</v>
      </c>
      <c r="BY8" s="469"/>
      <c r="BZ8" s="469"/>
      <c r="CA8" s="469">
        <v>373.91029990957946</v>
      </c>
      <c r="CB8" s="469"/>
      <c r="CC8" s="469">
        <v>30082.824586493487</v>
      </c>
      <c r="CD8" s="469">
        <v>5069.1774619791768</v>
      </c>
      <c r="CE8" s="469">
        <v>154.51174583889443</v>
      </c>
      <c r="CF8" s="469">
        <v>13681.610382176425</v>
      </c>
      <c r="CG8" s="470"/>
      <c r="CH8" s="469">
        <v>30163.532349465793</v>
      </c>
      <c r="CI8" s="471">
        <v>325234.8492</v>
      </c>
      <c r="CJ8" s="471">
        <v>23383.231070708385</v>
      </c>
      <c r="CK8" s="471">
        <v>47095.408038510002</v>
      </c>
      <c r="CL8" s="469">
        <v>43868.53844010365</v>
      </c>
      <c r="CM8" s="469">
        <v>36129.131113160256</v>
      </c>
      <c r="CN8" s="469">
        <v>242685.6487432018</v>
      </c>
      <c r="CO8" s="468">
        <v>93581.932985696447</v>
      </c>
      <c r="CP8" s="468">
        <v>251470.86026013977</v>
      </c>
      <c r="CQ8" s="419">
        <f t="shared" si="0"/>
        <v>20028290.703450661</v>
      </c>
      <c r="CR8" s="419">
        <f t="shared" si="1"/>
        <v>19246452.3714481</v>
      </c>
      <c r="CT8" s="419">
        <f t="shared" si="2"/>
        <v>6874273.9914153088</v>
      </c>
      <c r="CU8" s="419">
        <f t="shared" si="3"/>
        <v>12055695.300366206</v>
      </c>
      <c r="CV8" s="419">
        <f t="shared" si="4"/>
        <v>1067221.6552864402</v>
      </c>
      <c r="CW8" s="419">
        <f t="shared" si="5"/>
        <v>80413.147932816282</v>
      </c>
      <c r="CX8" s="155"/>
      <c r="CY8" s="419">
        <f t="shared" si="6"/>
        <v>6401382.3935374999</v>
      </c>
      <c r="CZ8" s="419">
        <f t="shared" si="7"/>
        <v>11701835.359089756</v>
      </c>
      <c r="DA8" s="419">
        <f t="shared" si="8"/>
        <v>1063449.5998515203</v>
      </c>
      <c r="DB8" s="419">
        <f t="shared" si="9"/>
        <v>79785.018969323661</v>
      </c>
    </row>
    <row r="9" spans="1:106">
      <c r="A9" s="434" t="s">
        <v>833</v>
      </c>
      <c r="B9" s="428">
        <v>1611140.8755000001</v>
      </c>
      <c r="C9" s="428">
        <v>206558.19108480899</v>
      </c>
      <c r="D9" s="428">
        <v>0</v>
      </c>
      <c r="E9" s="428"/>
      <c r="F9" s="428"/>
      <c r="G9" s="428"/>
      <c r="H9" s="428"/>
      <c r="I9" s="428"/>
      <c r="J9" s="428"/>
      <c r="K9" s="429">
        <v>10008.866306772767</v>
      </c>
      <c r="L9" s="429">
        <v>2224.1925126161705</v>
      </c>
      <c r="M9" s="429">
        <v>4857.7486116232712</v>
      </c>
      <c r="N9" s="429">
        <v>197462.07336420956</v>
      </c>
      <c r="O9" s="429">
        <v>1351993.9329653101</v>
      </c>
      <c r="P9" s="429"/>
      <c r="Q9" s="429">
        <v>115751.13110300283</v>
      </c>
      <c r="R9" s="429">
        <v>11791.850044017139</v>
      </c>
      <c r="S9" s="429"/>
      <c r="T9" s="429"/>
      <c r="U9" s="428">
        <v>103695.95307241048</v>
      </c>
      <c r="V9" s="428">
        <v>62894.041469727599</v>
      </c>
      <c r="W9" s="428">
        <v>9006.5483139398239</v>
      </c>
      <c r="X9" s="428">
        <v>63424.431093014107</v>
      </c>
      <c r="Y9" s="428">
        <v>10862.208000000001</v>
      </c>
      <c r="Z9" s="428">
        <v>75432</v>
      </c>
      <c r="AA9" s="429"/>
      <c r="AB9" s="429"/>
      <c r="AC9" s="429">
        <v>63.003766217704637</v>
      </c>
      <c r="AD9" s="429"/>
      <c r="AE9" s="429">
        <v>7.1718749952083063E-3</v>
      </c>
      <c r="AF9" s="429"/>
      <c r="AG9" s="429">
        <v>1.3008130072609786E-2</v>
      </c>
      <c r="AH9" s="429">
        <v>2949.5338982943299</v>
      </c>
      <c r="AI9" s="333"/>
      <c r="AJ9" s="429">
        <v>10.257967643567415</v>
      </c>
      <c r="AK9" s="429">
        <v>3312.2582261071179</v>
      </c>
      <c r="AL9" s="333"/>
      <c r="AM9" s="429">
        <v>1789.8045107040127</v>
      </c>
      <c r="AN9" s="430">
        <v>6815.8344437363421</v>
      </c>
      <c r="AO9" s="430">
        <v>19097.49868186942</v>
      </c>
      <c r="AP9" s="430"/>
      <c r="AQ9" s="429">
        <v>7094.5365489225587</v>
      </c>
      <c r="AR9" s="429">
        <v>12591.899048527044</v>
      </c>
      <c r="AS9" s="429">
        <v>406.01462028737728</v>
      </c>
      <c r="AT9" s="428">
        <v>31389.396499999999</v>
      </c>
      <c r="AU9" s="428">
        <v>106974.11069999999</v>
      </c>
      <c r="AV9" s="433">
        <v>2312813.4393414473</v>
      </c>
      <c r="AW9" s="428">
        <v>1325012.6629999999</v>
      </c>
      <c r="AX9" s="428">
        <v>169832.76825868175</v>
      </c>
      <c r="AY9" s="428">
        <v>0</v>
      </c>
      <c r="AZ9" s="428"/>
      <c r="BA9" s="428"/>
      <c r="BB9" s="428"/>
      <c r="BC9" s="428"/>
      <c r="BD9" s="428"/>
      <c r="BE9" s="428"/>
      <c r="BF9" s="429">
        <v>30136.688998991533</v>
      </c>
      <c r="BG9" s="429">
        <v>6697.0419997758972</v>
      </c>
      <c r="BH9" s="429">
        <v>11854.417894110895</v>
      </c>
      <c r="BI9" s="429">
        <v>267076.61027743755</v>
      </c>
      <c r="BJ9" s="429">
        <v>1913420.8005447846</v>
      </c>
      <c r="BK9" s="429"/>
      <c r="BL9" s="429">
        <v>117814.68170176631</v>
      </c>
      <c r="BM9" s="429">
        <v>19476.881131101527</v>
      </c>
      <c r="BN9" s="429"/>
      <c r="BO9" s="429"/>
      <c r="BP9" s="428">
        <v>106463.95873031631</v>
      </c>
      <c r="BQ9" s="428">
        <v>64572.902191661429</v>
      </c>
      <c r="BR9" s="428">
        <v>10182.232964984074</v>
      </c>
      <c r="BS9" s="428">
        <v>68576.148260546019</v>
      </c>
      <c r="BT9" s="428">
        <v>10359.328000000001</v>
      </c>
      <c r="BU9" s="428">
        <v>75432</v>
      </c>
      <c r="BV9" s="431"/>
      <c r="BW9" s="431"/>
      <c r="BX9" s="429">
        <v>59.182541050025286</v>
      </c>
      <c r="BY9" s="429"/>
      <c r="BZ9" s="429">
        <v>1.5120422689545478E-2</v>
      </c>
      <c r="CA9" s="429"/>
      <c r="CB9" s="429">
        <v>2.742496560939223E-2</v>
      </c>
      <c r="CC9" s="429">
        <v>2538.6713443108206</v>
      </c>
      <c r="CD9" s="333"/>
      <c r="CE9" s="429">
        <v>8.3712558433558595</v>
      </c>
      <c r="CF9" s="429">
        <v>2880.8782462030535</v>
      </c>
      <c r="CG9" s="333"/>
      <c r="CH9" s="429">
        <v>1489.0221560002233</v>
      </c>
      <c r="CI9" s="430">
        <v>30803.465265997282</v>
      </c>
      <c r="CJ9" s="430">
        <v>10267.821755332427</v>
      </c>
      <c r="CK9" s="430"/>
      <c r="CL9" s="429">
        <v>7608.8488782013874</v>
      </c>
      <c r="CM9" s="429">
        <v>10366.667449678054</v>
      </c>
      <c r="CN9" s="429">
        <v>337.7825687958063</v>
      </c>
      <c r="CO9" s="428">
        <v>40373.842055555557</v>
      </c>
      <c r="CP9" s="428">
        <v>156330.22071111124</v>
      </c>
      <c r="CQ9" s="420">
        <f t="shared" si="0"/>
        <v>4029598.2125337687</v>
      </c>
      <c r="CR9" s="420">
        <f t="shared" si="1"/>
        <v>4459973.940727626</v>
      </c>
      <c r="CT9" s="420">
        <f t="shared" si="2"/>
        <v>1705881.6449515691</v>
      </c>
      <c r="CU9" s="420">
        <f t="shared" si="3"/>
        <v>2143014.2485339008</v>
      </c>
      <c r="CV9" s="420">
        <f t="shared" si="4"/>
        <v>184369.29054334274</v>
      </c>
      <c r="CW9" s="420">
        <f t="shared" si="5"/>
        <v>8124.8785489718002</v>
      </c>
      <c r="CX9" s="427"/>
      <c r="CY9" s="420">
        <f t="shared" si="6"/>
        <v>2366477.1225479683</v>
      </c>
      <c r="CZ9" s="420">
        <f t="shared" si="7"/>
        <v>1830432.0014061895</v>
      </c>
      <c r="DA9" s="420">
        <f t="shared" si="8"/>
        <v>256088.64868467173</v>
      </c>
      <c r="DB9" s="420">
        <f t="shared" si="9"/>
        <v>6976.1680887957773</v>
      </c>
    </row>
    <row r="10" spans="1:106">
      <c r="A10" s="434" t="s">
        <v>832</v>
      </c>
      <c r="B10" s="428">
        <v>2105997.3047100003</v>
      </c>
      <c r="C10" s="428">
        <v>776484.66369999992</v>
      </c>
      <c r="D10" s="428">
        <v>0</v>
      </c>
      <c r="E10" s="428">
        <v>124350.5793767985</v>
      </c>
      <c r="F10" s="428">
        <v>5377.322351429123</v>
      </c>
      <c r="G10" s="428">
        <v>87381.48821072327</v>
      </c>
      <c r="H10" s="428">
        <v>79108.084048651188</v>
      </c>
      <c r="I10" s="428">
        <v>3420.8901210227536</v>
      </c>
      <c r="J10" s="428">
        <v>55589.464466619756</v>
      </c>
      <c r="K10" s="429">
        <v>134808.09508083208</v>
      </c>
      <c r="L10" s="429">
        <v>29957.354462407129</v>
      </c>
      <c r="M10" s="429">
        <v>11049.696326494699</v>
      </c>
      <c r="N10" s="429">
        <v>3719839.335274871</v>
      </c>
      <c r="O10" s="429">
        <v>8990715.5808635727</v>
      </c>
      <c r="P10" s="429"/>
      <c r="Q10" s="429">
        <v>116044.61167828261</v>
      </c>
      <c r="R10" s="429">
        <v>106957.84471660457</v>
      </c>
      <c r="S10" s="429">
        <v>305430.35838273534</v>
      </c>
      <c r="T10" s="429">
        <v>175547.11213642248</v>
      </c>
      <c r="U10" s="428">
        <v>61407.758287209093</v>
      </c>
      <c r="V10" s="428">
        <v>15491.741806756689</v>
      </c>
      <c r="W10" s="428">
        <v>22586.155279203675</v>
      </c>
      <c r="X10" s="428">
        <v>109940.54825231463</v>
      </c>
      <c r="Y10" s="428">
        <v>19205.41705184375</v>
      </c>
      <c r="Z10" s="428">
        <v>129752.96784690238</v>
      </c>
      <c r="AA10" s="429">
        <v>6.8490926688354534</v>
      </c>
      <c r="AB10" s="429"/>
      <c r="AC10" s="429">
        <v>201.28325486675391</v>
      </c>
      <c r="AD10" s="429">
        <v>308162.59515204397</v>
      </c>
      <c r="AE10" s="429"/>
      <c r="AF10" s="429"/>
      <c r="AG10" s="429"/>
      <c r="AH10" s="429">
        <v>15727.503472240352</v>
      </c>
      <c r="AI10" s="429">
        <v>2223.9453463226196</v>
      </c>
      <c r="AJ10" s="429">
        <v>108.0342387587945</v>
      </c>
      <c r="AK10" s="429">
        <v>15776.139138727893</v>
      </c>
      <c r="AL10" s="333"/>
      <c r="AM10" s="429">
        <v>4856.9960263032899</v>
      </c>
      <c r="AN10" s="430">
        <v>296197.59232</v>
      </c>
      <c r="AO10" s="430">
        <v>22120.259599713307</v>
      </c>
      <c r="AP10" s="430">
        <v>31145.331639552001</v>
      </c>
      <c r="AQ10" s="429">
        <v>35182.921965031666</v>
      </c>
      <c r="AR10" s="429">
        <v>26597.943235376908</v>
      </c>
      <c r="AS10" s="429">
        <v>110194.0026631829</v>
      </c>
      <c r="AT10" s="428">
        <v>7471.7121471092069</v>
      </c>
      <c r="AU10" s="428">
        <v>28732.977643578284</v>
      </c>
      <c r="AV10" s="433">
        <v>15551531.063749541</v>
      </c>
      <c r="AW10" s="428">
        <v>2121004.730765556</v>
      </c>
      <c r="AX10" s="428">
        <v>769948.81425555551</v>
      </c>
      <c r="AY10" s="428">
        <v>0</v>
      </c>
      <c r="AZ10" s="428">
        <v>835680.80953249033</v>
      </c>
      <c r="BA10" s="428">
        <v>36137.548520323915</v>
      </c>
      <c r="BB10" s="428">
        <v>587235.16345526325</v>
      </c>
      <c r="BC10" s="428">
        <v>1155912.9833746408</v>
      </c>
      <c r="BD10" s="428">
        <v>49985.426308092596</v>
      </c>
      <c r="BE10" s="428">
        <v>812263.17750650435</v>
      </c>
      <c r="BF10" s="429">
        <v>318063.70293068659</v>
      </c>
      <c r="BG10" s="429">
        <v>70680.822873485915</v>
      </c>
      <c r="BH10" s="429">
        <v>27868.352942240352</v>
      </c>
      <c r="BI10" s="429">
        <v>3614826.5451081777</v>
      </c>
      <c r="BJ10" s="429">
        <v>11809620.463019956</v>
      </c>
      <c r="BK10" s="429"/>
      <c r="BL10" s="429">
        <v>97877.758737350989</v>
      </c>
      <c r="BM10" s="429">
        <v>116787.28359962952</v>
      </c>
      <c r="BN10" s="429">
        <v>283081.35867155634</v>
      </c>
      <c r="BO10" s="429">
        <v>141633.71684987459</v>
      </c>
      <c r="BP10" s="428">
        <v>67566.430393674542</v>
      </c>
      <c r="BQ10" s="428">
        <v>17045.430799922728</v>
      </c>
      <c r="BR10" s="428">
        <v>23948.620376801064</v>
      </c>
      <c r="BS10" s="428">
        <v>118812.16350334353</v>
      </c>
      <c r="BT10" s="428">
        <v>18316.277373517634</v>
      </c>
      <c r="BU10" s="428">
        <v>129752.96784690238</v>
      </c>
      <c r="BV10" s="431">
        <v>2.9198015025543409</v>
      </c>
      <c r="BW10" s="431"/>
      <c r="BX10" s="429">
        <v>199.23995166681098</v>
      </c>
      <c r="BY10" s="429">
        <v>393278.23836576164</v>
      </c>
      <c r="BZ10" s="429"/>
      <c r="CA10" s="429"/>
      <c r="CB10" s="429"/>
      <c r="CC10" s="429">
        <v>13610.275715679438</v>
      </c>
      <c r="CD10" s="429">
        <v>1924.5590626305136</v>
      </c>
      <c r="CE10" s="429">
        <v>88.643062249850956</v>
      </c>
      <c r="CF10" s="429">
        <v>13796.07317137163</v>
      </c>
      <c r="CG10" s="333"/>
      <c r="CH10" s="429">
        <v>4034.0531299612348</v>
      </c>
      <c r="CI10" s="430">
        <v>222581.82336000001</v>
      </c>
      <c r="CJ10" s="430">
        <v>16622.578449528741</v>
      </c>
      <c r="CK10" s="430">
        <v>28496.750468940001</v>
      </c>
      <c r="CL10" s="429">
        <v>82486.997969522796</v>
      </c>
      <c r="CM10" s="429">
        <v>21861.214858770709</v>
      </c>
      <c r="CN10" s="429">
        <v>91523.332310548503</v>
      </c>
      <c r="CO10" s="428">
        <v>9615.1155460378741</v>
      </c>
      <c r="CP10" s="428">
        <v>40507.778133796804</v>
      </c>
      <c r="CQ10" s="420">
        <f t="shared" si="0"/>
        <v>18091150.461367175</v>
      </c>
      <c r="CR10" s="420">
        <f t="shared" si="1"/>
        <v>24164680.142103519</v>
      </c>
      <c r="CT10" s="420">
        <f t="shared" si="2"/>
        <v>14052535.662214071</v>
      </c>
      <c r="CU10" s="420">
        <f t="shared" si="3"/>
        <v>3240866.556934231</v>
      </c>
      <c r="CV10" s="420">
        <f t="shared" si="4"/>
        <v>557642.74121354427</v>
      </c>
      <c r="CW10" s="420">
        <f t="shared" si="5"/>
        <v>347063.34572193248</v>
      </c>
      <c r="CX10" s="427"/>
      <c r="CY10" s="420">
        <f t="shared" si="6"/>
        <v>19957655.113430277</v>
      </c>
      <c r="CZ10" s="420">
        <f t="shared" si="7"/>
        <v>3266395.4353152742</v>
      </c>
      <c r="DA10" s="420">
        <f t="shared" si="8"/>
        <v>513695.59109714546</v>
      </c>
      <c r="DB10" s="420">
        <f t="shared" si="9"/>
        <v>426934.00226082373</v>
      </c>
    </row>
    <row r="11" spans="1:106">
      <c r="A11" s="434" t="s">
        <v>831</v>
      </c>
      <c r="B11" s="428">
        <v>1599628.7691799998</v>
      </c>
      <c r="C11" s="428">
        <v>253394.02420000001</v>
      </c>
      <c r="D11" s="428">
        <v>0</v>
      </c>
      <c r="E11" s="428">
        <v>17580.956706902161</v>
      </c>
      <c r="F11" s="428">
        <v>742.0056322942894</v>
      </c>
      <c r="G11" s="428">
        <v>13119.590359864273</v>
      </c>
      <c r="H11" s="428">
        <v>23578.760181338384</v>
      </c>
      <c r="I11" s="428">
        <v>1018.8239156862654</v>
      </c>
      <c r="J11" s="428">
        <v>16602.329153298349</v>
      </c>
      <c r="K11" s="429">
        <v>14631.001766772568</v>
      </c>
      <c r="L11" s="429">
        <v>3251.3337259494597</v>
      </c>
      <c r="M11" s="429">
        <v>96371.804785733199</v>
      </c>
      <c r="N11" s="429">
        <v>911660.34760224633</v>
      </c>
      <c r="O11" s="429">
        <v>1221964.9954619105</v>
      </c>
      <c r="P11" s="429">
        <v>128675.02597337097</v>
      </c>
      <c r="Q11" s="429">
        <v>13438.546807698685</v>
      </c>
      <c r="R11" s="429">
        <v>39079.931553494389</v>
      </c>
      <c r="S11" s="429">
        <v>4741640.4423007462</v>
      </c>
      <c r="T11" s="429">
        <v>498222.6920370374</v>
      </c>
      <c r="U11" s="428">
        <v>71406.03816097723</v>
      </c>
      <c r="V11" s="428">
        <v>17852.586002831329</v>
      </c>
      <c r="W11" s="428">
        <v>45470.120991042277</v>
      </c>
      <c r="X11" s="428">
        <v>104205.59889952748</v>
      </c>
      <c r="Y11" s="428">
        <v>49984.637643600407</v>
      </c>
      <c r="Z11" s="428">
        <v>233617.34157886953</v>
      </c>
      <c r="AA11" s="429"/>
      <c r="AB11" s="429"/>
      <c r="AC11" s="429">
        <v>453.97956236459891</v>
      </c>
      <c r="AD11" s="429"/>
      <c r="AE11" s="429"/>
      <c r="AF11" s="429">
        <v>324.39080742465819</v>
      </c>
      <c r="AG11" s="429"/>
      <c r="AH11" s="429">
        <v>82591.467840953759</v>
      </c>
      <c r="AI11" s="429">
        <v>2811.7058768012644</v>
      </c>
      <c r="AJ11" s="429">
        <v>32.112646724742675</v>
      </c>
      <c r="AK11" s="429">
        <v>17073.103349950976</v>
      </c>
      <c r="AL11" s="333"/>
      <c r="AM11" s="429">
        <v>71364.403350970795</v>
      </c>
      <c r="AN11" s="430">
        <v>1940504.78776</v>
      </c>
      <c r="AO11" s="430">
        <v>171651.17700191532</v>
      </c>
      <c r="AP11" s="430">
        <v>53433.714060480008</v>
      </c>
      <c r="AQ11" s="429">
        <v>55418.529451932911</v>
      </c>
      <c r="AR11" s="429">
        <v>45632.100177452186</v>
      </c>
      <c r="AS11" s="429">
        <v>506141.08820169664</v>
      </c>
      <c r="AT11" s="428">
        <v>153429.6869690895</v>
      </c>
      <c r="AU11" s="428">
        <v>211174.24493616831</v>
      </c>
      <c r="AV11" s="433">
        <v>16516682.879079174</v>
      </c>
      <c r="AW11" s="428">
        <v>1658541.8742966668</v>
      </c>
      <c r="AX11" s="428">
        <v>260472.03520000004</v>
      </c>
      <c r="AY11" s="428">
        <v>0</v>
      </c>
      <c r="AZ11" s="428">
        <v>75539.306430111508</v>
      </c>
      <c r="BA11" s="428">
        <v>3182.3500420872233</v>
      </c>
      <c r="BB11" s="428">
        <v>56613.253123719609</v>
      </c>
      <c r="BC11" s="428">
        <v>617413.64547626185</v>
      </c>
      <c r="BD11" s="428">
        <v>26108.732055941946</v>
      </c>
      <c r="BE11" s="428">
        <v>458610.08627173887</v>
      </c>
      <c r="BF11" s="429">
        <v>34650.43594052206</v>
      </c>
      <c r="BG11" s="429">
        <v>7700.0968756715693</v>
      </c>
      <c r="BH11" s="429">
        <v>232122.87239565604</v>
      </c>
      <c r="BI11" s="429">
        <v>972387.36207106058</v>
      </c>
      <c r="BJ11" s="429">
        <v>1222681.4987045657</v>
      </c>
      <c r="BK11" s="429">
        <v>127604.4382540769</v>
      </c>
      <c r="BL11" s="429">
        <v>15124.345579636658</v>
      </c>
      <c r="BM11" s="429">
        <v>39923.276596764335</v>
      </c>
      <c r="BN11" s="429">
        <v>4324031.7610190501</v>
      </c>
      <c r="BO11" s="429">
        <v>482577.89464307675</v>
      </c>
      <c r="BP11" s="428">
        <v>50683.782198346293</v>
      </c>
      <c r="BQ11" s="428">
        <v>12671.709619358695</v>
      </c>
      <c r="BR11" s="428">
        <v>39702.349063007132</v>
      </c>
      <c r="BS11" s="428">
        <v>83002.891515568088</v>
      </c>
      <c r="BT11" s="428">
        <v>47670.534048989299</v>
      </c>
      <c r="BU11" s="428">
        <v>233617.34157886953</v>
      </c>
      <c r="BV11" s="431"/>
      <c r="BW11" s="431"/>
      <c r="BX11" s="429">
        <v>580.41472756330506</v>
      </c>
      <c r="BY11" s="429"/>
      <c r="BZ11" s="429"/>
      <c r="CA11" s="429">
        <v>364.58353164219426</v>
      </c>
      <c r="CB11" s="429"/>
      <c r="CC11" s="429">
        <v>82195.969232679359</v>
      </c>
      <c r="CD11" s="429">
        <v>2798.2417044088661</v>
      </c>
      <c r="CE11" s="429">
        <v>30.301744995416875</v>
      </c>
      <c r="CF11" s="429">
        <v>17170.203141473488</v>
      </c>
      <c r="CG11" s="333"/>
      <c r="CH11" s="429">
        <v>68482.295006259257</v>
      </c>
      <c r="CI11" s="430">
        <v>1676074.4563199999</v>
      </c>
      <c r="CJ11" s="430">
        <v>148331.90452059935</v>
      </c>
      <c r="CK11" s="430">
        <v>56485.963799460013</v>
      </c>
      <c r="CL11" s="429">
        <v>99555.248342613399</v>
      </c>
      <c r="CM11" s="429">
        <v>43333.073799788668</v>
      </c>
      <c r="CN11" s="429">
        <v>485700.17669104697</v>
      </c>
      <c r="CO11" s="428">
        <v>170189.8424190463</v>
      </c>
      <c r="CP11" s="428">
        <v>303246.26773268584</v>
      </c>
      <c r="CQ11" s="420">
        <f t="shared" si="0"/>
        <v>13429174.196615117</v>
      </c>
      <c r="CR11" s="420">
        <f t="shared" si="1"/>
        <v>14237172.815715011</v>
      </c>
      <c r="CT11" s="420">
        <f t="shared" si="2"/>
        <v>7780658.519517838</v>
      </c>
      <c r="CU11" s="420">
        <f t="shared" si="3"/>
        <v>2375559.1166568482</v>
      </c>
      <c r="CV11" s="420">
        <f t="shared" si="4"/>
        <v>3137385.3285587342</v>
      </c>
      <c r="CW11" s="420">
        <f t="shared" si="5"/>
        <v>174651.1634351908</v>
      </c>
      <c r="CX11" s="427"/>
      <c r="CY11" s="420">
        <f t="shared" si="6"/>
        <v>8696271.3554799426</v>
      </c>
      <c r="CZ11" s="420">
        <f t="shared" si="7"/>
        <v>2386362.5175208058</v>
      </c>
      <c r="DA11" s="420">
        <f t="shared" si="8"/>
        <v>2982916.9336252408</v>
      </c>
      <c r="DB11" s="420">
        <f t="shared" si="9"/>
        <v>171622.00908902189</v>
      </c>
    </row>
    <row r="12" spans="1:106">
      <c r="A12" s="434" t="s">
        <v>830</v>
      </c>
      <c r="B12" s="428">
        <v>1882456.25563133</v>
      </c>
      <c r="C12" s="428">
        <v>315003.09291141952</v>
      </c>
      <c r="D12" s="428">
        <v>0</v>
      </c>
      <c r="E12" s="431">
        <v>24592.091915817109</v>
      </c>
      <c r="F12" s="431">
        <v>1063.4418125758748</v>
      </c>
      <c r="G12" s="431">
        <v>17280.929454357967</v>
      </c>
      <c r="H12" s="431">
        <v>119.47620524000723</v>
      </c>
      <c r="I12" s="431">
        <v>5.1665386049732849</v>
      </c>
      <c r="J12" s="431">
        <v>83.9562523308159</v>
      </c>
      <c r="K12" s="429">
        <v>67381.425099852248</v>
      </c>
      <c r="L12" s="429">
        <v>14973.650022189389</v>
      </c>
      <c r="M12" s="429">
        <v>9642.1253975437758</v>
      </c>
      <c r="N12" s="429">
        <v>1458470.5882630271</v>
      </c>
      <c r="O12" s="429">
        <v>9930982.4710329864</v>
      </c>
      <c r="P12" s="429">
        <v>133882.82585135347</v>
      </c>
      <c r="Q12" s="429">
        <v>238532.81501066717</v>
      </c>
      <c r="R12" s="429">
        <v>85796.218438800453</v>
      </c>
      <c r="S12" s="429">
        <v>990416.24556954345</v>
      </c>
      <c r="T12" s="429">
        <v>424544.32356017089</v>
      </c>
      <c r="U12" s="428">
        <v>14854.701128358451</v>
      </c>
      <c r="V12" s="428">
        <v>61010.180425506274</v>
      </c>
      <c r="W12" s="428">
        <v>15572.749977472573</v>
      </c>
      <c r="X12" s="428">
        <v>62425.089102383849</v>
      </c>
      <c r="Y12" s="428">
        <v>0</v>
      </c>
      <c r="Z12" s="428">
        <v>0</v>
      </c>
      <c r="AA12" s="429"/>
      <c r="AB12" s="429"/>
      <c r="AC12" s="429">
        <v>149.41651208081657</v>
      </c>
      <c r="AD12" s="429"/>
      <c r="AE12" s="429"/>
      <c r="AF12" s="429">
        <v>196.36085946320765</v>
      </c>
      <c r="AG12" s="429"/>
      <c r="AH12" s="429">
        <v>19041.889371451787</v>
      </c>
      <c r="AI12" s="429">
        <v>1180.0280390032503</v>
      </c>
      <c r="AJ12" s="429">
        <v>50.756017317172272</v>
      </c>
      <c r="AK12" s="429">
        <v>6817.6032615811218</v>
      </c>
      <c r="AL12" s="333"/>
      <c r="AM12" s="429">
        <v>9502.3979762860999</v>
      </c>
      <c r="AN12" s="430">
        <v>4853.7746570340869</v>
      </c>
      <c r="AO12" s="430">
        <v>9921.5050419513555</v>
      </c>
      <c r="AP12" s="430"/>
      <c r="AQ12" s="429">
        <v>6399.7525067713987</v>
      </c>
      <c r="AR12" s="429">
        <v>26523.91110078432</v>
      </c>
      <c r="AS12" s="429">
        <v>71035.641248645727</v>
      </c>
      <c r="AT12" s="428">
        <v>35354.126535354146</v>
      </c>
      <c r="AU12" s="428">
        <v>96475.463386475327</v>
      </c>
      <c r="AV12" s="433">
        <v>14670691.808066137</v>
      </c>
      <c r="AW12" s="428">
        <v>1500199.7822718362</v>
      </c>
      <c r="AX12" s="428">
        <v>250990.09648416826</v>
      </c>
      <c r="AY12" s="428">
        <v>0</v>
      </c>
      <c r="AZ12" s="431">
        <v>0</v>
      </c>
      <c r="BA12" s="431">
        <v>0</v>
      </c>
      <c r="BB12" s="431">
        <v>0</v>
      </c>
      <c r="BC12" s="431">
        <v>88353.742814930854</v>
      </c>
      <c r="BD12" s="431">
        <v>3820.7023919970106</v>
      </c>
      <c r="BE12" s="431">
        <v>62086.413869951393</v>
      </c>
      <c r="BF12" s="429">
        <v>218862.18031202833</v>
      </c>
      <c r="BG12" s="429">
        <v>48636.040069339637</v>
      </c>
      <c r="BH12" s="429">
        <v>23893.998404479273</v>
      </c>
      <c r="BI12" s="429">
        <v>2011305.6567599119</v>
      </c>
      <c r="BJ12" s="429">
        <v>12505917.321023779</v>
      </c>
      <c r="BK12" s="429">
        <v>104726.84344056221</v>
      </c>
      <c r="BL12" s="429">
        <v>242617.12106293242</v>
      </c>
      <c r="BM12" s="429">
        <v>139853.53852781668</v>
      </c>
      <c r="BN12" s="429">
        <v>809993.74833391467</v>
      </c>
      <c r="BO12" s="429">
        <v>396072.06520454737</v>
      </c>
      <c r="BP12" s="428">
        <v>18340.454267151948</v>
      </c>
      <c r="BQ12" s="428">
        <v>75326.619785607181</v>
      </c>
      <c r="BR12" s="428">
        <v>17605.564601330985</v>
      </c>
      <c r="BS12" s="428">
        <v>74005.911080155245</v>
      </c>
      <c r="BT12" s="428">
        <v>0</v>
      </c>
      <c r="BU12" s="428">
        <v>0</v>
      </c>
      <c r="BV12" s="431"/>
      <c r="BW12" s="431"/>
      <c r="BX12" s="429">
        <v>130.59866516194882</v>
      </c>
      <c r="BY12" s="429"/>
      <c r="BZ12" s="429"/>
      <c r="CA12" s="429">
        <v>185.33129293036464</v>
      </c>
      <c r="CB12" s="429"/>
      <c r="CC12" s="429">
        <v>15797.185705884343</v>
      </c>
      <c r="CD12" s="429">
        <v>978.95338569880835</v>
      </c>
      <c r="CE12" s="429">
        <v>39.923942730227516</v>
      </c>
      <c r="CF12" s="429">
        <v>5715.4316870720477</v>
      </c>
      <c r="CG12" s="333"/>
      <c r="CH12" s="429">
        <v>7619.8316079500883</v>
      </c>
      <c r="CI12" s="430">
        <v>22213.785339328278</v>
      </c>
      <c r="CJ12" s="430">
        <v>7198.201870474677</v>
      </c>
      <c r="CK12" s="430"/>
      <c r="CL12" s="429">
        <v>11935.634106175514</v>
      </c>
      <c r="CM12" s="429">
        <v>21047.576385758017</v>
      </c>
      <c r="CN12" s="429">
        <v>56962.424203683637</v>
      </c>
      <c r="CO12" s="428">
        <v>44827.051544827198</v>
      </c>
      <c r="CP12" s="428">
        <v>148515.03843851478</v>
      </c>
      <c r="CQ12" s="420">
        <f t="shared" si="0"/>
        <v>16036592.44611573</v>
      </c>
      <c r="CR12" s="420">
        <f t="shared" si="1"/>
        <v>18935774.768882629</v>
      </c>
      <c r="CT12" s="420">
        <f t="shared" si="2"/>
        <v>13483563.968863862</v>
      </c>
      <c r="CU12" s="420">
        <f t="shared" si="3"/>
        <v>2351322.0691764704</v>
      </c>
      <c r="CV12" s="420">
        <f t="shared" si="4"/>
        <v>250564.17447701638</v>
      </c>
      <c r="CW12" s="420">
        <f t="shared" si="5"/>
        <v>36938.452037183451</v>
      </c>
      <c r="CX12" s="427"/>
      <c r="CY12" s="420">
        <f t="shared" si="6"/>
        <v>16656139.372216191</v>
      </c>
      <c r="CZ12" s="420">
        <f t="shared" si="7"/>
        <v>1936468.4284902497</v>
      </c>
      <c r="DA12" s="420">
        <f t="shared" si="8"/>
        <v>312699.71188876207</v>
      </c>
      <c r="DB12" s="420">
        <f t="shared" si="9"/>
        <v>30467.256287427826</v>
      </c>
    </row>
    <row r="13" spans="1:106">
      <c r="A13" s="434" t="s">
        <v>829</v>
      </c>
      <c r="B13" s="428">
        <v>9581.4621865884419</v>
      </c>
      <c r="C13" s="428">
        <v>3185.9970566922502</v>
      </c>
      <c r="D13" s="428">
        <v>0</v>
      </c>
      <c r="E13" s="431">
        <v>4399.3120520486473</v>
      </c>
      <c r="F13" s="431">
        <v>206.26282735834644</v>
      </c>
      <c r="G13" s="431">
        <v>0</v>
      </c>
      <c r="H13" s="431">
        <v>18190.442357861481</v>
      </c>
      <c r="I13" s="431">
        <v>852.86336300793187</v>
      </c>
      <c r="J13" s="431">
        <v>0</v>
      </c>
      <c r="K13" s="429">
        <v>0</v>
      </c>
      <c r="L13" s="429">
        <v>0</v>
      </c>
      <c r="M13" s="429">
        <v>0</v>
      </c>
      <c r="N13" s="429">
        <v>17373.07572448652</v>
      </c>
      <c r="O13" s="429"/>
      <c r="P13" s="429"/>
      <c r="Q13" s="429">
        <v>34797.893184588109</v>
      </c>
      <c r="R13" s="429">
        <v>553.79089816806936</v>
      </c>
      <c r="S13" s="429">
        <v>198716.99421139658</v>
      </c>
      <c r="T13" s="429">
        <v>29245.603541343717</v>
      </c>
      <c r="U13" s="428">
        <v>484.59684904834501</v>
      </c>
      <c r="V13" s="428">
        <v>66.349434614277001</v>
      </c>
      <c r="W13" s="428">
        <v>102.013665548595</v>
      </c>
      <c r="X13" s="428">
        <v>37730.473629450004</v>
      </c>
      <c r="Y13" s="428">
        <v>0</v>
      </c>
      <c r="Z13" s="428">
        <v>0</v>
      </c>
      <c r="AA13" s="429"/>
      <c r="AB13" s="429">
        <v>0.17367506120041454</v>
      </c>
      <c r="AC13" s="429">
        <v>37.08328073094011</v>
      </c>
      <c r="AD13" s="429"/>
      <c r="AE13" s="429">
        <v>1.0751523339605229</v>
      </c>
      <c r="AF13" s="429"/>
      <c r="AG13" s="429">
        <v>1.5638928566317616</v>
      </c>
      <c r="AH13" s="429">
        <v>3722.3950766468884</v>
      </c>
      <c r="AI13" s="429">
        <v>832.67196281883537</v>
      </c>
      <c r="AJ13" s="430"/>
      <c r="AK13" s="429">
        <v>1744.0026001092831</v>
      </c>
      <c r="AL13" s="333"/>
      <c r="AM13" s="429">
        <v>3198.962297624892</v>
      </c>
      <c r="AN13" s="430">
        <v>14326.903462570803</v>
      </c>
      <c r="AO13" s="430">
        <v>7714.4864798458166</v>
      </c>
      <c r="AP13" s="430">
        <v>4649.1520932480007</v>
      </c>
      <c r="AQ13" s="429">
        <v>1598.9411617536186</v>
      </c>
      <c r="AR13" s="429">
        <v>3970.3505135199375</v>
      </c>
      <c r="AS13" s="429">
        <v>8004.8101404774543</v>
      </c>
      <c r="AT13" s="428">
        <v>8600.9770000000008</v>
      </c>
      <c r="AU13" s="428">
        <v>27340.74942</v>
      </c>
      <c r="AV13" s="433">
        <v>632441.80883658642</v>
      </c>
      <c r="AW13" s="428">
        <v>10507.145938596817</v>
      </c>
      <c r="AX13" s="428">
        <v>3493.8340332705211</v>
      </c>
      <c r="AY13" s="428">
        <v>0</v>
      </c>
      <c r="AZ13" s="431">
        <v>26125.3073507435</v>
      </c>
      <c r="BA13" s="431">
        <v>1224.8914593955155</v>
      </c>
      <c r="BB13" s="431">
        <v>0</v>
      </c>
      <c r="BC13" s="431">
        <v>265749.38019656535</v>
      </c>
      <c r="BD13" s="431">
        <v>12459.725038724217</v>
      </c>
      <c r="BE13" s="431">
        <v>0</v>
      </c>
      <c r="BF13" s="429">
        <v>0</v>
      </c>
      <c r="BG13" s="429">
        <v>0</v>
      </c>
      <c r="BH13" s="429">
        <v>0</v>
      </c>
      <c r="BI13" s="429">
        <v>23035.07496081289</v>
      </c>
      <c r="BJ13" s="429"/>
      <c r="BK13" s="429"/>
      <c r="BL13" s="429">
        <v>37822.642282742308</v>
      </c>
      <c r="BM13" s="429">
        <v>488.46367277249675</v>
      </c>
      <c r="BN13" s="429">
        <v>218208.7815958235</v>
      </c>
      <c r="BO13" s="429">
        <v>25666.701035215148</v>
      </c>
      <c r="BP13" s="428">
        <v>737.75804314752838</v>
      </c>
      <c r="BQ13" s="428">
        <v>101.01144722897368</v>
      </c>
      <c r="BR13" s="428">
        <v>63.999894824811662</v>
      </c>
      <c r="BS13" s="428">
        <v>47848.622837433337</v>
      </c>
      <c r="BT13" s="428">
        <v>0</v>
      </c>
      <c r="BU13" s="428">
        <v>0</v>
      </c>
      <c r="BV13" s="431"/>
      <c r="BW13" s="431">
        <v>0.17372477328744293</v>
      </c>
      <c r="BX13" s="429">
        <v>39.856808029200806</v>
      </c>
      <c r="BY13" s="429"/>
      <c r="BZ13" s="429">
        <v>0.99404567583047942</v>
      </c>
      <c r="CA13" s="429"/>
      <c r="CB13" s="429">
        <v>1.4166735114408753</v>
      </c>
      <c r="CC13" s="429">
        <v>3964.2502348769513</v>
      </c>
      <c r="CD13" s="429">
        <v>886.7731544372956</v>
      </c>
      <c r="CE13" s="430"/>
      <c r="CF13" s="429">
        <v>1876.8663643367977</v>
      </c>
      <c r="CG13" s="333"/>
      <c r="CH13" s="429">
        <v>3292.9883149502311</v>
      </c>
      <c r="CI13" s="430">
        <v>15396.273437204585</v>
      </c>
      <c r="CJ13" s="430">
        <v>5132.091145734862</v>
      </c>
      <c r="CK13" s="430">
        <v>5272.0963226100012</v>
      </c>
      <c r="CL13" s="429">
        <v>2768.9252375945393</v>
      </c>
      <c r="CM13" s="429">
        <v>4044.476249680944</v>
      </c>
      <c r="CN13" s="429">
        <v>8240.0928187113932</v>
      </c>
      <c r="CO13" s="428">
        <v>8600.9770000000008</v>
      </c>
      <c r="CP13" s="428">
        <v>27340.74942</v>
      </c>
      <c r="CQ13" s="420">
        <f t="shared" si="0"/>
        <v>441231.42919179954</v>
      </c>
      <c r="CR13" s="420">
        <f t="shared" si="1"/>
        <v>760392.34073942434</v>
      </c>
      <c r="CT13" s="420">
        <f t="shared" si="2"/>
        <v>304890.02905842743</v>
      </c>
      <c r="CU13" s="420">
        <f t="shared" si="3"/>
        <v>51150.89282194191</v>
      </c>
      <c r="CV13" s="420">
        <f t="shared" si="4"/>
        <v>76206.370271415624</v>
      </c>
      <c r="CW13" s="420">
        <f t="shared" si="5"/>
        <v>9537.9279381826309</v>
      </c>
      <c r="CX13" s="427"/>
      <c r="CY13" s="420">
        <f t="shared" si="6"/>
        <v>610780.96759279491</v>
      </c>
      <c r="CZ13" s="420">
        <f t="shared" si="7"/>
        <v>62752.372194501993</v>
      </c>
      <c r="DA13" s="420">
        <f t="shared" si="8"/>
        <v>76795.681631536339</v>
      </c>
      <c r="DB13" s="420">
        <f t="shared" si="9"/>
        <v>10063.319320591036</v>
      </c>
    </row>
    <row r="14" spans="1:106">
      <c r="A14" s="434" t="s">
        <v>828</v>
      </c>
      <c r="B14" s="428">
        <v>6088013.6305300007</v>
      </c>
      <c r="C14" s="428">
        <v>1998223.6281999999</v>
      </c>
      <c r="D14" s="428">
        <v>0</v>
      </c>
      <c r="E14" s="428">
        <v>81957.292929812975</v>
      </c>
      <c r="F14" s="428">
        <v>3544.099153721641</v>
      </c>
      <c r="G14" s="428">
        <v>57591.611247976682</v>
      </c>
      <c r="H14" s="428">
        <v>55604.428230241632</v>
      </c>
      <c r="I14" s="428">
        <v>2404.5158153618004</v>
      </c>
      <c r="J14" s="428">
        <v>39073.381999629259</v>
      </c>
      <c r="K14" s="429">
        <v>404419.68479068723</v>
      </c>
      <c r="L14" s="429">
        <v>89871.041064597157</v>
      </c>
      <c r="M14" s="429">
        <v>32905.216504037875</v>
      </c>
      <c r="N14" s="429">
        <v>3450977.3410495524</v>
      </c>
      <c r="O14" s="429">
        <v>4210125.485148144</v>
      </c>
      <c r="P14" s="429">
        <v>125311.55679773439</v>
      </c>
      <c r="Q14" s="429">
        <v>6691.8701813585258</v>
      </c>
      <c r="R14" s="429">
        <v>81980.120354957777</v>
      </c>
      <c r="S14" s="429">
        <v>989507.28042285959</v>
      </c>
      <c r="T14" s="429">
        <v>323900.6940422302</v>
      </c>
      <c r="U14" s="428">
        <v>335777.67550577444</v>
      </c>
      <c r="V14" s="428">
        <v>23424.052112530451</v>
      </c>
      <c r="W14" s="428">
        <v>75008.82556953821</v>
      </c>
      <c r="X14" s="428">
        <v>396994.43143580895</v>
      </c>
      <c r="Y14" s="428">
        <v>86823.888076800009</v>
      </c>
      <c r="Z14" s="428">
        <v>601162.86719999951</v>
      </c>
      <c r="AA14" s="429"/>
      <c r="AB14" s="429"/>
      <c r="AC14" s="429">
        <v>298.83541665911929</v>
      </c>
      <c r="AD14" s="429"/>
      <c r="AE14" s="429"/>
      <c r="AF14" s="429">
        <v>220.8821399268891</v>
      </c>
      <c r="AG14" s="429"/>
      <c r="AH14" s="429">
        <v>68126.053415868621</v>
      </c>
      <c r="AI14" s="429">
        <v>3240.6470293932193</v>
      </c>
      <c r="AJ14" s="429">
        <v>181.37546229442893</v>
      </c>
      <c r="AK14" s="429">
        <v>11629.629133411112</v>
      </c>
      <c r="AL14" s="333"/>
      <c r="AM14" s="429">
        <v>15751.527797423474</v>
      </c>
      <c r="AN14" s="430">
        <v>298327.46328000003</v>
      </c>
      <c r="AO14" s="430">
        <v>41973.541848982859</v>
      </c>
      <c r="AP14" s="430">
        <v>51965.286305088004</v>
      </c>
      <c r="AQ14" s="429">
        <v>33652.28455102459</v>
      </c>
      <c r="AR14" s="429">
        <v>44378.07088872345</v>
      </c>
      <c r="AS14" s="429">
        <v>126075.43500140688</v>
      </c>
      <c r="AT14" s="428">
        <v>74645.185850709517</v>
      </c>
      <c r="AU14" s="428">
        <v>317949.3133641014</v>
      </c>
      <c r="AV14" s="433">
        <v>16912804.11044519</v>
      </c>
      <c r="AW14" s="428">
        <v>6091336.6612799987</v>
      </c>
      <c r="AX14" s="428">
        <v>2124358.7111999998</v>
      </c>
      <c r="AY14" s="428">
        <v>0</v>
      </c>
      <c r="AZ14" s="428">
        <v>587286.2170768854</v>
      </c>
      <c r="BA14" s="428">
        <v>25396.160738459912</v>
      </c>
      <c r="BB14" s="428">
        <v>412687.61199997342</v>
      </c>
      <c r="BC14" s="428">
        <v>840898.22771275195</v>
      </c>
      <c r="BD14" s="428">
        <v>36363.166603794692</v>
      </c>
      <c r="BE14" s="428">
        <v>590901.45731166343</v>
      </c>
      <c r="BF14" s="429">
        <v>859165.23048934166</v>
      </c>
      <c r="BG14" s="429">
        <v>190925.60677540931</v>
      </c>
      <c r="BH14" s="429">
        <v>77149.556303423349</v>
      </c>
      <c r="BI14" s="429">
        <v>3120537.2681715502</v>
      </c>
      <c r="BJ14" s="429">
        <v>3864139.0109383743</v>
      </c>
      <c r="BK14" s="429">
        <v>141510.39279476501</v>
      </c>
      <c r="BL14" s="429">
        <v>2780.5733617363558</v>
      </c>
      <c r="BM14" s="429">
        <v>67859.594992185317</v>
      </c>
      <c r="BN14" s="429">
        <v>820900.24176996469</v>
      </c>
      <c r="BO14" s="429">
        <v>248664.56934105171</v>
      </c>
      <c r="BP14" s="428">
        <v>364801.95627723041</v>
      </c>
      <c r="BQ14" s="428">
        <v>25448.803353944095</v>
      </c>
      <c r="BR14" s="428">
        <v>87270.714763756114</v>
      </c>
      <c r="BS14" s="428">
        <v>447198.41632955446</v>
      </c>
      <c r="BT14" s="428">
        <v>82804.263628799832</v>
      </c>
      <c r="BU14" s="428">
        <v>601162.86719999951</v>
      </c>
      <c r="BV14" s="431"/>
      <c r="BW14" s="431"/>
      <c r="BX14" s="429">
        <v>294.11333289835011</v>
      </c>
      <c r="BY14" s="429"/>
      <c r="BZ14" s="429"/>
      <c r="CA14" s="429">
        <v>351.20611864467764</v>
      </c>
      <c r="CB14" s="429"/>
      <c r="CC14" s="429">
        <v>65822.747441302286</v>
      </c>
      <c r="CD14" s="429">
        <v>3131.0824606268825</v>
      </c>
      <c r="CE14" s="429">
        <v>166.15656625286749</v>
      </c>
      <c r="CF14" s="429">
        <v>11354.715788813039</v>
      </c>
      <c r="CG14" s="333"/>
      <c r="CH14" s="429">
        <v>14600.922707947851</v>
      </c>
      <c r="CI14" s="430">
        <v>250198.76376</v>
      </c>
      <c r="CJ14" s="430">
        <v>35202.016488128582</v>
      </c>
      <c r="CK14" s="430">
        <v>53063.935536689998</v>
      </c>
      <c r="CL14" s="429">
        <v>70739.138313848685</v>
      </c>
      <c r="CM14" s="429">
        <v>40707.872895329761</v>
      </c>
      <c r="CN14" s="429">
        <v>116865.97678020502</v>
      </c>
      <c r="CO14" s="428">
        <v>97689.874137953346</v>
      </c>
      <c r="CP14" s="428">
        <v>444545.45811090898</v>
      </c>
      <c r="CQ14" s="420">
        <f t="shared" si="0"/>
        <v>20649710.149848372</v>
      </c>
      <c r="CR14" s="420">
        <f t="shared" si="1"/>
        <v>22916281.260854162</v>
      </c>
      <c r="CT14" s="420">
        <f t="shared" si="2"/>
        <v>10037845.740087859</v>
      </c>
      <c r="CU14" s="420">
        <f t="shared" si="3"/>
        <v>9605428.9986304548</v>
      </c>
      <c r="CV14" s="420">
        <f t="shared" si="4"/>
        <v>988966.58109003678</v>
      </c>
      <c r="CW14" s="420">
        <f t="shared" si="5"/>
        <v>99448.95039497687</v>
      </c>
      <c r="CX14" s="427"/>
      <c r="CY14" s="420">
        <f t="shared" si="6"/>
        <v>11887164.88638133</v>
      </c>
      <c r="CZ14" s="420">
        <f t="shared" si="7"/>
        <v>9824382.3940332849</v>
      </c>
      <c r="DA14" s="420">
        <f t="shared" si="8"/>
        <v>1109013.0360230645</v>
      </c>
      <c r="DB14" s="420">
        <f t="shared" si="9"/>
        <v>95720.94441648596</v>
      </c>
    </row>
    <row r="15" spans="1:106">
      <c r="A15" s="434" t="s">
        <v>827</v>
      </c>
      <c r="B15" s="428">
        <v>27404462.905169997</v>
      </c>
      <c r="C15" s="428">
        <v>2667377.4875999996</v>
      </c>
      <c r="D15" s="428">
        <v>0</v>
      </c>
      <c r="E15" s="428">
        <v>252801.38974228708</v>
      </c>
      <c r="F15" s="428">
        <v>11096.847712970208</v>
      </c>
      <c r="G15" s="428">
        <v>182855.13431572972</v>
      </c>
      <c r="H15" s="428">
        <v>212226.7134975162</v>
      </c>
      <c r="I15" s="428">
        <v>9268.3048800206416</v>
      </c>
      <c r="J15" s="428">
        <v>153482.02940483281</v>
      </c>
      <c r="K15" s="429">
        <v>859735.2181714935</v>
      </c>
      <c r="L15" s="429">
        <v>191052.27070477634</v>
      </c>
      <c r="M15" s="429">
        <v>435647.82154236542</v>
      </c>
      <c r="N15" s="429">
        <v>13834152.48184116</v>
      </c>
      <c r="O15" s="429">
        <v>15547038.047430936</v>
      </c>
      <c r="P15" s="429">
        <v>724509.07205934124</v>
      </c>
      <c r="Q15" s="429">
        <v>125210.12366079824</v>
      </c>
      <c r="R15" s="429">
        <v>461000.27843685035</v>
      </c>
      <c r="S15" s="429">
        <v>4826324.0628261957</v>
      </c>
      <c r="T15" s="429">
        <v>8920992.6653512865</v>
      </c>
      <c r="U15" s="428">
        <v>1515860.8669335721</v>
      </c>
      <c r="V15" s="428">
        <v>75395.752355561373</v>
      </c>
      <c r="W15" s="428">
        <v>413542.15922284505</v>
      </c>
      <c r="X15" s="428">
        <v>1815877.6812060154</v>
      </c>
      <c r="Y15" s="428">
        <v>348188.69544875738</v>
      </c>
      <c r="Z15" s="428">
        <v>1590860.488382885</v>
      </c>
      <c r="AA15" s="429"/>
      <c r="AB15" s="429"/>
      <c r="AC15" s="429">
        <v>2537.0227563754761</v>
      </c>
      <c r="AD15" s="429"/>
      <c r="AE15" s="429"/>
      <c r="AF15" s="429">
        <v>1888.6348576876142</v>
      </c>
      <c r="AG15" s="429"/>
      <c r="AH15" s="429">
        <v>283488.75688962499</v>
      </c>
      <c r="AI15" s="429">
        <v>55079.859460619831</v>
      </c>
      <c r="AJ15" s="429">
        <v>1362.5908983621848</v>
      </c>
      <c r="AK15" s="429">
        <v>121974.19771998218</v>
      </c>
      <c r="AL15" s="333"/>
      <c r="AM15" s="429">
        <v>326857.17859622359</v>
      </c>
      <c r="AN15" s="430">
        <v>3027076.8298399993</v>
      </c>
      <c r="AO15" s="430">
        <v>592963.25906515541</v>
      </c>
      <c r="AP15" s="430">
        <v>324229.74263097596</v>
      </c>
      <c r="AQ15" s="429">
        <v>551822.34357354965</v>
      </c>
      <c r="AR15" s="429">
        <v>276890.43062774767</v>
      </c>
      <c r="AS15" s="429">
        <v>926178.44378036656</v>
      </c>
      <c r="AT15" s="428">
        <v>752442.22900488344</v>
      </c>
      <c r="AU15" s="428">
        <v>2937746.0288754925</v>
      </c>
      <c r="AV15" s="433">
        <v>61883609.913359351</v>
      </c>
      <c r="AW15" s="428">
        <v>28511653.281597778</v>
      </c>
      <c r="AX15" s="428">
        <v>2755021.0830444437</v>
      </c>
      <c r="AY15" s="428">
        <v>0</v>
      </c>
      <c r="AZ15" s="428">
        <v>1471465.5956743313</v>
      </c>
      <c r="BA15" s="428">
        <v>64387.722882316528</v>
      </c>
      <c r="BB15" s="428">
        <v>1065051.148238376</v>
      </c>
      <c r="BC15" s="428">
        <v>3089344.5944383168</v>
      </c>
      <c r="BD15" s="428">
        <v>134835.93007888453</v>
      </c>
      <c r="BE15" s="428">
        <v>2235326.5551447035</v>
      </c>
      <c r="BF15" s="429">
        <v>1957093.2356971127</v>
      </c>
      <c r="BG15" s="429">
        <v>434909.60793269175</v>
      </c>
      <c r="BH15" s="429">
        <v>1040559.6665372559</v>
      </c>
      <c r="BI15" s="429">
        <v>13924081.183435282</v>
      </c>
      <c r="BJ15" s="429">
        <v>12997589.820565775</v>
      </c>
      <c r="BK15" s="429">
        <v>606388.3073500524</v>
      </c>
      <c r="BL15" s="429">
        <v>123387.59699902235</v>
      </c>
      <c r="BM15" s="429">
        <v>413302.7123209284</v>
      </c>
      <c r="BN15" s="429">
        <v>4251570.4367849091</v>
      </c>
      <c r="BO15" s="429">
        <v>7152436.0973838959</v>
      </c>
      <c r="BP15" s="428">
        <v>1391311.2822576687</v>
      </c>
      <c r="BQ15" s="428">
        <v>69200.916241605548</v>
      </c>
      <c r="BR15" s="428">
        <v>455098.71762947203</v>
      </c>
      <c r="BS15" s="428">
        <v>1846259.9540138005</v>
      </c>
      <c r="BT15" s="428">
        <v>368704.86437250598</v>
      </c>
      <c r="BU15" s="428">
        <v>1590860.488382885</v>
      </c>
      <c r="BV15" s="431"/>
      <c r="BW15" s="431"/>
      <c r="BX15" s="429">
        <v>2571.800662913392</v>
      </c>
      <c r="BY15" s="429"/>
      <c r="BZ15" s="429"/>
      <c r="CA15" s="429">
        <v>1942.8739442699246</v>
      </c>
      <c r="CB15" s="429"/>
      <c r="CC15" s="429">
        <v>275045.94078367593</v>
      </c>
      <c r="CD15" s="429">
        <v>53439.480033690445</v>
      </c>
      <c r="CE15" s="429">
        <v>1253.4617482194453</v>
      </c>
      <c r="CF15" s="429">
        <v>119587.28284068299</v>
      </c>
      <c r="CG15" s="333"/>
      <c r="CH15" s="429">
        <v>305870.46158565237</v>
      </c>
      <c r="CI15" s="430">
        <v>2562933.0468000006</v>
      </c>
      <c r="CJ15" s="430">
        <v>502043.79261713137</v>
      </c>
      <c r="CK15" s="430">
        <v>334241.88871904998</v>
      </c>
      <c r="CL15" s="429">
        <v>1238136.4866861044</v>
      </c>
      <c r="CM15" s="429">
        <v>256412.87598923477</v>
      </c>
      <c r="CN15" s="429">
        <v>866710.74298092595</v>
      </c>
      <c r="CO15" s="428">
        <v>807066.91244746535</v>
      </c>
      <c r="CP15" s="428">
        <v>3204443.0127422204</v>
      </c>
      <c r="CQ15" s="420">
        <f t="shared" si="0"/>
        <v>92761496.046475232</v>
      </c>
      <c r="CR15" s="420">
        <f t="shared" si="1"/>
        <v>98481540.85958527</v>
      </c>
      <c r="CT15" s="420">
        <f t="shared" si="2"/>
        <v>47208392.74001541</v>
      </c>
      <c r="CU15" s="420">
        <f t="shared" si="3"/>
        <v>35831566.036319628</v>
      </c>
      <c r="CV15" s="420">
        <f t="shared" si="4"/>
        <v>9389349.3073981702</v>
      </c>
      <c r="CW15" s="420">
        <f t="shared" si="5"/>
        <v>793188.24117887579</v>
      </c>
      <c r="CX15" s="427"/>
      <c r="CY15" s="420">
        <f t="shared" si="6"/>
        <v>50961730.211463854</v>
      </c>
      <c r="CZ15" s="420">
        <f t="shared" si="7"/>
        <v>36988110.587540157</v>
      </c>
      <c r="DA15" s="420">
        <f t="shared" si="8"/>
        <v>9771988.7589821331</v>
      </c>
      <c r="DB15" s="420">
        <f t="shared" si="9"/>
        <v>759711.30159910454</v>
      </c>
    </row>
    <row r="16" spans="1:106">
      <c r="A16" s="434" t="s">
        <v>826</v>
      </c>
      <c r="B16" s="428">
        <v>1050700.831765</v>
      </c>
      <c r="C16" s="428">
        <v>233778.83059999999</v>
      </c>
      <c r="D16" s="428">
        <v>0</v>
      </c>
      <c r="E16" s="431">
        <v>10285.394548574439</v>
      </c>
      <c r="F16" s="431">
        <v>493.69893833157306</v>
      </c>
      <c r="G16" s="431">
        <v>7405.4840749735968</v>
      </c>
      <c r="H16" s="431">
        <v>2065.6433745189524</v>
      </c>
      <c r="I16" s="431">
        <v>99.150881976909716</v>
      </c>
      <c r="J16" s="431">
        <v>1487.2632296536458</v>
      </c>
      <c r="K16" s="429">
        <v>0</v>
      </c>
      <c r="L16" s="429">
        <v>0</v>
      </c>
      <c r="M16" s="429">
        <v>91903.129629023228</v>
      </c>
      <c r="N16" s="429">
        <v>3479608.0233790716</v>
      </c>
      <c r="O16" s="429">
        <v>1341229.7007156911</v>
      </c>
      <c r="P16" s="429">
        <v>106416.47229987558</v>
      </c>
      <c r="Q16" s="429">
        <v>4571.2949643722541</v>
      </c>
      <c r="R16" s="429">
        <v>80427.781242751356</v>
      </c>
      <c r="S16" s="429">
        <v>6974131.9663937688</v>
      </c>
      <c r="T16" s="429">
        <v>290762.40602549253</v>
      </c>
      <c r="U16" s="428">
        <v>28722.437031692549</v>
      </c>
      <c r="V16" s="428">
        <v>12698.887351252872</v>
      </c>
      <c r="W16" s="428">
        <v>10582.807062416707</v>
      </c>
      <c r="X16" s="428">
        <v>125695.29919796389</v>
      </c>
      <c r="Y16" s="428">
        <v>426.61785600000002</v>
      </c>
      <c r="Z16" s="428">
        <v>0</v>
      </c>
      <c r="AA16" s="429"/>
      <c r="AB16" s="429"/>
      <c r="AC16" s="429">
        <v>566.78068343820814</v>
      </c>
      <c r="AD16" s="429"/>
      <c r="AE16" s="429"/>
      <c r="AF16" s="429">
        <v>229.2196789923243</v>
      </c>
      <c r="AG16" s="429"/>
      <c r="AH16" s="429">
        <v>11964.885773780405</v>
      </c>
      <c r="AI16" s="429">
        <v>11166.998770479728</v>
      </c>
      <c r="AJ16" s="429">
        <v>8.1613197470295091</v>
      </c>
      <c r="AK16" s="429">
        <v>7049.2444493898947</v>
      </c>
      <c r="AL16" s="333"/>
      <c r="AM16" s="429">
        <v>85404.656972910423</v>
      </c>
      <c r="AN16" s="430">
        <v>314494.21415999997</v>
      </c>
      <c r="AO16" s="430">
        <v>36747.704803713787</v>
      </c>
      <c r="AP16" s="430">
        <v>24764.172977856004</v>
      </c>
      <c r="AQ16" s="429">
        <v>5321.56787322931</v>
      </c>
      <c r="AR16" s="429">
        <v>21148.468565337236</v>
      </c>
      <c r="AS16" s="429">
        <v>119034.81246437519</v>
      </c>
      <c r="AT16" s="428">
        <v>93514.228406485781</v>
      </c>
      <c r="AU16" s="428">
        <v>461767.55383823148</v>
      </c>
      <c r="AV16" s="433">
        <v>20871779.57368926</v>
      </c>
      <c r="AW16" s="428">
        <v>967866.78436499997</v>
      </c>
      <c r="AX16" s="428">
        <v>221332.18004444442</v>
      </c>
      <c r="AY16" s="428">
        <v>0</v>
      </c>
      <c r="AZ16" s="431">
        <v>51330.579525594825</v>
      </c>
      <c r="BA16" s="431">
        <v>2463.8678172285522</v>
      </c>
      <c r="BB16" s="431">
        <v>36958.01725842827</v>
      </c>
      <c r="BC16" s="431">
        <v>30101.959109101561</v>
      </c>
      <c r="BD16" s="431">
        <v>1444.8940372368752</v>
      </c>
      <c r="BE16" s="431">
        <v>21673.410558553122</v>
      </c>
      <c r="BF16" s="429">
        <v>0</v>
      </c>
      <c r="BG16" s="429">
        <v>0</v>
      </c>
      <c r="BH16" s="429">
        <v>215187.55663185651</v>
      </c>
      <c r="BI16" s="429">
        <v>2946548.9673545719</v>
      </c>
      <c r="BJ16" s="429">
        <v>617462.50563725422</v>
      </c>
      <c r="BK16" s="429">
        <v>194570.91983562164</v>
      </c>
      <c r="BL16" s="429">
        <v>4158.8977721910733</v>
      </c>
      <c r="BM16" s="429">
        <v>62927.051573883677</v>
      </c>
      <c r="BN16" s="429">
        <v>7261655.246347419</v>
      </c>
      <c r="BO16" s="429">
        <v>289122.51762424491</v>
      </c>
      <c r="BP16" s="428">
        <v>35835.258351621917</v>
      </c>
      <c r="BQ16" s="428">
        <v>15843.638494469144</v>
      </c>
      <c r="BR16" s="428">
        <v>0</v>
      </c>
      <c r="BS16" s="428">
        <v>99802.592241923834</v>
      </c>
      <c r="BT16" s="428">
        <v>406.86702933333333</v>
      </c>
      <c r="BU16" s="428">
        <v>0</v>
      </c>
      <c r="BV16" s="431"/>
      <c r="BW16" s="431"/>
      <c r="BX16" s="429">
        <v>577.28105186549669</v>
      </c>
      <c r="BY16" s="429"/>
      <c r="BZ16" s="429"/>
      <c r="CA16" s="429">
        <v>474.97753735448396</v>
      </c>
      <c r="CB16" s="429"/>
      <c r="CC16" s="429">
        <v>11936.543591020099</v>
      </c>
      <c r="CD16" s="429">
        <v>11140.546606537589</v>
      </c>
      <c r="CE16" s="429">
        <v>7.7198102524250816</v>
      </c>
      <c r="CF16" s="429">
        <v>7106.5731433240117</v>
      </c>
      <c r="CG16" s="333"/>
      <c r="CH16" s="429">
        <v>82355.774685601544</v>
      </c>
      <c r="CI16" s="430">
        <v>274384.43424000003</v>
      </c>
      <c r="CJ16" s="430">
        <v>32060.997430800991</v>
      </c>
      <c r="CK16" s="430">
        <v>26306.607632760002</v>
      </c>
      <c r="CL16" s="429">
        <v>5449.1075905877442</v>
      </c>
      <c r="CM16" s="429">
        <v>20181.051951588914</v>
      </c>
      <c r="CN16" s="429">
        <v>114785.35881443098</v>
      </c>
      <c r="CO16" s="428">
        <v>93151.729517959378</v>
      </c>
      <c r="CP16" s="428">
        <v>459776.1638402231</v>
      </c>
      <c r="CQ16" s="420">
        <f t="shared" si="0"/>
        <v>15046675.791300366</v>
      </c>
      <c r="CR16" s="420">
        <f t="shared" si="1"/>
        <v>14216388.579054285</v>
      </c>
      <c r="CT16" s="420">
        <f t="shared" si="2"/>
        <v>12471315.190940827</v>
      </c>
      <c r="CU16" s="420">
        <f t="shared" si="3"/>
        <v>1462605.7108643262</v>
      </c>
      <c r="CV16" s="420">
        <f t="shared" si="4"/>
        <v>1076792.7230892288</v>
      </c>
      <c r="CW16" s="420">
        <f t="shared" si="5"/>
        <v>116389.94764873802</v>
      </c>
      <c r="CX16" s="427"/>
      <c r="CY16" s="420">
        <f t="shared" si="6"/>
        <v>11735606.391083185</v>
      </c>
      <c r="CZ16" s="420">
        <f t="shared" si="7"/>
        <v>1341087.3205267927</v>
      </c>
      <c r="DA16" s="420">
        <f t="shared" si="8"/>
        <v>1026095.4510183511</v>
      </c>
      <c r="DB16" s="420">
        <f t="shared" si="9"/>
        <v>113599.41642595566</v>
      </c>
    </row>
    <row r="17" spans="1:106">
      <c r="A17" s="434" t="s">
        <v>825</v>
      </c>
      <c r="B17" s="428">
        <v>3495764.8628500002</v>
      </c>
      <c r="C17" s="428">
        <v>313148.64139999996</v>
      </c>
      <c r="D17" s="428">
        <v>0</v>
      </c>
      <c r="E17" s="431">
        <v>6429.0112321057522</v>
      </c>
      <c r="F17" s="431">
        <v>278.01129652349198</v>
      </c>
      <c r="G17" s="431">
        <v>4517.6835685067454</v>
      </c>
      <c r="H17" s="431">
        <v>1508.5697335196398</v>
      </c>
      <c r="I17" s="431">
        <v>65.235447935984425</v>
      </c>
      <c r="J17" s="431">
        <v>1060.076028959747</v>
      </c>
      <c r="K17" s="429">
        <v>0</v>
      </c>
      <c r="L17" s="429">
        <v>0</v>
      </c>
      <c r="M17" s="429">
        <v>0</v>
      </c>
      <c r="N17" s="429">
        <v>640592.58718977345</v>
      </c>
      <c r="O17" s="429">
        <v>264270.07844001154</v>
      </c>
      <c r="P17" s="429"/>
      <c r="Q17" s="429">
        <v>3958.6109617034858</v>
      </c>
      <c r="R17" s="429">
        <v>11442.248819318595</v>
      </c>
      <c r="S17" s="429">
        <v>330367.29593636096</v>
      </c>
      <c r="T17" s="429">
        <v>73602.010318410728</v>
      </c>
      <c r="U17" s="428">
        <v>146661.50144383276</v>
      </c>
      <c r="V17" s="428">
        <v>15199.321958112643</v>
      </c>
      <c r="W17" s="428">
        <v>39302.177572478227</v>
      </c>
      <c r="X17" s="428">
        <v>162245.55283265887</v>
      </c>
      <c r="Y17" s="428">
        <v>26061.639496704</v>
      </c>
      <c r="Z17" s="428">
        <v>72428.800640000001</v>
      </c>
      <c r="AA17" s="429"/>
      <c r="AB17" s="429"/>
      <c r="AC17" s="429">
        <v>62.959820408985777</v>
      </c>
      <c r="AD17" s="429"/>
      <c r="AE17" s="429"/>
      <c r="AF17" s="429"/>
      <c r="AG17" s="429"/>
      <c r="AH17" s="429">
        <v>4884.8743205381397</v>
      </c>
      <c r="AI17" s="429">
        <v>1113.4009372020491</v>
      </c>
      <c r="AJ17" s="429">
        <v>10.686830846309093</v>
      </c>
      <c r="AK17" s="429">
        <v>1916.9460082377761</v>
      </c>
      <c r="AL17" s="333"/>
      <c r="AM17" s="429">
        <v>2223.9965509942494</v>
      </c>
      <c r="AN17" s="430">
        <v>53855.184600000001</v>
      </c>
      <c r="AO17" s="430">
        <v>5935.2156477251192</v>
      </c>
      <c r="AP17" s="430">
        <v>6317.7940987200009</v>
      </c>
      <c r="AQ17" s="429">
        <v>2313.8335203125607</v>
      </c>
      <c r="AR17" s="429">
        <v>5395.3616790888964</v>
      </c>
      <c r="AS17" s="429">
        <v>32612.932946328943</v>
      </c>
      <c r="AT17" s="428">
        <v>16859.611999999899</v>
      </c>
      <c r="AU17" s="428">
        <v>67001.887999999803</v>
      </c>
      <c r="AV17" s="433">
        <v>2870170.1281427206</v>
      </c>
      <c r="AW17" s="428">
        <v>3131592.62585</v>
      </c>
      <c r="AX17" s="428">
        <v>283506.39962222218</v>
      </c>
      <c r="AY17" s="428">
        <v>0</v>
      </c>
      <c r="AZ17" s="431">
        <v>39391.641214187017</v>
      </c>
      <c r="BA17" s="431">
        <v>1703.4223227756552</v>
      </c>
      <c r="BB17" s="431">
        <v>27680.612745104383</v>
      </c>
      <c r="BC17" s="431">
        <v>21194.924193609942</v>
      </c>
      <c r="BD17" s="431">
        <v>916.53726242637606</v>
      </c>
      <c r="BE17" s="431">
        <v>14893.730514428604</v>
      </c>
      <c r="BF17" s="429">
        <v>0</v>
      </c>
      <c r="BG17" s="429">
        <v>0</v>
      </c>
      <c r="BH17" s="429">
        <v>0</v>
      </c>
      <c r="BI17" s="429">
        <v>521135.03368015564</v>
      </c>
      <c r="BJ17" s="429">
        <v>131094.01363828688</v>
      </c>
      <c r="BK17" s="429"/>
      <c r="BL17" s="429">
        <v>7512.7944279561989</v>
      </c>
      <c r="BM17" s="429">
        <v>8396.9229327059929</v>
      </c>
      <c r="BN17" s="429">
        <v>247617.24058638455</v>
      </c>
      <c r="BO17" s="429">
        <v>48772.095477884919</v>
      </c>
      <c r="BP17" s="428">
        <v>148413.74439983928</v>
      </c>
      <c r="BQ17" s="428">
        <v>15380.916340926031</v>
      </c>
      <c r="BR17" s="428">
        <v>47021.764483681778</v>
      </c>
      <c r="BS17" s="428">
        <v>180519.35611735776</v>
      </c>
      <c r="BT17" s="428">
        <v>24855.082112597334</v>
      </c>
      <c r="BU17" s="428">
        <v>72428.800640000001</v>
      </c>
      <c r="BV17" s="431"/>
      <c r="BW17" s="431"/>
      <c r="BX17" s="429">
        <v>43.696853051466924</v>
      </c>
      <c r="BY17" s="429"/>
      <c r="BZ17" s="429"/>
      <c r="CA17" s="429"/>
      <c r="CB17" s="429"/>
      <c r="CC17" s="429">
        <v>4596.6815108695009</v>
      </c>
      <c r="CD17" s="429">
        <v>1047.7136496026815</v>
      </c>
      <c r="CE17" s="429">
        <v>9.5349002910860552</v>
      </c>
      <c r="CF17" s="429">
        <v>1822.8399076285791</v>
      </c>
      <c r="CG17" s="333"/>
      <c r="CH17" s="429">
        <v>2022.8682657660199</v>
      </c>
      <c r="CI17" s="430">
        <v>44319.547440000002</v>
      </c>
      <c r="CJ17" s="430">
        <v>4884.3221580190029</v>
      </c>
      <c r="CK17" s="430">
        <v>6330.3463793700002</v>
      </c>
      <c r="CL17" s="429">
        <v>3280.2070506708696</v>
      </c>
      <c r="CM17" s="429">
        <v>4856.3102828403471</v>
      </c>
      <c r="CN17" s="429">
        <v>29663.565386911654</v>
      </c>
      <c r="CO17" s="428">
        <v>21281.935888888675</v>
      </c>
      <c r="CP17" s="428">
        <v>91295.95299999963</v>
      </c>
      <c r="CQ17" s="420">
        <f t="shared" si="0"/>
        <v>5809408.6041273195</v>
      </c>
      <c r="CR17" s="420">
        <f t="shared" si="1"/>
        <v>5189483.1812364385</v>
      </c>
      <c r="CT17" s="420">
        <f t="shared" si="2"/>
        <v>1349533.667792449</v>
      </c>
      <c r="CU17" s="420">
        <f t="shared" si="3"/>
        <v>4270812.4981937865</v>
      </c>
      <c r="CV17" s="420">
        <f t="shared" si="4"/>
        <v>190291.82249217521</v>
      </c>
      <c r="CW17" s="420">
        <f t="shared" si="5"/>
        <v>10212.86446822751</v>
      </c>
      <c r="CX17" s="427"/>
      <c r="CY17" s="420">
        <f t="shared" si="6"/>
        <v>1070308.9689959062</v>
      </c>
      <c r="CZ17" s="420">
        <f t="shared" si="7"/>
        <v>3903718.6895666244</v>
      </c>
      <c r="DA17" s="420">
        <f t="shared" si="8"/>
        <v>205912.18758670019</v>
      </c>
      <c r="DB17" s="420">
        <f t="shared" si="9"/>
        <v>9543.3350872093342</v>
      </c>
    </row>
    <row r="18" spans="1:106">
      <c r="A18" s="434" t="s">
        <v>824</v>
      </c>
      <c r="B18" s="428">
        <v>1246073.7267834293</v>
      </c>
      <c r="C18" s="428">
        <v>206951.81861240842</v>
      </c>
      <c r="D18" s="428">
        <v>0</v>
      </c>
      <c r="E18" s="428">
        <v>110706.62776735706</v>
      </c>
      <c r="F18" s="428">
        <v>5190.5074658137919</v>
      </c>
      <c r="G18" s="428"/>
      <c r="H18" s="428">
        <v>177339.24033819692</v>
      </c>
      <c r="I18" s="428">
        <v>8314.5938912662841</v>
      </c>
      <c r="J18" s="428"/>
      <c r="K18" s="429">
        <v>4871.1238501196385</v>
      </c>
      <c r="L18" s="429">
        <v>1217.7809625299096</v>
      </c>
      <c r="M18" s="429">
        <v>0</v>
      </c>
      <c r="N18" s="429">
        <v>498631.27115495282</v>
      </c>
      <c r="O18" s="429">
        <v>907631.18161639571</v>
      </c>
      <c r="P18" s="429">
        <v>1325.2452277664718</v>
      </c>
      <c r="Q18" s="429">
        <v>936664.93067128037</v>
      </c>
      <c r="R18" s="429">
        <v>29664.529690934098</v>
      </c>
      <c r="S18" s="429">
        <v>850821.78668310121</v>
      </c>
      <c r="T18" s="429">
        <v>284295.08192330645</v>
      </c>
      <c r="U18" s="428">
        <v>13370.614939736593</v>
      </c>
      <c r="V18" s="428">
        <v>16943.694859211744</v>
      </c>
      <c r="W18" s="428">
        <v>9831.1250511809376</v>
      </c>
      <c r="X18" s="428">
        <v>135580.32058462378</v>
      </c>
      <c r="Y18" s="428">
        <v>0</v>
      </c>
      <c r="Z18" s="428">
        <v>0</v>
      </c>
      <c r="AA18" s="429">
        <v>16.18555632924603</v>
      </c>
      <c r="AB18" s="429">
        <v>5.2005854128968698</v>
      </c>
      <c r="AC18" s="429">
        <v>229.89694003632985</v>
      </c>
      <c r="AD18" s="429">
        <v>63792.824666586348</v>
      </c>
      <c r="AE18" s="429">
        <v>127.36680026336748</v>
      </c>
      <c r="AF18" s="429">
        <v>3.0068594466612253</v>
      </c>
      <c r="AG18" s="429">
        <v>219.44996820827171</v>
      </c>
      <c r="AH18" s="429">
        <v>14524.042060175036</v>
      </c>
      <c r="AI18" s="429">
        <v>4861.9017136020184</v>
      </c>
      <c r="AJ18" s="429">
        <v>247.07414118569417</v>
      </c>
      <c r="AK18" s="429">
        <v>18196.097545296121</v>
      </c>
      <c r="AL18" s="333"/>
      <c r="AM18" s="429">
        <v>11712.142205888302</v>
      </c>
      <c r="AN18" s="430">
        <v>233818.89440000005</v>
      </c>
      <c r="AO18" s="430">
        <v>96717.420721236937</v>
      </c>
      <c r="AP18" s="430">
        <v>38770.512961440007</v>
      </c>
      <c r="AQ18" s="429">
        <v>67422.854985429585</v>
      </c>
      <c r="AR18" s="429">
        <v>33109.806467601287</v>
      </c>
      <c r="AS18" s="429">
        <v>88784.907462927367</v>
      </c>
      <c r="AT18" s="428">
        <v>73982.633757125368</v>
      </c>
      <c r="AU18" s="428">
        <v>315788.08486476575</v>
      </c>
      <c r="AV18" s="433">
        <v>5333999.718425543</v>
      </c>
      <c r="AW18" s="428">
        <v>1147747.4633938007</v>
      </c>
      <c r="AX18" s="428">
        <v>190614.19584886567</v>
      </c>
      <c r="AY18" s="428">
        <v>0</v>
      </c>
      <c r="AZ18" s="428">
        <v>968926.90754152066</v>
      </c>
      <c r="BA18" s="428">
        <v>45428.376320799187</v>
      </c>
      <c r="BB18" s="428"/>
      <c r="BC18" s="428">
        <v>2935301.9371247301</v>
      </c>
      <c r="BD18" s="428">
        <v>137622.35311765136</v>
      </c>
      <c r="BE18" s="428"/>
      <c r="BF18" s="429">
        <v>19913.558387855261</v>
      </c>
      <c r="BG18" s="429">
        <v>4978.3895969638152</v>
      </c>
      <c r="BH18" s="429">
        <v>0</v>
      </c>
      <c r="BI18" s="429">
        <v>579920.8929889123</v>
      </c>
      <c r="BJ18" s="429">
        <v>352681.96913753136</v>
      </c>
      <c r="BK18" s="429">
        <v>3712.3208962399967</v>
      </c>
      <c r="BL18" s="429">
        <v>1118977.9546115976</v>
      </c>
      <c r="BM18" s="429">
        <v>24766.763149298644</v>
      </c>
      <c r="BN18" s="429">
        <v>806837.85967622011</v>
      </c>
      <c r="BO18" s="429">
        <v>286314.85059926525</v>
      </c>
      <c r="BP18" s="428">
        <v>20355.639400030617</v>
      </c>
      <c r="BQ18" s="428">
        <v>25795.353782363978</v>
      </c>
      <c r="BR18" s="428">
        <v>6167.712589304364</v>
      </c>
      <c r="BS18" s="428">
        <v>171938.78050786941</v>
      </c>
      <c r="BT18" s="428">
        <v>0</v>
      </c>
      <c r="BU18" s="428">
        <v>0</v>
      </c>
      <c r="BV18" s="431">
        <v>3.9810078259154693</v>
      </c>
      <c r="BW18" s="431">
        <v>5.063548160189927</v>
      </c>
      <c r="BX18" s="429">
        <v>241.76457782487023</v>
      </c>
      <c r="BY18" s="429">
        <v>29504.757709548365</v>
      </c>
      <c r="BZ18" s="429">
        <v>121.28436823030788</v>
      </c>
      <c r="CA18" s="429">
        <v>10.606673168098144</v>
      </c>
      <c r="CB18" s="429">
        <v>208.7225545251674</v>
      </c>
      <c r="CC18" s="429">
        <v>13650.726602840326</v>
      </c>
      <c r="CD18" s="429">
        <v>4569.5606489769571</v>
      </c>
      <c r="CE18" s="429">
        <v>220.17690691211482</v>
      </c>
      <c r="CF18" s="429">
        <v>17282.006129693189</v>
      </c>
      <c r="CG18" s="333"/>
      <c r="CH18" s="429">
        <v>10506.278645775838</v>
      </c>
      <c r="CI18" s="430">
        <v>201199.7000180649</v>
      </c>
      <c r="CJ18" s="430">
        <v>67066.566672688321</v>
      </c>
      <c r="CK18" s="430">
        <v>38312.689453740008</v>
      </c>
      <c r="CL18" s="429">
        <v>142378.75465044234</v>
      </c>
      <c r="CM18" s="429">
        <v>29391.489281504862</v>
      </c>
      <c r="CN18" s="429">
        <v>79643.7544001106</v>
      </c>
      <c r="CO18" s="428">
        <v>85690.38483812772</v>
      </c>
      <c r="CP18" s="428">
        <v>380104.69145261048</v>
      </c>
      <c r="CQ18" s="420">
        <f t="shared" si="0"/>
        <v>6507755.5067365672</v>
      </c>
      <c r="CR18" s="420">
        <f t="shared" si="1"/>
        <v>9948116.2388115954</v>
      </c>
      <c r="CT18" s="420">
        <f t="shared" si="2"/>
        <v>3846338.4309339542</v>
      </c>
      <c r="CU18" s="420">
        <f t="shared" si="3"/>
        <v>1628751.3008305908</v>
      </c>
      <c r="CV18" s="420">
        <f t="shared" si="4"/>
        <v>948395.11562052625</v>
      </c>
      <c r="CW18" s="420">
        <f t="shared" si="5"/>
        <v>113935.18904243027</v>
      </c>
      <c r="CX18" s="427"/>
      <c r="CY18" s="420">
        <f t="shared" si="6"/>
        <v>7285384.1331485864</v>
      </c>
      <c r="CZ18" s="420">
        <f t="shared" si="7"/>
        <v>1562619.1455222347</v>
      </c>
      <c r="DA18" s="420">
        <f t="shared" si="8"/>
        <v>1023788.0307672892</v>
      </c>
      <c r="DB18" s="420">
        <f t="shared" si="9"/>
        <v>76324.92937348134</v>
      </c>
    </row>
    <row r="19" spans="1:106">
      <c r="A19" s="434" t="s">
        <v>823</v>
      </c>
      <c r="B19" s="428">
        <v>6455260.0498750005</v>
      </c>
      <c r="C19" s="428">
        <v>2061236.1131000002</v>
      </c>
      <c r="D19" s="428">
        <v>0</v>
      </c>
      <c r="E19" s="428">
        <v>932162.27920686721</v>
      </c>
      <c r="F19" s="428">
        <v>42384.019394571631</v>
      </c>
      <c r="G19" s="428">
        <v>355904.99556121125</v>
      </c>
      <c r="H19" s="428">
        <v>254279.77998946735</v>
      </c>
      <c r="I19" s="428">
        <v>11145.28032726204</v>
      </c>
      <c r="J19" s="428">
        <v>90231.045058748743</v>
      </c>
      <c r="K19" s="429">
        <v>191428.96571937279</v>
      </c>
      <c r="L19" s="429">
        <v>47983.880305493127</v>
      </c>
      <c r="M19" s="429">
        <v>28608.193046669636</v>
      </c>
      <c r="N19" s="429">
        <v>7609403.9092792775</v>
      </c>
      <c r="O19" s="429">
        <v>3868309.0559627591</v>
      </c>
      <c r="P19" s="429">
        <v>94586.093766782957</v>
      </c>
      <c r="Q19" s="429">
        <v>4006766.5269851196</v>
      </c>
      <c r="R19" s="429">
        <v>183917.53282336448</v>
      </c>
      <c r="S19" s="429">
        <v>11237516.800696652</v>
      </c>
      <c r="T19" s="429">
        <v>1166684.6291757473</v>
      </c>
      <c r="U19" s="428">
        <v>108633.25021750902</v>
      </c>
      <c r="V19" s="428">
        <v>47648.957087552226</v>
      </c>
      <c r="W19" s="428">
        <v>178880.45544711454</v>
      </c>
      <c r="X19" s="428">
        <v>687781.56700969732</v>
      </c>
      <c r="Y19" s="428">
        <v>274286.75140732864</v>
      </c>
      <c r="Z19" s="428">
        <v>1854369.5348355174</v>
      </c>
      <c r="AA19" s="429">
        <v>66.480693410967504</v>
      </c>
      <c r="AB19" s="429">
        <v>34.262587999244715</v>
      </c>
      <c r="AC19" s="429">
        <v>1688.408816367084</v>
      </c>
      <c r="AD19" s="429">
        <v>167388.42725529731</v>
      </c>
      <c r="AE19" s="429">
        <v>633.79811956882372</v>
      </c>
      <c r="AF19" s="429">
        <v>238.4932921514808</v>
      </c>
      <c r="AG19" s="429">
        <v>1073.3771694935301</v>
      </c>
      <c r="AH19" s="429">
        <v>139790.54394296184</v>
      </c>
      <c r="AI19" s="429">
        <v>10895.358948505471</v>
      </c>
      <c r="AJ19" s="429">
        <v>5607.8726805867318</v>
      </c>
      <c r="AK19" s="429">
        <v>47191.847776639806</v>
      </c>
      <c r="AL19" s="333"/>
      <c r="AM19" s="429">
        <v>242335.75442376873</v>
      </c>
      <c r="AN19" s="430">
        <v>1949462.6869199998</v>
      </c>
      <c r="AO19" s="430">
        <v>245734.44237617654</v>
      </c>
      <c r="AP19" s="430">
        <v>222634.90958716802</v>
      </c>
      <c r="AQ19" s="429">
        <v>733189.28324414638</v>
      </c>
      <c r="AR19" s="429">
        <v>190128.99769199383</v>
      </c>
      <c r="AS19" s="429">
        <v>514258.43227186392</v>
      </c>
      <c r="AT19" s="428">
        <v>324883.09642345511</v>
      </c>
      <c r="AU19" s="428">
        <v>775344.85642417939</v>
      </c>
      <c r="AV19" s="433">
        <v>49890178.845437057</v>
      </c>
      <c r="AW19" s="428">
        <v>6494841.4479361111</v>
      </c>
      <c r="AX19" s="428">
        <v>2132860.7740999996</v>
      </c>
      <c r="AY19" s="428">
        <v>0</v>
      </c>
      <c r="AZ19" s="428">
        <v>4246130.3290894646</v>
      </c>
      <c r="BA19" s="428">
        <v>194298.7286491917</v>
      </c>
      <c r="BB19" s="428">
        <v>1570710.628199033</v>
      </c>
      <c r="BC19" s="428">
        <v>3706057.3584786053</v>
      </c>
      <c r="BD19" s="428">
        <v>162408.63572226488</v>
      </c>
      <c r="BE19" s="428">
        <v>1316286.7865655264</v>
      </c>
      <c r="BF19" s="429">
        <v>442166.69682462804</v>
      </c>
      <c r="BG19" s="429">
        <v>110742.32803661763</v>
      </c>
      <c r="BH19" s="429">
        <v>66214.808411859209</v>
      </c>
      <c r="BI19" s="429">
        <v>7493646.6095247874</v>
      </c>
      <c r="BJ19" s="429">
        <v>2007242.306824073</v>
      </c>
      <c r="BK19" s="429">
        <v>84888.959871879037</v>
      </c>
      <c r="BL19" s="429">
        <v>3965846.0567644751</v>
      </c>
      <c r="BM19" s="429">
        <v>147658.1370550424</v>
      </c>
      <c r="BN19" s="429">
        <v>12538979.14193999</v>
      </c>
      <c r="BO19" s="429">
        <v>1079881.7041675637</v>
      </c>
      <c r="BP19" s="428">
        <v>92734.779977309096</v>
      </c>
      <c r="BQ19" s="428">
        <v>40675.534818438173</v>
      </c>
      <c r="BR19" s="428">
        <v>199490.11799041153</v>
      </c>
      <c r="BS19" s="428">
        <v>687515.60855509643</v>
      </c>
      <c r="BT19" s="428">
        <v>261588.29069402622</v>
      </c>
      <c r="BU19" s="428">
        <v>1854369.5348355174</v>
      </c>
      <c r="BV19" s="431">
        <v>14.576138681157968</v>
      </c>
      <c r="BW19" s="431">
        <v>41.753510290374699</v>
      </c>
      <c r="BX19" s="429">
        <v>1642.8290438079346</v>
      </c>
      <c r="BY19" s="429">
        <v>32997.377294543949</v>
      </c>
      <c r="BZ19" s="429">
        <v>735.298555403617</v>
      </c>
      <c r="CA19" s="429">
        <v>218.30173318364569</v>
      </c>
      <c r="CB19" s="429">
        <v>1240.8186872778649</v>
      </c>
      <c r="CC19" s="429">
        <v>140016.87336503176</v>
      </c>
      <c r="CD19" s="429">
        <v>10912.999199587593</v>
      </c>
      <c r="CE19" s="429">
        <v>5325.7027969947949</v>
      </c>
      <c r="CF19" s="429">
        <v>47765.814829451963</v>
      </c>
      <c r="CG19" s="333"/>
      <c r="CH19" s="429">
        <v>231641.17604419834</v>
      </c>
      <c r="CI19" s="430">
        <v>1685960.9040000001</v>
      </c>
      <c r="CJ19" s="430">
        <v>212519.41131893848</v>
      </c>
      <c r="CK19" s="430">
        <v>234433.70109900003</v>
      </c>
      <c r="CL19" s="429">
        <v>1840832.1249780511</v>
      </c>
      <c r="CM19" s="429">
        <v>179845.26044287274</v>
      </c>
      <c r="CN19" s="429">
        <v>491563.56776718557</v>
      </c>
      <c r="CO19" s="428">
        <v>363498.72745065176</v>
      </c>
      <c r="CP19" s="428">
        <v>987480.07622293406</v>
      </c>
      <c r="CQ19" s="420">
        <f t="shared" si="0"/>
        <v>47361990.996924818</v>
      </c>
      <c r="CR19" s="420">
        <f t="shared" si="1"/>
        <v>57365922.599509984</v>
      </c>
      <c r="CT19" s="420">
        <f t="shared" si="2"/>
        <v>30305230.520122733</v>
      </c>
      <c r="CU19" s="420">
        <f t="shared" si="3"/>
        <v>11668096.678979719</v>
      </c>
      <c r="CV19" s="420">
        <f t="shared" si="4"/>
        <v>4955636.7049389835</v>
      </c>
      <c r="CW19" s="420">
        <f t="shared" si="5"/>
        <v>616944.62570675102</v>
      </c>
      <c r="CX19" s="427"/>
      <c r="CY19" s="420">
        <f t="shared" si="6"/>
        <v>39133159.216125004</v>
      </c>
      <c r="CZ19" s="420">
        <f t="shared" si="7"/>
        <v>11764076.08890691</v>
      </c>
      <c r="DA19" s="420">
        <f t="shared" si="8"/>
        <v>5996133.7732796334</v>
      </c>
      <c r="DB19" s="420">
        <f t="shared" si="9"/>
        <v>472553.52119845303</v>
      </c>
    </row>
    <row r="20" spans="1:106">
      <c r="A20" s="434" t="s">
        <v>822</v>
      </c>
      <c r="B20" s="428">
        <v>19432391.370145004</v>
      </c>
      <c r="C20" s="428">
        <v>2509652.5497999997</v>
      </c>
      <c r="D20" s="428">
        <v>1916097.6096999999</v>
      </c>
      <c r="E20" s="428">
        <v>0</v>
      </c>
      <c r="F20" s="428">
        <v>0</v>
      </c>
      <c r="G20" s="428">
        <v>0</v>
      </c>
      <c r="H20" s="428">
        <v>0</v>
      </c>
      <c r="I20" s="428">
        <v>0</v>
      </c>
      <c r="J20" s="428">
        <v>0</v>
      </c>
      <c r="K20" s="429">
        <v>0</v>
      </c>
      <c r="L20" s="429">
        <v>0</v>
      </c>
      <c r="M20" s="429">
        <v>0</v>
      </c>
      <c r="N20" s="429">
        <v>2294146.8692841926</v>
      </c>
      <c r="O20" s="429">
        <v>97906.339328659466</v>
      </c>
      <c r="P20" s="429">
        <v>4183.4875204437212</v>
      </c>
      <c r="Q20" s="429">
        <v>5594.5737863027716</v>
      </c>
      <c r="R20" s="429">
        <v>40498.756148058543</v>
      </c>
      <c r="S20" s="429">
        <v>1351995.4527746129</v>
      </c>
      <c r="T20" s="429">
        <v>169529.07724099178</v>
      </c>
      <c r="U20" s="428">
        <v>981968.29135105561</v>
      </c>
      <c r="V20" s="428">
        <v>5063.9907807489753</v>
      </c>
      <c r="W20" s="428">
        <v>313523.31631776586</v>
      </c>
      <c r="X20" s="428">
        <v>172963.25511667499</v>
      </c>
      <c r="Y20" s="428">
        <v>1696361.0151270898</v>
      </c>
      <c r="Z20" s="428">
        <v>6821355.1679723477</v>
      </c>
      <c r="AA20" s="429"/>
      <c r="AB20" s="429"/>
      <c r="AC20" s="429">
        <v>225.49621689936043</v>
      </c>
      <c r="AD20" s="429"/>
      <c r="AE20" s="429"/>
      <c r="AF20" s="429">
        <v>7.3653788795638846</v>
      </c>
      <c r="AG20" s="429"/>
      <c r="AH20" s="429">
        <v>16205.621445886954</v>
      </c>
      <c r="AI20" s="429">
        <v>2005.3734275020049</v>
      </c>
      <c r="AJ20" s="429">
        <v>88.838702500650498</v>
      </c>
      <c r="AK20" s="429">
        <v>6084.6925646079872</v>
      </c>
      <c r="AL20" s="333"/>
      <c r="AM20" s="429">
        <v>13498.03877704693</v>
      </c>
      <c r="AN20" s="430">
        <v>160521.0987123512</v>
      </c>
      <c r="AO20" s="430">
        <v>86434.437768189091</v>
      </c>
      <c r="AP20" s="430">
        <v>26649.996624576004</v>
      </c>
      <c r="AQ20" s="429">
        <v>6747.9278216622406</v>
      </c>
      <c r="AR20" s="429">
        <v>22758.951667199359</v>
      </c>
      <c r="AS20" s="429">
        <v>237640.94217668331</v>
      </c>
      <c r="AT20" s="428">
        <v>98407.231901592619</v>
      </c>
      <c r="AU20" s="428">
        <v>279769.10762022977</v>
      </c>
      <c r="AV20" s="433">
        <v>14572794.199665243</v>
      </c>
      <c r="AW20" s="428">
        <v>19195630.892150559</v>
      </c>
      <c r="AX20" s="428">
        <v>2760545.7860222221</v>
      </c>
      <c r="AY20" s="428">
        <v>2088328.4929222222</v>
      </c>
      <c r="AZ20" s="428">
        <v>0</v>
      </c>
      <c r="BA20" s="428">
        <v>0</v>
      </c>
      <c r="BB20" s="428">
        <v>0</v>
      </c>
      <c r="BC20" s="428">
        <v>0</v>
      </c>
      <c r="BD20" s="428">
        <v>0</v>
      </c>
      <c r="BE20" s="428">
        <v>0</v>
      </c>
      <c r="BF20" s="429">
        <v>0</v>
      </c>
      <c r="BG20" s="429">
        <v>0</v>
      </c>
      <c r="BH20" s="429">
        <v>0</v>
      </c>
      <c r="BI20" s="429">
        <v>2407565.373408509</v>
      </c>
      <c r="BJ20" s="429">
        <v>17980.586049109344</v>
      </c>
      <c r="BK20" s="429">
        <v>2419.5645952224622</v>
      </c>
      <c r="BL20" s="429">
        <v>5470.1272121695156</v>
      </c>
      <c r="BM20" s="429">
        <v>40193.102116083603</v>
      </c>
      <c r="BN20" s="429">
        <v>1314010.9857692004</v>
      </c>
      <c r="BO20" s="429">
        <v>166072.83979486258</v>
      </c>
      <c r="BP20" s="428">
        <v>825520.2785930722</v>
      </c>
      <c r="BQ20" s="428">
        <v>4257.191517217866</v>
      </c>
      <c r="BR20" s="428">
        <v>311067.13151105732</v>
      </c>
      <c r="BS20" s="428">
        <v>159338.01342004153</v>
      </c>
      <c r="BT20" s="428">
        <v>2110509.3556214301</v>
      </c>
      <c r="BU20" s="428">
        <v>6821355.1679723477</v>
      </c>
      <c r="BV20" s="431"/>
      <c r="BW20" s="431"/>
      <c r="BX20" s="429">
        <v>269.32522738449899</v>
      </c>
      <c r="BY20" s="429"/>
      <c r="BZ20" s="429"/>
      <c r="CA20" s="429">
        <v>4.4939533997703984</v>
      </c>
      <c r="CB20" s="429"/>
      <c r="CC20" s="429">
        <v>15302.022221537554</v>
      </c>
      <c r="CD20" s="429">
        <v>1893.5570507174157</v>
      </c>
      <c r="CE20" s="429">
        <v>79.535597252636734</v>
      </c>
      <c r="CF20" s="429">
        <v>5805.8980595700341</v>
      </c>
      <c r="CG20" s="333"/>
      <c r="CH20" s="429">
        <v>12257.999728467388</v>
      </c>
      <c r="CI20" s="430">
        <v>152181.99482093568</v>
      </c>
      <c r="CJ20" s="430">
        <v>50727.331606978558</v>
      </c>
      <c r="CK20" s="430">
        <v>26660.887885710006</v>
      </c>
      <c r="CL20" s="429">
        <v>10666.465996736688</v>
      </c>
      <c r="CM20" s="429">
        <v>20452.837211399543</v>
      </c>
      <c r="CN20" s="429">
        <v>215809.32258307069</v>
      </c>
      <c r="CO20" s="428">
        <v>112682.86077620575</v>
      </c>
      <c r="CP20" s="428">
        <v>358192.36754180532</v>
      </c>
      <c r="CQ20" s="420">
        <f t="shared" si="0"/>
        <v>38770276.243199758</v>
      </c>
      <c r="CR20" s="420">
        <f t="shared" si="1"/>
        <v>39213251.788936511</v>
      </c>
      <c r="CT20" s="420">
        <f t="shared" si="2"/>
        <v>4004353.3122313204</v>
      </c>
      <c r="CU20" s="420">
        <f t="shared" si="3"/>
        <v>33849376.566310681</v>
      </c>
      <c r="CV20" s="420">
        <f t="shared" si="4"/>
        <v>918929.69429248362</v>
      </c>
      <c r="CW20" s="420">
        <f t="shared" si="5"/>
        <v>38115.426513323451</v>
      </c>
      <c r="CX20" s="427"/>
      <c r="CY20" s="420">
        <f t="shared" si="6"/>
        <v>3953712.5789451567</v>
      </c>
      <c r="CZ20" s="420">
        <f t="shared" si="7"/>
        <v>34276552.309730172</v>
      </c>
      <c r="DA20" s="420">
        <f t="shared" si="8"/>
        <v>947374.06842284231</v>
      </c>
      <c r="DB20" s="420">
        <f t="shared" si="9"/>
        <v>35612.831838329294</v>
      </c>
    </row>
    <row r="21" spans="1:106">
      <c r="A21" s="434" t="s">
        <v>821</v>
      </c>
      <c r="B21" s="428">
        <v>24429387.395854998</v>
      </c>
      <c r="C21" s="428">
        <v>4567923.1212999998</v>
      </c>
      <c r="D21" s="428">
        <v>0</v>
      </c>
      <c r="E21" s="428">
        <v>672084.48867332842</v>
      </c>
      <c r="F21" s="428">
        <v>28283.949946713554</v>
      </c>
      <c r="G21" s="428">
        <v>497126.0677135975</v>
      </c>
      <c r="H21" s="428">
        <v>161955.23271004128</v>
      </c>
      <c r="I21" s="428">
        <v>6870.3166597335658</v>
      </c>
      <c r="J21" s="428">
        <v>118457.29019299561</v>
      </c>
      <c r="K21" s="429">
        <v>589222.88936465338</v>
      </c>
      <c r="L21" s="429">
        <v>133681.45146809981</v>
      </c>
      <c r="M21" s="429">
        <v>874186.74187037873</v>
      </c>
      <c r="N21" s="429">
        <v>19434021.702358771</v>
      </c>
      <c r="O21" s="429">
        <v>31975379.010896564</v>
      </c>
      <c r="P21" s="429">
        <v>920721.99236595794</v>
      </c>
      <c r="Q21" s="429">
        <v>549792.62573059544</v>
      </c>
      <c r="R21" s="429">
        <v>667053.13332908496</v>
      </c>
      <c r="S21" s="429">
        <v>15186248.632119384</v>
      </c>
      <c r="T21" s="429">
        <v>4013123.0473623839</v>
      </c>
      <c r="U21" s="428">
        <v>522697.91444221413</v>
      </c>
      <c r="V21" s="428">
        <v>227626.91393605806</v>
      </c>
      <c r="W21" s="428">
        <v>161661.47998313283</v>
      </c>
      <c r="X21" s="428">
        <v>898972.84769385343</v>
      </c>
      <c r="Y21" s="428">
        <v>214980.53935262118</v>
      </c>
      <c r="Z21" s="428">
        <v>1238344.3515903486</v>
      </c>
      <c r="AA21" s="429">
        <v>7.7815533737022387</v>
      </c>
      <c r="AB21" s="429">
        <v>0.25959727777065267</v>
      </c>
      <c r="AC21" s="429">
        <v>2293.2126476994408</v>
      </c>
      <c r="AD21" s="429">
        <v>1277761.1888717124</v>
      </c>
      <c r="AE21" s="429">
        <v>2.3630399141351863</v>
      </c>
      <c r="AF21" s="429">
        <v>2321.146506020717</v>
      </c>
      <c r="AG21" s="429">
        <v>3.7087667487918718</v>
      </c>
      <c r="AH21" s="429">
        <v>89105.068326029665</v>
      </c>
      <c r="AI21" s="429">
        <v>46344.1865015847</v>
      </c>
      <c r="AJ21" s="429">
        <v>8057.0051726725051</v>
      </c>
      <c r="AK21" s="429">
        <v>102816.81259247394</v>
      </c>
      <c r="AL21" s="333">
        <v>787972.98647885572</v>
      </c>
      <c r="AM21" s="429">
        <v>175045.96831511377</v>
      </c>
      <c r="AN21" s="430">
        <v>2085276.86136</v>
      </c>
      <c r="AO21" s="430">
        <v>698345.58293036057</v>
      </c>
      <c r="AP21" s="430">
        <v>285396.381757344</v>
      </c>
      <c r="AQ21" s="429">
        <v>249592.06257414998</v>
      </c>
      <c r="AR21" s="429">
        <v>243726.95238614525</v>
      </c>
      <c r="AS21" s="429">
        <v>775824.56022797269</v>
      </c>
      <c r="AT21" s="428">
        <v>479583.10399999889</v>
      </c>
      <c r="AU21" s="428">
        <v>371079.12979999906</v>
      </c>
      <c r="AV21" s="433">
        <v>105830124.45013677</v>
      </c>
      <c r="AW21" s="428">
        <v>22640310.731162217</v>
      </c>
      <c r="AX21" s="428">
        <v>4462388.6045000004</v>
      </c>
      <c r="AY21" s="428">
        <v>0</v>
      </c>
      <c r="AZ21" s="428">
        <v>3320020.0511400783</v>
      </c>
      <c r="BA21" s="428">
        <v>140511.61800829077</v>
      </c>
      <c r="BB21" s="428">
        <v>2446304.0943561359</v>
      </c>
      <c r="BC21" s="428">
        <v>2679108.8057378749</v>
      </c>
      <c r="BD21" s="428">
        <v>114055.00516766863</v>
      </c>
      <c r="BE21" s="428">
        <v>1960796.688069697</v>
      </c>
      <c r="BF21" s="429">
        <v>1317209.4611589781</v>
      </c>
      <c r="BG21" s="429">
        <v>298447.10398713301</v>
      </c>
      <c r="BH21" s="429">
        <v>2071193.7522715868</v>
      </c>
      <c r="BI21" s="429">
        <v>18810501.573774111</v>
      </c>
      <c r="BJ21" s="429">
        <v>29675444.375603713</v>
      </c>
      <c r="BK21" s="429">
        <v>826655.78206217161</v>
      </c>
      <c r="BL21" s="429">
        <v>429910.91765062546</v>
      </c>
      <c r="BM21" s="429">
        <v>629991.29160965537</v>
      </c>
      <c r="BN21" s="429">
        <v>15052200.764666906</v>
      </c>
      <c r="BO21" s="429">
        <v>3858388.6938767498</v>
      </c>
      <c r="BP21" s="428">
        <v>604211.84751854872</v>
      </c>
      <c r="BQ21" s="428">
        <v>263124.97986723116</v>
      </c>
      <c r="BR21" s="428">
        <v>177184.31365578415</v>
      </c>
      <c r="BS21" s="428">
        <v>1013048.8386162267</v>
      </c>
      <c r="BT21" s="428">
        <v>205027.73660481483</v>
      </c>
      <c r="BU21" s="428">
        <v>1238344.3515903486</v>
      </c>
      <c r="BV21" s="431">
        <v>1.5613815300399569</v>
      </c>
      <c r="BW21" s="431">
        <v>0.24429223827101329</v>
      </c>
      <c r="BX21" s="429">
        <v>2472.6171183905708</v>
      </c>
      <c r="BY21" s="429">
        <v>1296811.7858872004</v>
      </c>
      <c r="BZ21" s="429">
        <v>2.6128058538768948</v>
      </c>
      <c r="CA21" s="429">
        <v>2361.8583353323315</v>
      </c>
      <c r="CB21" s="429">
        <v>4.1958171294731175</v>
      </c>
      <c r="CC21" s="429">
        <v>88961.837071947419</v>
      </c>
      <c r="CD21" s="429">
        <v>46269.690896825647</v>
      </c>
      <c r="CE21" s="429">
        <v>7626.9549055217512</v>
      </c>
      <c r="CF21" s="429">
        <v>103732.0830325306</v>
      </c>
      <c r="CG21" s="333">
        <v>2274422.504473648</v>
      </c>
      <c r="CH21" s="429">
        <v>168453.63750172936</v>
      </c>
      <c r="CI21" s="430">
        <v>1817750.1117944741</v>
      </c>
      <c r="CJ21" s="430">
        <v>605916.70393149147</v>
      </c>
      <c r="CK21" s="430">
        <v>302555.64340989001</v>
      </c>
      <c r="CL21" s="429">
        <v>588663.58908479719</v>
      </c>
      <c r="CM21" s="429">
        <v>232104.84769224466</v>
      </c>
      <c r="CN21" s="429">
        <v>746606.56564403395</v>
      </c>
      <c r="CO21" s="428">
        <v>500705.57288888749</v>
      </c>
      <c r="CP21" s="428">
        <v>487115.54979999899</v>
      </c>
      <c r="CQ21" s="420">
        <f t="shared" si="0"/>
        <v>115770359.46032093</v>
      </c>
      <c r="CR21" s="420">
        <f t="shared" si="1"/>
        <v>123506921.55042224</v>
      </c>
      <c r="CT21" s="420">
        <f t="shared" si="2"/>
        <v>76495261.706091374</v>
      </c>
      <c r="CU21" s="420">
        <f t="shared" si="3"/>
        <v>32261594.564153232</v>
      </c>
      <c r="CV21" s="420">
        <f t="shared" si="4"/>
        <v>5188824.6350359712</v>
      </c>
      <c r="CW21" s="420">
        <f t="shared" si="5"/>
        <v>2491731.6883694776</v>
      </c>
      <c r="CX21" s="427"/>
      <c r="CY21" s="420">
        <f t="shared" si="6"/>
        <v>83630739.979141369</v>
      </c>
      <c r="CZ21" s="420">
        <f t="shared" si="7"/>
        <v>30603641.403515168</v>
      </c>
      <c r="DA21" s="420">
        <f t="shared" si="8"/>
        <v>5281418.5842458177</v>
      </c>
      <c r="DB21" s="420">
        <f t="shared" si="9"/>
        <v>3991121.5835198774</v>
      </c>
    </row>
    <row r="22" spans="1:106">
      <c r="A22" s="434" t="s">
        <v>820</v>
      </c>
      <c r="B22" s="428">
        <v>1999384.5747849999</v>
      </c>
      <c r="C22" s="428">
        <v>188015.33569999994</v>
      </c>
      <c r="D22" s="428">
        <v>0</v>
      </c>
      <c r="E22" s="431">
        <v>54856.25752310003</v>
      </c>
      <c r="F22" s="431">
        <v>2372.1624874854065</v>
      </c>
      <c r="G22" s="431">
        <v>38547.640421637858</v>
      </c>
      <c r="H22" s="431">
        <v>12163.531897722318</v>
      </c>
      <c r="I22" s="431">
        <v>525.99056855015419</v>
      </c>
      <c r="J22" s="431">
        <v>8547.3467389400066</v>
      </c>
      <c r="K22" s="429">
        <v>37643.105228766595</v>
      </c>
      <c r="L22" s="429">
        <v>8365.1344952814652</v>
      </c>
      <c r="M22" s="429">
        <v>38431.641832527173</v>
      </c>
      <c r="N22" s="429">
        <v>712090.94528137194</v>
      </c>
      <c r="O22" s="429">
        <v>2419125.9104846069</v>
      </c>
      <c r="P22" s="429">
        <v>53017.699628188435</v>
      </c>
      <c r="Q22" s="429">
        <v>59626.061679682709</v>
      </c>
      <c r="R22" s="429">
        <v>31169.619988022569</v>
      </c>
      <c r="S22" s="429">
        <v>411879.2414059799</v>
      </c>
      <c r="T22" s="429">
        <v>270392.24783309893</v>
      </c>
      <c r="U22" s="428">
        <v>13855.044704319227</v>
      </c>
      <c r="V22" s="428">
        <v>107147.0692820222</v>
      </c>
      <c r="W22" s="428">
        <v>12078.593445465904</v>
      </c>
      <c r="X22" s="428">
        <v>69116.183717665364</v>
      </c>
      <c r="Y22" s="428">
        <v>0</v>
      </c>
      <c r="Z22" s="428">
        <v>0</v>
      </c>
      <c r="AA22" s="429"/>
      <c r="AB22" s="429">
        <v>0.13722096809145537</v>
      </c>
      <c r="AC22" s="429">
        <v>70.748884287678578</v>
      </c>
      <c r="AD22" s="429">
        <v>172489.14910090237</v>
      </c>
      <c r="AE22" s="429">
        <v>3.7114026063414163</v>
      </c>
      <c r="AF22" s="429">
        <v>81.443313361049093</v>
      </c>
      <c r="AG22" s="429">
        <v>6.4265036694181656</v>
      </c>
      <c r="AH22" s="429">
        <v>10799.382001471553</v>
      </c>
      <c r="AI22" s="429">
        <v>763.22352499392923</v>
      </c>
      <c r="AJ22" s="429">
        <v>158.50394044141134</v>
      </c>
      <c r="AK22" s="429">
        <v>3999.499932459652</v>
      </c>
      <c r="AL22" s="333"/>
      <c r="AM22" s="429">
        <v>5377.8798489185783</v>
      </c>
      <c r="AN22" s="430">
        <v>173642.11704000001</v>
      </c>
      <c r="AO22" s="430">
        <v>6794.5542078468343</v>
      </c>
      <c r="AP22" s="430">
        <v>18483.973673568005</v>
      </c>
      <c r="AQ22" s="429">
        <v>5217.7260621480009</v>
      </c>
      <c r="AR22" s="429">
        <v>15785.212635508627</v>
      </c>
      <c r="AS22" s="429">
        <v>13526.870477932393</v>
      </c>
      <c r="AT22" s="428">
        <v>28089.599999999999</v>
      </c>
      <c r="AU22" s="428">
        <v>70410.399999999965</v>
      </c>
      <c r="AV22" s="433">
        <v>4934082.3150551803</v>
      </c>
      <c r="AW22" s="428">
        <v>1889084.203507222</v>
      </c>
      <c r="AX22" s="428">
        <v>177928.38892222208</v>
      </c>
      <c r="AY22" s="428">
        <v>0</v>
      </c>
      <c r="AZ22" s="431">
        <v>217722.86626074871</v>
      </c>
      <c r="BA22" s="431">
        <v>9415.0428653296749</v>
      </c>
      <c r="BB22" s="431">
        <v>152994.44656160715</v>
      </c>
      <c r="BC22" s="431">
        <v>173964.61308715923</v>
      </c>
      <c r="BD22" s="431">
        <v>7522.7940794447259</v>
      </c>
      <c r="BE22" s="431">
        <v>122245.40379097674</v>
      </c>
      <c r="BF22" s="429">
        <v>118416.79130635191</v>
      </c>
      <c r="BG22" s="429">
        <v>26314.842512522653</v>
      </c>
      <c r="BH22" s="429">
        <v>93788.185165274394</v>
      </c>
      <c r="BI22" s="429">
        <v>1015281.0468582163</v>
      </c>
      <c r="BJ22" s="429">
        <v>1630928.9539113548</v>
      </c>
      <c r="BK22" s="429">
        <v>45326.388596438272</v>
      </c>
      <c r="BL22" s="429">
        <v>58544.167073592143</v>
      </c>
      <c r="BM22" s="429">
        <v>29393.034143835688</v>
      </c>
      <c r="BN22" s="429">
        <v>406284.72267664562</v>
      </c>
      <c r="BO22" s="429">
        <v>264789.03005117644</v>
      </c>
      <c r="BP22" s="428">
        <v>15799.208313637955</v>
      </c>
      <c r="BQ22" s="428">
        <v>122182.12960761765</v>
      </c>
      <c r="BR22" s="428">
        <v>18078.066823983587</v>
      </c>
      <c r="BS22" s="428">
        <v>93899.370460016711</v>
      </c>
      <c r="BT22" s="428">
        <v>0</v>
      </c>
      <c r="BU22" s="428">
        <v>0</v>
      </c>
      <c r="BV22" s="431"/>
      <c r="BW22" s="431">
        <v>0.14012430091449243</v>
      </c>
      <c r="BX22" s="429">
        <v>89.23514032246473</v>
      </c>
      <c r="BY22" s="429">
        <v>139092.37613524534</v>
      </c>
      <c r="BZ22" s="429">
        <v>4.4523530967414127</v>
      </c>
      <c r="CA22" s="429">
        <v>78.911893616836039</v>
      </c>
      <c r="CB22" s="429">
        <v>7.7639613855742056</v>
      </c>
      <c r="CC22" s="429">
        <v>9380.3861791997242</v>
      </c>
      <c r="CD22" s="429">
        <v>662.93899081610391</v>
      </c>
      <c r="CE22" s="429">
        <v>130.53833802302353</v>
      </c>
      <c r="CF22" s="429">
        <v>3510.5497829842575</v>
      </c>
      <c r="CG22" s="333"/>
      <c r="CH22" s="429">
        <v>4515.1832633189551</v>
      </c>
      <c r="CI22" s="430">
        <v>131902.69391999999</v>
      </c>
      <c r="CJ22" s="430">
        <v>5161.3054440819633</v>
      </c>
      <c r="CK22" s="430">
        <v>17095.749387210002</v>
      </c>
      <c r="CL22" s="429">
        <v>8168.7483793668343</v>
      </c>
      <c r="CM22" s="429">
        <v>13114.963789743195</v>
      </c>
      <c r="CN22" s="429">
        <v>11356.947515167201</v>
      </c>
      <c r="CO22" s="428">
        <v>35567.155555555553</v>
      </c>
      <c r="CP22" s="428">
        <v>111488.40000000001</v>
      </c>
      <c r="CQ22" s="420">
        <f t="shared" si="0"/>
        <v>7074051.8989005201</v>
      </c>
      <c r="CR22" s="420">
        <f t="shared" si="1"/>
        <v>7181232.1367288092</v>
      </c>
      <c r="CT22" s="420">
        <f t="shared" si="2"/>
        <v>4189924.157482984</v>
      </c>
      <c r="CU22" s="420">
        <f t="shared" si="3"/>
        <v>2389596.8016344728</v>
      </c>
      <c r="CV22" s="420">
        <f t="shared" si="4"/>
        <v>331950.45409700379</v>
      </c>
      <c r="CW22" s="420">
        <f t="shared" si="5"/>
        <v>193750.10567408009</v>
      </c>
      <c r="CX22" s="427"/>
      <c r="CY22" s="420">
        <f t="shared" si="6"/>
        <v>4372932.3289406747</v>
      </c>
      <c r="CZ22" s="420">
        <f t="shared" si="7"/>
        <v>2316971.3676347001</v>
      </c>
      <c r="DA22" s="420">
        <f t="shared" si="8"/>
        <v>333855.96399112477</v>
      </c>
      <c r="DB22" s="420">
        <f t="shared" si="9"/>
        <v>157472.47616230996</v>
      </c>
    </row>
    <row r="23" spans="1:106">
      <c r="A23" s="434" t="s">
        <v>819</v>
      </c>
      <c r="B23" s="428">
        <v>3113352.6276450003</v>
      </c>
      <c r="C23" s="428">
        <v>765186.26909999992</v>
      </c>
      <c r="D23" s="428">
        <v>0</v>
      </c>
      <c r="E23" s="428">
        <v>114410.33079514088</v>
      </c>
      <c r="F23" s="428">
        <v>4138.24600748382</v>
      </c>
      <c r="G23" s="428">
        <v>73027.870720302686</v>
      </c>
      <c r="H23" s="428">
        <v>74892.009929595311</v>
      </c>
      <c r="I23" s="428">
        <v>2708.8599336236612</v>
      </c>
      <c r="J23" s="428">
        <v>47803.410593358713</v>
      </c>
      <c r="K23" s="429">
        <v>154915.52266137491</v>
      </c>
      <c r="L23" s="429">
        <v>34425.671702527754</v>
      </c>
      <c r="M23" s="429">
        <v>36029.233546455122</v>
      </c>
      <c r="N23" s="429">
        <v>3466327.7125069629</v>
      </c>
      <c r="O23" s="429">
        <v>13046667.857581075</v>
      </c>
      <c r="P23" s="429">
        <v>56483.496832378936</v>
      </c>
      <c r="Q23" s="429">
        <v>107688.2937923429</v>
      </c>
      <c r="R23" s="429">
        <v>147918.08947854745</v>
      </c>
      <c r="S23" s="429">
        <v>660535.7503452854</v>
      </c>
      <c r="T23" s="429">
        <v>425399.37523685378</v>
      </c>
      <c r="U23" s="428">
        <v>8686.5142429122261</v>
      </c>
      <c r="V23" s="428">
        <v>33347.713672971113</v>
      </c>
      <c r="W23" s="428">
        <v>59569.671230974702</v>
      </c>
      <c r="X23" s="428">
        <v>370224.42663195194</v>
      </c>
      <c r="Y23" s="428">
        <v>0</v>
      </c>
      <c r="Z23" s="428">
        <v>0</v>
      </c>
      <c r="AA23" s="429">
        <v>0.5319270933571838</v>
      </c>
      <c r="AB23" s="429"/>
      <c r="AC23" s="429">
        <v>326.23771506141105</v>
      </c>
      <c r="AD23" s="429">
        <v>872100.60811463697</v>
      </c>
      <c r="AE23" s="429"/>
      <c r="AF23" s="429">
        <v>86.437286483799838</v>
      </c>
      <c r="AG23" s="429"/>
      <c r="AH23" s="429">
        <v>19916.885742146478</v>
      </c>
      <c r="AI23" s="429">
        <v>2031.7618906860018</v>
      </c>
      <c r="AJ23" s="429">
        <v>285.87065402371536</v>
      </c>
      <c r="AK23" s="429">
        <v>10476.177890723051</v>
      </c>
      <c r="AL23" s="333"/>
      <c r="AM23" s="429">
        <v>30313.954675883033</v>
      </c>
      <c r="AN23" s="430">
        <v>204692.74560000002</v>
      </c>
      <c r="AO23" s="430">
        <v>87870.419000444846</v>
      </c>
      <c r="AP23" s="430">
        <v>46445.553498240006</v>
      </c>
      <c r="AQ23" s="429">
        <v>40530.918624761529</v>
      </c>
      <c r="AR23" s="429">
        <v>39664.249197239194</v>
      </c>
      <c r="AS23" s="429">
        <v>696878.66764384904</v>
      </c>
      <c r="AT23" s="428">
        <v>51798.246551798147</v>
      </c>
      <c r="AU23" s="428">
        <v>228451.5037284515</v>
      </c>
      <c r="AV23" s="433">
        <v>22003818.227034401</v>
      </c>
      <c r="AW23" s="428">
        <v>2963654.5280838893</v>
      </c>
      <c r="AX23" s="428">
        <v>727858.98343333334</v>
      </c>
      <c r="AY23" s="428">
        <v>0</v>
      </c>
      <c r="AZ23" s="428">
        <v>614665.93507117359</v>
      </c>
      <c r="BA23" s="428">
        <v>22232.597651510536</v>
      </c>
      <c r="BB23" s="428">
        <v>392339.95855606819</v>
      </c>
      <c r="BC23" s="428">
        <v>1080140.9609013712</v>
      </c>
      <c r="BD23" s="428">
        <v>39068.928373028328</v>
      </c>
      <c r="BE23" s="428">
        <v>689451.67717108782</v>
      </c>
      <c r="BF23" s="429">
        <v>338605.77009155985</v>
      </c>
      <c r="BG23" s="429">
        <v>75245.726687013317</v>
      </c>
      <c r="BH23" s="429">
        <v>84476.601945890783</v>
      </c>
      <c r="BI23" s="429">
        <v>3037685.6439969065</v>
      </c>
      <c r="BJ23" s="429">
        <v>11173973.706065623</v>
      </c>
      <c r="BK23" s="429">
        <v>35086.513964170583</v>
      </c>
      <c r="BL23" s="429">
        <v>89962.350502017463</v>
      </c>
      <c r="BM23" s="429">
        <v>125822.95653516769</v>
      </c>
      <c r="BN23" s="429">
        <v>585213.62744607218</v>
      </c>
      <c r="BO23" s="429">
        <v>382448.33301432483</v>
      </c>
      <c r="BP23" s="428">
        <v>12047.755076129901</v>
      </c>
      <c r="BQ23" s="428">
        <v>46251.589008638875</v>
      </c>
      <c r="BR23" s="428">
        <v>91128.379724320577</v>
      </c>
      <c r="BS23" s="428">
        <v>542814.49401568726</v>
      </c>
      <c r="BT23" s="428">
        <v>0</v>
      </c>
      <c r="BU23" s="428">
        <v>0</v>
      </c>
      <c r="BV23" s="431">
        <v>0.17043484162079314</v>
      </c>
      <c r="BW23" s="431"/>
      <c r="BX23" s="429">
        <v>267.41575839326271</v>
      </c>
      <c r="BY23" s="429">
        <v>869226.26217257406</v>
      </c>
      <c r="BZ23" s="429"/>
      <c r="CA23" s="429">
        <v>69.061369226740055</v>
      </c>
      <c r="CB23" s="429"/>
      <c r="CC23" s="429">
        <v>18862.46038801923</v>
      </c>
      <c r="CD23" s="429">
        <v>1924.1978227476397</v>
      </c>
      <c r="CE23" s="429">
        <v>256.69811835229325</v>
      </c>
      <c r="CF23" s="429">
        <v>10025.993088864547</v>
      </c>
      <c r="CG23" s="333"/>
      <c r="CH23" s="429">
        <v>27677.502470350511</v>
      </c>
      <c r="CI23" s="430">
        <v>181258.97338755155</v>
      </c>
      <c r="CJ23" s="430">
        <v>60419.657795850522</v>
      </c>
      <c r="CK23" s="430">
        <v>46715.065094879996</v>
      </c>
      <c r="CL23" s="429">
        <v>100867.84224950869</v>
      </c>
      <c r="CM23" s="429">
        <v>35837.351921712601</v>
      </c>
      <c r="CN23" s="429">
        <v>636270.03640643775</v>
      </c>
      <c r="CO23" s="428">
        <v>65717.878787939873</v>
      </c>
      <c r="CP23" s="428">
        <v>304919.09380491893</v>
      </c>
      <c r="CQ23" s="420">
        <f t="shared" si="0"/>
        <v>25135609.723928649</v>
      </c>
      <c r="CR23" s="420">
        <f t="shared" si="1"/>
        <v>25510492.678387143</v>
      </c>
      <c r="CT23" s="420">
        <f t="shared" si="2"/>
        <v>18601289.821141861</v>
      </c>
      <c r="CU23" s="420">
        <f t="shared" si="3"/>
        <v>4350367.2225238094</v>
      </c>
      <c r="CV23" s="420">
        <f t="shared" si="4"/>
        <v>1396332.3038447842</v>
      </c>
      <c r="CW23" s="420">
        <f t="shared" si="5"/>
        <v>935538.46589673799</v>
      </c>
      <c r="CX23" s="427"/>
      <c r="CY23" s="420">
        <f t="shared" si="6"/>
        <v>18766421.287972987</v>
      </c>
      <c r="CZ23" s="420">
        <f t="shared" si="7"/>
        <v>4383755.7293419996</v>
      </c>
      <c r="DA23" s="420">
        <f t="shared" si="8"/>
        <v>1432005.8994488001</v>
      </c>
      <c r="DB23" s="420">
        <f t="shared" si="9"/>
        <v>928309.76162336988</v>
      </c>
    </row>
    <row r="24" spans="1:106">
      <c r="A24" s="434" t="s">
        <v>818</v>
      </c>
      <c r="B24" s="428">
        <v>1261744.1894850002</v>
      </c>
      <c r="C24" s="428">
        <v>159485.97159999996</v>
      </c>
      <c r="D24" s="428">
        <v>0</v>
      </c>
      <c r="E24" s="428">
        <v>14054.27299492557</v>
      </c>
      <c r="F24" s="428">
        <v>579.20640221511451</v>
      </c>
      <c r="G24" s="428">
        <v>11073.063571759538</v>
      </c>
      <c r="H24" s="428">
        <v>5190.6580290816401</v>
      </c>
      <c r="I24" s="428">
        <v>213.91802786518281</v>
      </c>
      <c r="J24" s="428">
        <v>4089.6093562461406</v>
      </c>
      <c r="K24" s="429">
        <v>0</v>
      </c>
      <c r="L24" s="429">
        <v>0</v>
      </c>
      <c r="M24" s="429">
        <v>37410.659218535322</v>
      </c>
      <c r="N24" s="429">
        <v>707336.26922753127</v>
      </c>
      <c r="O24" s="429">
        <v>83000.666652035477</v>
      </c>
      <c r="P24" s="429"/>
      <c r="Q24" s="429">
        <v>878.63614904424662</v>
      </c>
      <c r="R24" s="429">
        <v>18310.843440051318</v>
      </c>
      <c r="S24" s="429">
        <v>9476931.5229287893</v>
      </c>
      <c r="T24" s="429">
        <v>417092.21417657158</v>
      </c>
      <c r="U24" s="428">
        <v>117535.62656188165</v>
      </c>
      <c r="V24" s="428">
        <v>117.95583829133551</v>
      </c>
      <c r="W24" s="428">
        <v>21960.895622990171</v>
      </c>
      <c r="X24" s="428">
        <v>36574.834716451223</v>
      </c>
      <c r="Y24" s="428">
        <v>16.128</v>
      </c>
      <c r="Z24" s="428">
        <v>0</v>
      </c>
      <c r="AA24" s="429"/>
      <c r="AB24" s="429"/>
      <c r="AC24" s="429">
        <v>228.20820309354491</v>
      </c>
      <c r="AD24" s="429"/>
      <c r="AE24" s="429"/>
      <c r="AF24" s="429"/>
      <c r="AG24" s="429"/>
      <c r="AH24" s="333"/>
      <c r="AI24" s="429">
        <v>7384.4992400963356</v>
      </c>
      <c r="AJ24" s="430"/>
      <c r="AK24" s="429">
        <v>4687.9707018517729</v>
      </c>
      <c r="AL24" s="333"/>
      <c r="AM24" s="429">
        <v>28646.291550325612</v>
      </c>
      <c r="AN24" s="430">
        <v>92285.312498170329</v>
      </c>
      <c r="AO24" s="430">
        <v>49692.091345168636</v>
      </c>
      <c r="AP24" s="430">
        <v>26578.013167680005</v>
      </c>
      <c r="AQ24" s="429">
        <v>13287.26657162339</v>
      </c>
      <c r="AR24" s="429">
        <v>22697.478187881039</v>
      </c>
      <c r="AS24" s="429">
        <v>153101.46118941091</v>
      </c>
      <c r="AT24" s="428">
        <v>46197.151046197025</v>
      </c>
      <c r="AU24" s="428">
        <v>94060.336044060314</v>
      </c>
      <c r="AV24" s="433">
        <v>22215926.386370249</v>
      </c>
      <c r="AW24" s="428">
        <v>1500244.3830905559</v>
      </c>
      <c r="AX24" s="428">
        <v>193207.38582222219</v>
      </c>
      <c r="AY24" s="428">
        <v>0</v>
      </c>
      <c r="AZ24" s="428">
        <v>130831.27379083334</v>
      </c>
      <c r="BA24" s="428">
        <v>5391.8343138040418</v>
      </c>
      <c r="BB24" s="428">
        <v>103079.18541095956</v>
      </c>
      <c r="BC24" s="428">
        <v>73612.768510906651</v>
      </c>
      <c r="BD24" s="428">
        <v>3033.7383386313049</v>
      </c>
      <c r="BE24" s="428">
        <v>57997.938826774916</v>
      </c>
      <c r="BF24" s="429">
        <v>0</v>
      </c>
      <c r="BG24" s="429">
        <v>0</v>
      </c>
      <c r="BH24" s="429">
        <v>88981.615461448091</v>
      </c>
      <c r="BI24" s="429">
        <v>673796.29003190412</v>
      </c>
      <c r="BJ24" s="429">
        <v>15061.47658364302</v>
      </c>
      <c r="BK24" s="429"/>
      <c r="BL24" s="429">
        <v>801.11320855020995</v>
      </c>
      <c r="BM24" s="429">
        <v>15610.731609413144</v>
      </c>
      <c r="BN24" s="429">
        <v>9543025.4659594856</v>
      </c>
      <c r="BO24" s="429">
        <v>424239.34458335489</v>
      </c>
      <c r="BP24" s="428">
        <v>154508.66238746807</v>
      </c>
      <c r="BQ24" s="428">
        <v>155.06105959788636</v>
      </c>
      <c r="BR24" s="428">
        <v>22394.671618416443</v>
      </c>
      <c r="BS24" s="428">
        <v>43530.633214552567</v>
      </c>
      <c r="BT24" s="428">
        <v>15.38133333333333</v>
      </c>
      <c r="BU24" s="428">
        <v>0</v>
      </c>
      <c r="BV24" s="431"/>
      <c r="BW24" s="431"/>
      <c r="BX24" s="429">
        <v>258.95233180723426</v>
      </c>
      <c r="BY24" s="429"/>
      <c r="BZ24" s="429"/>
      <c r="CA24" s="429"/>
      <c r="CB24" s="429"/>
      <c r="CC24" s="333"/>
      <c r="CD24" s="429">
        <v>8169.6010764342991</v>
      </c>
      <c r="CE24" s="430"/>
      <c r="CF24" s="429">
        <v>5240.9777600965563</v>
      </c>
      <c r="CG24" s="333"/>
      <c r="CH24" s="429">
        <v>30633.23193601608</v>
      </c>
      <c r="CI24" s="430">
        <v>103024.19068968059</v>
      </c>
      <c r="CJ24" s="430">
        <v>34341.396896560196</v>
      </c>
      <c r="CK24" s="430">
        <v>31309.449955289998</v>
      </c>
      <c r="CL24" s="429">
        <v>14529.320203412684</v>
      </c>
      <c r="CM24" s="429">
        <v>24018.970630653235</v>
      </c>
      <c r="CN24" s="429">
        <v>163720.75813439384</v>
      </c>
      <c r="CO24" s="428">
        <v>49798.56938313166</v>
      </c>
      <c r="CP24" s="428">
        <v>113844.75106384471</v>
      </c>
      <c r="CQ24" s="420">
        <f t="shared" si="0"/>
        <v>12912443.221744826</v>
      </c>
      <c r="CR24" s="420">
        <f t="shared" si="1"/>
        <v>13628409.125217171</v>
      </c>
      <c r="CT24" s="420">
        <f t="shared" si="2"/>
        <v>10794472.383614702</v>
      </c>
      <c r="CU24" s="420">
        <f t="shared" si="3"/>
        <v>1597435.6018246147</v>
      </c>
      <c r="CV24" s="420">
        <f t="shared" si="4"/>
        <v>497899.11005019164</v>
      </c>
      <c r="CW24" s="420">
        <f t="shared" si="5"/>
        <v>40946.969695367268</v>
      </c>
      <c r="CX24" s="427"/>
      <c r="CY24" s="420">
        <f t="shared" si="6"/>
        <v>11135462.776629709</v>
      </c>
      <c r="CZ24" s="420">
        <f t="shared" si="7"/>
        <v>1914056.1785261466</v>
      </c>
      <c r="DA24" s="420">
        <f t="shared" si="8"/>
        <v>534587.40695696697</v>
      </c>
      <c r="DB24" s="420">
        <f t="shared" si="9"/>
        <v>44302.76310435417</v>
      </c>
    </row>
    <row r="25" spans="1:106">
      <c r="A25" s="434" t="s">
        <v>817</v>
      </c>
      <c r="B25" s="428">
        <v>7675951.3667199994</v>
      </c>
      <c r="C25" s="428">
        <v>1680226.5240000002</v>
      </c>
      <c r="D25" s="428">
        <v>0</v>
      </c>
      <c r="E25" s="428">
        <v>823357.01241758047</v>
      </c>
      <c r="F25" s="428">
        <v>38603.295992037376</v>
      </c>
      <c r="G25" s="428">
        <v>501719.98449603195</v>
      </c>
      <c r="H25" s="428">
        <v>278402.9222558951</v>
      </c>
      <c r="I25" s="428">
        <v>13052.989469702623</v>
      </c>
      <c r="J25" s="428">
        <v>179119.22751056612</v>
      </c>
      <c r="K25" s="429">
        <v>25235.830296881413</v>
      </c>
      <c r="L25" s="429">
        <v>6308.9575742203533</v>
      </c>
      <c r="M25" s="429">
        <v>0</v>
      </c>
      <c r="N25" s="429">
        <v>1751100.9772683936</v>
      </c>
      <c r="O25" s="429">
        <v>8045403.4096212806</v>
      </c>
      <c r="P25" s="429">
        <v>76016.087227178039</v>
      </c>
      <c r="Q25" s="429">
        <v>1961381.1508323038</v>
      </c>
      <c r="R25" s="429">
        <v>161073.87598039134</v>
      </c>
      <c r="S25" s="429">
        <v>14310470.133136503</v>
      </c>
      <c r="T25" s="429">
        <v>1711187.0494140645</v>
      </c>
      <c r="U25" s="428">
        <v>46585.79556864308</v>
      </c>
      <c r="V25" s="428">
        <v>32051.356919246871</v>
      </c>
      <c r="W25" s="428">
        <v>167504.40421299537</v>
      </c>
      <c r="X25" s="428">
        <v>1118674.6629200843</v>
      </c>
      <c r="Y25" s="428">
        <v>33510.14693041383</v>
      </c>
      <c r="Z25" s="428">
        <v>24998.740757354812</v>
      </c>
      <c r="AA25" s="429">
        <v>211.17953516333728</v>
      </c>
      <c r="AB25" s="429">
        <v>4.574557665803435</v>
      </c>
      <c r="AC25" s="429">
        <v>1041.9554977399534</v>
      </c>
      <c r="AD25" s="429">
        <v>582137.96051436791</v>
      </c>
      <c r="AE25" s="429">
        <v>206.99210168567143</v>
      </c>
      <c r="AF25" s="429">
        <v>134.6669044119202</v>
      </c>
      <c r="AG25" s="429">
        <v>365.2639757873925</v>
      </c>
      <c r="AH25" s="429">
        <v>58803.36776074607</v>
      </c>
      <c r="AI25" s="429">
        <v>31604.410066250643</v>
      </c>
      <c r="AJ25" s="429">
        <v>8707.9214454738521</v>
      </c>
      <c r="AK25" s="429">
        <v>79772.853954487917</v>
      </c>
      <c r="AL25" s="333"/>
      <c r="AM25" s="429">
        <v>115398.57467983534</v>
      </c>
      <c r="AN25" s="430">
        <v>994878.74340870336</v>
      </c>
      <c r="AO25" s="430">
        <v>535703.93875853252</v>
      </c>
      <c r="AP25" s="430">
        <v>288301.51394428813</v>
      </c>
      <c r="AQ25" s="429">
        <v>618809.09691810037</v>
      </c>
      <c r="AR25" s="429">
        <v>246207.91941818275</v>
      </c>
      <c r="AS25" s="429">
        <v>3380250.5012048506</v>
      </c>
      <c r="AT25" s="428">
        <v>527805.77849999897</v>
      </c>
      <c r="AU25" s="428">
        <v>1454547.2089999998</v>
      </c>
      <c r="AV25" s="433">
        <v>51878798.594631344</v>
      </c>
      <c r="AW25" s="428">
        <v>6706055.6429533334</v>
      </c>
      <c r="AX25" s="428">
        <v>1527397.5115555557</v>
      </c>
      <c r="AY25" s="428">
        <v>0</v>
      </c>
      <c r="AZ25" s="428">
        <v>2949266.3850029949</v>
      </c>
      <c r="BA25" s="428">
        <v>138277.07969030441</v>
      </c>
      <c r="BB25" s="428">
        <v>1829367.8994804446</v>
      </c>
      <c r="BC25" s="428">
        <v>4054116.8767147386</v>
      </c>
      <c r="BD25" s="428">
        <v>190078.26667875671</v>
      </c>
      <c r="BE25" s="428">
        <v>2607377.784073764</v>
      </c>
      <c r="BF25" s="429">
        <v>15345.127201677431</v>
      </c>
      <c r="BG25" s="429">
        <v>3836.2818004193578</v>
      </c>
      <c r="BH25" s="429">
        <v>0</v>
      </c>
      <c r="BI25" s="429">
        <v>912089.61229892203</v>
      </c>
      <c r="BJ25" s="429">
        <v>2830125.1101047266</v>
      </c>
      <c r="BK25" s="429">
        <v>372.15193245801487</v>
      </c>
      <c r="BL25" s="429">
        <v>1905077.0684349332</v>
      </c>
      <c r="BM25" s="429">
        <v>95817.848637717601</v>
      </c>
      <c r="BN25" s="429">
        <v>13842146.174422327</v>
      </c>
      <c r="BO25" s="429">
        <v>1622870.3809198227</v>
      </c>
      <c r="BP25" s="428">
        <v>22104.523815961526</v>
      </c>
      <c r="BQ25" s="428">
        <v>15208.068762321491</v>
      </c>
      <c r="BR25" s="428">
        <v>135911.5993444894</v>
      </c>
      <c r="BS25" s="428">
        <v>740862.47076908371</v>
      </c>
      <c r="BT25" s="428">
        <v>31958.751239190973</v>
      </c>
      <c r="BU25" s="428">
        <v>24998.740757354812</v>
      </c>
      <c r="BV25" s="431">
        <v>200.56315940739401</v>
      </c>
      <c r="BW25" s="431">
        <v>4.7056865735244857</v>
      </c>
      <c r="BX25" s="429">
        <v>1085.9962436107751</v>
      </c>
      <c r="BY25" s="429">
        <v>138052.85931416709</v>
      </c>
      <c r="BZ25" s="429">
        <v>210.49700982107419</v>
      </c>
      <c r="CA25" s="429">
        <v>1.0632931680649862</v>
      </c>
      <c r="CB25" s="429">
        <v>371.3294924058228</v>
      </c>
      <c r="CC25" s="429">
        <v>56098.137613094223</v>
      </c>
      <c r="CD25" s="429">
        <v>30150.459277958442</v>
      </c>
      <c r="CE25" s="429">
        <v>7876.5665671911147</v>
      </c>
      <c r="CF25" s="429">
        <v>76904.012759960373</v>
      </c>
      <c r="CG25" s="333"/>
      <c r="CH25" s="429">
        <v>105995.41997364323</v>
      </c>
      <c r="CI25" s="430">
        <v>953979.4510229883</v>
      </c>
      <c r="CJ25" s="430">
        <v>317993.15034099604</v>
      </c>
      <c r="CK25" s="430">
        <v>291717.23765652004</v>
      </c>
      <c r="CL25" s="429">
        <v>1547097.3994545953</v>
      </c>
      <c r="CM25" s="429">
        <v>223790.19030142346</v>
      </c>
      <c r="CN25" s="429">
        <v>3104813.6641668063</v>
      </c>
      <c r="CO25" s="428">
        <v>610209.2534999979</v>
      </c>
      <c r="CP25" s="428">
        <v>1907231.2334444441</v>
      </c>
      <c r="CQ25" s="420">
        <f t="shared" si="0"/>
        <v>49586830.323668033</v>
      </c>
      <c r="CR25" s="420">
        <f t="shared" si="1"/>
        <v>51574444.546870075</v>
      </c>
      <c r="CT25" s="420">
        <f t="shared" si="2"/>
        <v>30043506.779473424</v>
      </c>
      <c r="CU25" s="420">
        <f t="shared" si="3"/>
        <v>10779502.998028737</v>
      </c>
      <c r="CV25" s="420">
        <f t="shared" si="4"/>
        <v>8046504.7011526562</v>
      </c>
      <c r="CW25" s="420">
        <f t="shared" si="5"/>
        <v>878389.72099361592</v>
      </c>
      <c r="CX25" s="427"/>
      <c r="CY25" s="420">
        <f t="shared" si="6"/>
        <v>32996164.047394007</v>
      </c>
      <c r="CZ25" s="420">
        <f t="shared" si="7"/>
        <v>9204497.3091972917</v>
      </c>
      <c r="DA25" s="420">
        <f t="shared" si="8"/>
        <v>8956831.579887772</v>
      </c>
      <c r="DB25" s="420">
        <f t="shared" si="9"/>
        <v>416951.6103910011</v>
      </c>
    </row>
    <row r="26" spans="1:106">
      <c r="A26" s="434" t="s">
        <v>816</v>
      </c>
      <c r="B26" s="428">
        <v>520048.44165808347</v>
      </c>
      <c r="C26" s="428">
        <v>85299.976498919088</v>
      </c>
      <c r="D26" s="428">
        <v>0</v>
      </c>
      <c r="E26" s="431">
        <v>0</v>
      </c>
      <c r="F26" s="431">
        <v>0</v>
      </c>
      <c r="G26" s="431">
        <v>0</v>
      </c>
      <c r="H26" s="431">
        <v>0</v>
      </c>
      <c r="I26" s="431">
        <v>0</v>
      </c>
      <c r="J26" s="431">
        <v>0</v>
      </c>
      <c r="K26" s="429">
        <v>14095.275918018942</v>
      </c>
      <c r="L26" s="429">
        <v>3132.2835373375428</v>
      </c>
      <c r="M26" s="429">
        <v>1622.0527755207261</v>
      </c>
      <c r="N26" s="429">
        <v>273496.95240389719</v>
      </c>
      <c r="O26" s="429">
        <v>184952.00267579569</v>
      </c>
      <c r="P26" s="429"/>
      <c r="Q26" s="429">
        <v>1447.6295480606548</v>
      </c>
      <c r="R26" s="429">
        <v>7827.6648310850996</v>
      </c>
      <c r="S26" s="429"/>
      <c r="T26" s="429"/>
      <c r="U26" s="428">
        <v>1838.1356791925552</v>
      </c>
      <c r="V26" s="428">
        <v>1664.5863000942525</v>
      </c>
      <c r="W26" s="428">
        <v>256.30689982300873</v>
      </c>
      <c r="X26" s="428">
        <v>7903.6204948534496</v>
      </c>
      <c r="Y26" s="428">
        <v>0</v>
      </c>
      <c r="Z26" s="428">
        <v>0</v>
      </c>
      <c r="AA26" s="429"/>
      <c r="AB26" s="429"/>
      <c r="AC26" s="429">
        <v>42.715420754922746</v>
      </c>
      <c r="AD26" s="429"/>
      <c r="AE26" s="429"/>
      <c r="AF26" s="429"/>
      <c r="AG26" s="429"/>
      <c r="AH26" s="333"/>
      <c r="AI26" s="333"/>
      <c r="AJ26" s="430"/>
      <c r="AK26" s="429">
        <v>7523.0432955374454</v>
      </c>
      <c r="AL26" s="333"/>
      <c r="AM26" s="429">
        <v>204.55294964684543</v>
      </c>
      <c r="AN26" s="430">
        <v>2110.5490285715887</v>
      </c>
      <c r="AO26" s="430">
        <v>984.51291726413001</v>
      </c>
      <c r="AP26" s="430"/>
      <c r="AQ26" s="429">
        <v>4337.3876994731181</v>
      </c>
      <c r="AR26" s="429">
        <v>7787.2702474006583</v>
      </c>
      <c r="AS26" s="429"/>
      <c r="AT26" s="428">
        <v>0</v>
      </c>
      <c r="AU26" s="428">
        <v>0</v>
      </c>
      <c r="AV26" s="433">
        <v>551390.10487639229</v>
      </c>
      <c r="AW26" s="428">
        <v>527326.24395695445</v>
      </c>
      <c r="AX26" s="428">
        <v>86621.356131501147</v>
      </c>
      <c r="AY26" s="428">
        <v>0</v>
      </c>
      <c r="AZ26" s="431">
        <v>0</v>
      </c>
      <c r="BA26" s="431">
        <v>0</v>
      </c>
      <c r="BB26" s="431">
        <v>0</v>
      </c>
      <c r="BC26" s="431">
        <v>0</v>
      </c>
      <c r="BD26" s="431">
        <v>0</v>
      </c>
      <c r="BE26" s="431">
        <v>0</v>
      </c>
      <c r="BF26" s="429">
        <v>39506.355364734358</v>
      </c>
      <c r="BG26" s="429">
        <v>8779.190081052082</v>
      </c>
      <c r="BH26" s="429">
        <v>3958.3145867745734</v>
      </c>
      <c r="BI26" s="429">
        <v>315534.09361690428</v>
      </c>
      <c r="BJ26" s="429">
        <v>239639.90139570215</v>
      </c>
      <c r="BK26" s="429"/>
      <c r="BL26" s="429">
        <v>1058.6651479674917</v>
      </c>
      <c r="BM26" s="429">
        <v>11983.397862090022</v>
      </c>
      <c r="BN26" s="429"/>
      <c r="BO26" s="429"/>
      <c r="BP26" s="428">
        <v>2269.4662834173637</v>
      </c>
      <c r="BQ26" s="428">
        <v>2055.1924031863691</v>
      </c>
      <c r="BR26" s="428">
        <v>289.7643440707962</v>
      </c>
      <c r="BS26" s="428">
        <v>9369.8646483963166</v>
      </c>
      <c r="BT26" s="428">
        <v>0</v>
      </c>
      <c r="BU26" s="428">
        <v>0</v>
      </c>
      <c r="BV26" s="431"/>
      <c r="BW26" s="431"/>
      <c r="BX26" s="429">
        <v>37.311829324756054</v>
      </c>
      <c r="BY26" s="429"/>
      <c r="BZ26" s="429"/>
      <c r="CA26" s="429"/>
      <c r="CB26" s="429"/>
      <c r="CC26" s="333"/>
      <c r="CD26" s="333"/>
      <c r="CE26" s="430"/>
      <c r="CF26" s="429">
        <v>7384.8796934939091</v>
      </c>
      <c r="CG26" s="333"/>
      <c r="CH26" s="429">
        <v>192.06598357043239</v>
      </c>
      <c r="CI26" s="430">
        <v>61093.188310455611</v>
      </c>
      <c r="CJ26" s="430">
        <v>836.37382567883969</v>
      </c>
      <c r="CK26" s="430"/>
      <c r="CL26" s="429">
        <v>4943.938861347543</v>
      </c>
      <c r="CM26" s="429">
        <v>7235.7295704644221</v>
      </c>
      <c r="CN26" s="429"/>
      <c r="CO26" s="428">
        <v>0</v>
      </c>
      <c r="CP26" s="428">
        <v>0</v>
      </c>
      <c r="CQ26" s="420">
        <f t="shared" si="0"/>
        <v>1126574.9607793307</v>
      </c>
      <c r="CR26" s="420">
        <f t="shared" si="1"/>
        <v>1330115.2938970868</v>
      </c>
      <c r="CT26" s="420">
        <f t="shared" si="2"/>
        <v>494401.52652080089</v>
      </c>
      <c r="CU26" s="420">
        <f t="shared" si="3"/>
        <v>617011.0675309659</v>
      </c>
      <c r="CV26" s="420">
        <f t="shared" si="4"/>
        <v>15219.719892709494</v>
      </c>
      <c r="CW26" s="420">
        <f t="shared" si="5"/>
        <v>7770.3116659392135</v>
      </c>
      <c r="CX26" s="427"/>
      <c r="CY26" s="420">
        <f t="shared" si="6"/>
        <v>620459.91805522505</v>
      </c>
      <c r="CZ26" s="420">
        <f t="shared" si="7"/>
        <v>627931.88776752632</v>
      </c>
      <c r="DA26" s="420">
        <f t="shared" si="8"/>
        <v>74109.230567946419</v>
      </c>
      <c r="DB26" s="420">
        <f t="shared" si="9"/>
        <v>7614.2575063890981</v>
      </c>
    </row>
    <row r="27" spans="1:106">
      <c r="A27" s="434" t="s">
        <v>815</v>
      </c>
      <c r="B27" s="428">
        <v>2629133.6695649996</v>
      </c>
      <c r="C27" s="428">
        <v>424434.71749999997</v>
      </c>
      <c r="D27" s="428">
        <v>0</v>
      </c>
      <c r="E27" s="431">
        <v>24006.624187799443</v>
      </c>
      <c r="F27" s="431">
        <v>1038.124289202138</v>
      </c>
      <c r="G27" s="431">
        <v>16869.519699534743</v>
      </c>
      <c r="H27" s="431">
        <v>2349.3989822501139</v>
      </c>
      <c r="I27" s="431">
        <v>101.59563166486979</v>
      </c>
      <c r="J27" s="431">
        <v>1650.929014554134</v>
      </c>
      <c r="K27" s="429">
        <v>195132.90144193245</v>
      </c>
      <c r="L27" s="429">
        <v>43362.866987096102</v>
      </c>
      <c r="M27" s="429">
        <v>19084.408094659626</v>
      </c>
      <c r="N27" s="429">
        <v>2122718.2300432776</v>
      </c>
      <c r="O27" s="429">
        <v>1913555.2001594396</v>
      </c>
      <c r="P27" s="429">
        <v>32169.19434477255</v>
      </c>
      <c r="Q27" s="429">
        <v>7071.2555127563319</v>
      </c>
      <c r="R27" s="429">
        <v>49269.145215219025</v>
      </c>
      <c r="S27" s="429">
        <v>1242101.5746405779</v>
      </c>
      <c r="T27" s="429">
        <v>142166.16274989257</v>
      </c>
      <c r="U27" s="428">
        <v>102736.3064255112</v>
      </c>
      <c r="V27" s="428">
        <v>82530.98222738404</v>
      </c>
      <c r="W27" s="428">
        <v>50523.252387161032</v>
      </c>
      <c r="X27" s="428">
        <v>328773.56329995504</v>
      </c>
      <c r="Y27" s="428">
        <v>0</v>
      </c>
      <c r="Z27" s="428">
        <v>0</v>
      </c>
      <c r="AA27" s="429"/>
      <c r="AB27" s="429"/>
      <c r="AC27" s="429">
        <v>144.70443246816114</v>
      </c>
      <c r="AD27" s="429"/>
      <c r="AE27" s="429"/>
      <c r="AF27" s="429">
        <v>51.121014350475875</v>
      </c>
      <c r="AG27" s="429"/>
      <c r="AH27" s="429">
        <v>10130.845408771935</v>
      </c>
      <c r="AI27" s="429">
        <v>2159.7239094613674</v>
      </c>
      <c r="AJ27" s="429">
        <v>15.716311700466642</v>
      </c>
      <c r="AK27" s="429">
        <v>3784.7672240883235</v>
      </c>
      <c r="AL27" s="333"/>
      <c r="AM27" s="429">
        <v>5615.1828482975989</v>
      </c>
      <c r="AN27" s="430">
        <v>98077.058239999998</v>
      </c>
      <c r="AO27" s="430">
        <v>15211.10321553613</v>
      </c>
      <c r="AP27" s="430">
        <v>12436.088567136001</v>
      </c>
      <c r="AQ27" s="429">
        <v>4067.1189923224292</v>
      </c>
      <c r="AR27" s="429">
        <v>10620.351762726037</v>
      </c>
      <c r="AS27" s="429">
        <v>28522.146137571275</v>
      </c>
      <c r="AT27" s="428">
        <v>28716.495500000005</v>
      </c>
      <c r="AU27" s="428">
        <v>116592.75450000002</v>
      </c>
      <c r="AV27" s="433">
        <v>7484301.3707422288</v>
      </c>
      <c r="AW27" s="428">
        <v>2435093.4410761115</v>
      </c>
      <c r="AX27" s="428">
        <v>403301.83650000003</v>
      </c>
      <c r="AY27" s="428">
        <v>0</v>
      </c>
      <c r="AZ27" s="431">
        <v>85044.437262704974</v>
      </c>
      <c r="BA27" s="431">
        <v>3677.5972870358914</v>
      </c>
      <c r="BB27" s="431">
        <v>59760.955914333208</v>
      </c>
      <c r="BC27" s="431">
        <v>34078.11340933363</v>
      </c>
      <c r="BD27" s="431">
        <v>1473.6481474306438</v>
      </c>
      <c r="BE27" s="431">
        <v>23946.782395747949</v>
      </c>
      <c r="BF27" s="429">
        <v>467229.83751274535</v>
      </c>
      <c r="BG27" s="429">
        <v>103828.85278061009</v>
      </c>
      <c r="BH27" s="429">
        <v>47580.720367377828</v>
      </c>
      <c r="BI27" s="429">
        <v>1867708.4744071534</v>
      </c>
      <c r="BJ27" s="429">
        <v>3037738.9626253145</v>
      </c>
      <c r="BK27" s="429">
        <v>59571.635144920525</v>
      </c>
      <c r="BL27" s="429">
        <v>6315.5861717364578</v>
      </c>
      <c r="BM27" s="429">
        <v>44569.550754174699</v>
      </c>
      <c r="BN27" s="429">
        <v>918052.30377756606</v>
      </c>
      <c r="BO27" s="429">
        <v>119753.27347661798</v>
      </c>
      <c r="BP27" s="428">
        <v>120404.35647182833</v>
      </c>
      <c r="BQ27" s="428">
        <v>96724.226807598461</v>
      </c>
      <c r="BR27" s="428">
        <v>67237.084689980838</v>
      </c>
      <c r="BS27" s="428">
        <v>413837.62582742749</v>
      </c>
      <c r="BT27" s="428">
        <v>0</v>
      </c>
      <c r="BU27" s="428">
        <v>0</v>
      </c>
      <c r="BV27" s="431"/>
      <c r="BW27" s="431"/>
      <c r="BX27" s="429">
        <v>126.45541751189621</v>
      </c>
      <c r="BY27" s="429"/>
      <c r="BZ27" s="429"/>
      <c r="CA27" s="429">
        <v>112.78283832078544</v>
      </c>
      <c r="CB27" s="429"/>
      <c r="CC27" s="429">
        <v>8242.2719225940782</v>
      </c>
      <c r="CD27" s="429">
        <v>1757.1121679633245</v>
      </c>
      <c r="CE27" s="429">
        <v>12.123501896382864</v>
      </c>
      <c r="CF27" s="429">
        <v>3111.6307299582058</v>
      </c>
      <c r="CG27" s="333"/>
      <c r="CH27" s="429">
        <v>4415.7820059597498</v>
      </c>
      <c r="CI27" s="430">
        <v>69782.328960000013</v>
      </c>
      <c r="CJ27" s="430">
        <v>10822.777798183844</v>
      </c>
      <c r="CK27" s="430">
        <v>10773.48082941</v>
      </c>
      <c r="CL27" s="429">
        <v>5084.067136503827</v>
      </c>
      <c r="CM27" s="429">
        <v>8264.8503886534545</v>
      </c>
      <c r="CN27" s="429">
        <v>22429.826968827234</v>
      </c>
      <c r="CO27" s="428">
        <v>37632.667722222221</v>
      </c>
      <c r="CP27" s="428">
        <v>165573.8045</v>
      </c>
      <c r="CQ27" s="420">
        <f t="shared" si="0"/>
        <v>9766924.8004640732</v>
      </c>
      <c r="CR27" s="420">
        <f t="shared" si="1"/>
        <v>10765071.265695754</v>
      </c>
      <c r="CT27" s="420">
        <f t="shared" si="2"/>
        <v>5861916.276209848</v>
      </c>
      <c r="CU27" s="420">
        <f t="shared" si="3"/>
        <v>3618132.4914050107</v>
      </c>
      <c r="CV27" s="420">
        <f t="shared" si="4"/>
        <v>314243.11691529193</v>
      </c>
      <c r="CW27" s="420">
        <f t="shared" si="5"/>
        <v>21902.061149138328</v>
      </c>
      <c r="CX27" s="427"/>
      <c r="CY27" s="420">
        <f t="shared" si="6"/>
        <v>6880330.7314348025</v>
      </c>
      <c r="CZ27" s="420">
        <f t="shared" si="7"/>
        <v>3536598.5713729467</v>
      </c>
      <c r="DA27" s="420">
        <f t="shared" si="8"/>
        <v>330363.80430380057</v>
      </c>
      <c r="DB27" s="420">
        <f t="shared" si="9"/>
        <v>17778.158584204422</v>
      </c>
    </row>
    <row r="28" spans="1:106">
      <c r="A28" s="434" t="s">
        <v>814</v>
      </c>
      <c r="B28" s="428">
        <v>5018713.61472</v>
      </c>
      <c r="C28" s="428">
        <v>1027332.3987000001</v>
      </c>
      <c r="D28" s="428">
        <v>0</v>
      </c>
      <c r="E28" s="431">
        <v>3372.2772561698198</v>
      </c>
      <c r="F28" s="431">
        <v>145.82820567220841</v>
      </c>
      <c r="G28" s="431">
        <v>2369.7083421733869</v>
      </c>
      <c r="H28" s="431">
        <v>2054.5861070435863</v>
      </c>
      <c r="I28" s="431">
        <v>88.846966791073996</v>
      </c>
      <c r="J28" s="431">
        <v>1443.7632103549524</v>
      </c>
      <c r="K28" s="429">
        <v>175710.64886147945</v>
      </c>
      <c r="L28" s="429">
        <v>39046.810858106546</v>
      </c>
      <c r="M28" s="429">
        <v>12878.87329518584</v>
      </c>
      <c r="N28" s="429">
        <v>1535630.6929159195</v>
      </c>
      <c r="O28" s="429">
        <v>763625.94613438309</v>
      </c>
      <c r="P28" s="429"/>
      <c r="Q28" s="429">
        <v>3633.8946586180296</v>
      </c>
      <c r="R28" s="429">
        <v>26567.781652155394</v>
      </c>
      <c r="S28" s="429">
        <v>117348.32616545667</v>
      </c>
      <c r="T28" s="429">
        <v>128566.52088239376</v>
      </c>
      <c r="U28" s="428">
        <v>366716.88443814032</v>
      </c>
      <c r="V28" s="428">
        <v>118682.63424237317</v>
      </c>
      <c r="W28" s="428">
        <v>142247.60206319144</v>
      </c>
      <c r="X28" s="428">
        <v>205302.93533550345</v>
      </c>
      <c r="Y28" s="428">
        <v>0</v>
      </c>
      <c r="Z28" s="428">
        <v>0</v>
      </c>
      <c r="AA28" s="429"/>
      <c r="AB28" s="429"/>
      <c r="AC28" s="429">
        <v>112.00136531190687</v>
      </c>
      <c r="AD28" s="429"/>
      <c r="AE28" s="429"/>
      <c r="AF28" s="429"/>
      <c r="AG28" s="429"/>
      <c r="AH28" s="430"/>
      <c r="AI28" s="429">
        <v>1085.9010848547584</v>
      </c>
      <c r="AJ28" s="430"/>
      <c r="AK28" s="429">
        <v>2464.5736287745649</v>
      </c>
      <c r="AL28" s="333"/>
      <c r="AM28" s="429">
        <v>2148.5025645192691</v>
      </c>
      <c r="AN28" s="430">
        <v>26655.194980755743</v>
      </c>
      <c r="AO28" s="430">
        <v>14352.797297330015</v>
      </c>
      <c r="AP28" s="430">
        <v>8270.014613952002</v>
      </c>
      <c r="AQ28" s="429">
        <v>2902.3637324641577</v>
      </c>
      <c r="AR28" s="429">
        <v>7062.5473442798375</v>
      </c>
      <c r="AS28" s="429">
        <v>11848.726272601143</v>
      </c>
      <c r="AT28" s="428">
        <v>24615.7065</v>
      </c>
      <c r="AU28" s="428">
        <v>102608.53059999899</v>
      </c>
      <c r="AV28" s="433">
        <v>4178241.6010118765</v>
      </c>
      <c r="AW28" s="428">
        <v>5045611.3388200002</v>
      </c>
      <c r="AX28" s="428">
        <v>1061684.7487000001</v>
      </c>
      <c r="AY28" s="428">
        <v>0</v>
      </c>
      <c r="AZ28" s="431">
        <v>20359.488508672148</v>
      </c>
      <c r="BA28" s="431">
        <v>880.41031388852548</v>
      </c>
      <c r="BB28" s="431">
        <v>14306.667600688532</v>
      </c>
      <c r="BC28" s="431">
        <v>30005.363270169368</v>
      </c>
      <c r="BD28" s="431">
        <v>1297.5292224938107</v>
      </c>
      <c r="BE28" s="431">
        <v>21084.849865524415</v>
      </c>
      <c r="BF28" s="429">
        <v>410329.26422391937</v>
      </c>
      <c r="BG28" s="429">
        <v>91184.280938648764</v>
      </c>
      <c r="BH28" s="429">
        <v>32303.051146409089</v>
      </c>
      <c r="BI28" s="429">
        <v>1738440.162632362</v>
      </c>
      <c r="BJ28" s="429">
        <v>288069.33235779376</v>
      </c>
      <c r="BK28" s="429"/>
      <c r="BL28" s="429">
        <v>4377.5122556934075</v>
      </c>
      <c r="BM28" s="429">
        <v>25150.368587817786</v>
      </c>
      <c r="BN28" s="429">
        <v>97479.862417759534</v>
      </c>
      <c r="BO28" s="429">
        <v>109845.22666556308</v>
      </c>
      <c r="BP28" s="428">
        <v>474218.84477277368</v>
      </c>
      <c r="BQ28" s="428">
        <v>153474.09430367182</v>
      </c>
      <c r="BR28" s="428">
        <v>217878.83383214165</v>
      </c>
      <c r="BS28" s="428">
        <v>294153.33225887408</v>
      </c>
      <c r="BT28" s="428">
        <v>0</v>
      </c>
      <c r="BU28" s="428">
        <v>0</v>
      </c>
      <c r="BV28" s="431"/>
      <c r="BW28" s="431"/>
      <c r="BX28" s="429">
        <v>94.804739549137494</v>
      </c>
      <c r="BY28" s="429"/>
      <c r="BZ28" s="429"/>
      <c r="CA28" s="429"/>
      <c r="CB28" s="429"/>
      <c r="CC28" s="430"/>
      <c r="CD28" s="429">
        <v>866.88220031367098</v>
      </c>
      <c r="CE28" s="430"/>
      <c r="CF28" s="429">
        <v>1988.1962191753</v>
      </c>
      <c r="CG28" s="333"/>
      <c r="CH28" s="429">
        <v>1657.8612001730166</v>
      </c>
      <c r="CI28" s="430">
        <v>21472.191308854581</v>
      </c>
      <c r="CJ28" s="430">
        <v>7157.3971029515287</v>
      </c>
      <c r="CK28" s="430">
        <v>7029.8665784099994</v>
      </c>
      <c r="CL28" s="429">
        <v>3500.0397043879325</v>
      </c>
      <c r="CM28" s="429">
        <v>5392.9455523926199</v>
      </c>
      <c r="CN28" s="429">
        <v>9142.899749440774</v>
      </c>
      <c r="CO28" s="428">
        <v>31495.057611111119</v>
      </c>
      <c r="CP28" s="428">
        <v>140400.29055555363</v>
      </c>
      <c r="CQ28" s="420">
        <f t="shared" si="0"/>
        <v>9895607.4349959549</v>
      </c>
      <c r="CR28" s="420">
        <f t="shared" si="1"/>
        <v>10362332.995217178</v>
      </c>
      <c r="CT28" s="420">
        <f t="shared" si="2"/>
        <v>2839052.287164059</v>
      </c>
      <c r="CU28" s="420">
        <f t="shared" si="3"/>
        <v>6878996.0694992086</v>
      </c>
      <c r="CV28" s="420">
        <f t="shared" si="4"/>
        <v>198315.8813413819</v>
      </c>
      <c r="CW28" s="420">
        <f t="shared" si="5"/>
        <v>5810.9786434604994</v>
      </c>
      <c r="CX28" s="427"/>
      <c r="CY28" s="420">
        <f t="shared" si="6"/>
        <v>2885113.3700074032</v>
      </c>
      <c r="CZ28" s="420">
        <f t="shared" si="7"/>
        <v>7247021.192687463</v>
      </c>
      <c r="DA28" s="420">
        <f t="shared" si="8"/>
        <v>225590.6881631022</v>
      </c>
      <c r="DB28" s="420">
        <f t="shared" si="9"/>
        <v>4607.7443592111249</v>
      </c>
    </row>
    <row r="29" spans="1:106">
      <c r="A29" s="434" t="s">
        <v>813</v>
      </c>
      <c r="B29" s="428">
        <v>503372.3766064145</v>
      </c>
      <c r="C29" s="428">
        <v>75588.08638459105</v>
      </c>
      <c r="D29" s="428">
        <v>0</v>
      </c>
      <c r="E29" s="431">
        <v>0</v>
      </c>
      <c r="F29" s="431">
        <v>0</v>
      </c>
      <c r="G29" s="431">
        <v>0</v>
      </c>
      <c r="H29" s="431">
        <v>0</v>
      </c>
      <c r="I29" s="431">
        <v>0</v>
      </c>
      <c r="J29" s="431">
        <v>0</v>
      </c>
      <c r="K29" s="429">
        <v>16239.158880260416</v>
      </c>
      <c r="L29" s="429">
        <v>3608.7019733912039</v>
      </c>
      <c r="M29" s="429">
        <v>2687.5684074049482</v>
      </c>
      <c r="N29" s="429">
        <v>252846.73493267532</v>
      </c>
      <c r="O29" s="429">
        <v>272149.59646786534</v>
      </c>
      <c r="P29" s="429"/>
      <c r="Q29" s="429">
        <v>26321.395701197187</v>
      </c>
      <c r="R29" s="429">
        <v>5655.7537043926759</v>
      </c>
      <c r="S29" s="429">
        <v>554133.40832847659</v>
      </c>
      <c r="T29" s="429">
        <v>75897.619292089832</v>
      </c>
      <c r="U29" s="428">
        <v>3285.1331847894844</v>
      </c>
      <c r="V29" s="428">
        <v>6185.0541037427811</v>
      </c>
      <c r="W29" s="428">
        <v>288.34526230088176</v>
      </c>
      <c r="X29" s="428">
        <v>14167.292870647569</v>
      </c>
      <c r="Y29" s="428">
        <v>0</v>
      </c>
      <c r="Z29" s="428">
        <v>0</v>
      </c>
      <c r="AA29" s="429">
        <v>4.7479687999285911</v>
      </c>
      <c r="AB29" s="429">
        <v>1.3846120579066545E-2</v>
      </c>
      <c r="AC29" s="429">
        <v>44.741940254948361</v>
      </c>
      <c r="AD29" s="429">
        <v>22941.682326139507</v>
      </c>
      <c r="AE29" s="429">
        <v>0.65886887078369483</v>
      </c>
      <c r="AF29" s="429"/>
      <c r="AG29" s="429">
        <v>1.164248041739347</v>
      </c>
      <c r="AH29" s="429">
        <v>2480.7354961035376</v>
      </c>
      <c r="AI29" s="429">
        <v>307.34879074220544</v>
      </c>
      <c r="AJ29" s="429">
        <v>53.743518919368945</v>
      </c>
      <c r="AK29" s="429">
        <v>3590.304395787371</v>
      </c>
      <c r="AL29" s="333"/>
      <c r="AM29" s="429">
        <v>686.83005360458515</v>
      </c>
      <c r="AN29" s="430">
        <v>6988.331309087901</v>
      </c>
      <c r="AO29" s="430">
        <v>5260.6778805154163</v>
      </c>
      <c r="AP29" s="430"/>
      <c r="AQ29" s="429">
        <v>4699.2508390065586</v>
      </c>
      <c r="AR29" s="429">
        <v>8398.7141022928172</v>
      </c>
      <c r="AS29" s="429">
        <v>2379.4317850696116</v>
      </c>
      <c r="AT29" s="428">
        <v>10983.472499999993</v>
      </c>
      <c r="AU29" s="428">
        <v>36940.983639999875</v>
      </c>
      <c r="AV29" s="433">
        <v>1936034.6538257166</v>
      </c>
      <c r="AW29" s="428">
        <v>302653.35052403883</v>
      </c>
      <c r="AX29" s="428">
        <v>45629.055694058363</v>
      </c>
      <c r="AY29" s="428">
        <v>0</v>
      </c>
      <c r="AZ29" s="431">
        <v>0</v>
      </c>
      <c r="BA29" s="431">
        <v>0</v>
      </c>
      <c r="BB29" s="431">
        <v>0</v>
      </c>
      <c r="BC29" s="431">
        <v>0</v>
      </c>
      <c r="BD29" s="431">
        <v>0</v>
      </c>
      <c r="BE29" s="431">
        <v>0</v>
      </c>
      <c r="BF29" s="429">
        <v>47301.234825462561</v>
      </c>
      <c r="BG29" s="429">
        <v>10511.38551676946</v>
      </c>
      <c r="BH29" s="429">
        <v>6558.7179839068322</v>
      </c>
      <c r="BI29" s="429">
        <v>327063.69640695589</v>
      </c>
      <c r="BJ29" s="429">
        <v>393990.66112594254</v>
      </c>
      <c r="BK29" s="429"/>
      <c r="BL29" s="429">
        <v>30262.90729992187</v>
      </c>
      <c r="BM29" s="429">
        <v>6836.4741665212059</v>
      </c>
      <c r="BN29" s="429">
        <v>517052.79684493563</v>
      </c>
      <c r="BO29" s="429">
        <v>70672.78358335112</v>
      </c>
      <c r="BP29" s="428">
        <v>4056.0112530377728</v>
      </c>
      <c r="BQ29" s="428">
        <v>7636.4176531965386</v>
      </c>
      <c r="BR29" s="428">
        <v>325.9848870796427</v>
      </c>
      <c r="BS29" s="428">
        <v>16795.545372984052</v>
      </c>
      <c r="BT29" s="428">
        <v>0</v>
      </c>
      <c r="BU29" s="428">
        <v>0</v>
      </c>
      <c r="BV29" s="431">
        <v>5.187669214741585</v>
      </c>
      <c r="BW29" s="431">
        <v>9.7372861849776057E-3</v>
      </c>
      <c r="BX29" s="429">
        <v>46.849233671566552</v>
      </c>
      <c r="BY29" s="429">
        <v>37248.255704266499</v>
      </c>
      <c r="BZ29" s="429">
        <v>0.48508741879396033</v>
      </c>
      <c r="CA29" s="429"/>
      <c r="CB29" s="429">
        <v>0.85818495062223898</v>
      </c>
      <c r="CC29" s="429">
        <v>1980.3879701861572</v>
      </c>
      <c r="CD29" s="429">
        <v>278.14289241749378</v>
      </c>
      <c r="CE29" s="429">
        <v>46.114633135669223</v>
      </c>
      <c r="CF29" s="429">
        <v>3283.3362109417867</v>
      </c>
      <c r="CG29" s="333"/>
      <c r="CH29" s="429">
        <v>600.79764370273676</v>
      </c>
      <c r="CI29" s="430">
        <v>9892.8833883690477</v>
      </c>
      <c r="CJ29" s="430">
        <v>3297.6277961230157</v>
      </c>
      <c r="CK29" s="430"/>
      <c r="CL29" s="429">
        <v>5144.0791156959431</v>
      </c>
      <c r="CM29" s="429">
        <v>7270.1622043262169</v>
      </c>
      <c r="CN29" s="429">
        <v>2081.383891573606</v>
      </c>
      <c r="CO29" s="428">
        <v>13933.855833333315</v>
      </c>
      <c r="CP29" s="428">
        <v>53148.933639999756</v>
      </c>
      <c r="CQ29" s="420">
        <f t="shared" si="0"/>
        <v>1918189.0596095966</v>
      </c>
      <c r="CR29" s="420">
        <f t="shared" si="1"/>
        <v>1925606.3739747754</v>
      </c>
      <c r="CT29" s="420">
        <f t="shared" si="2"/>
        <v>1215195.6913921461</v>
      </c>
      <c r="CU29" s="420">
        <f t="shared" si="3"/>
        <v>602886.28841248632</v>
      </c>
      <c r="CV29" s="420">
        <f t="shared" si="4"/>
        <v>75650.862055972175</v>
      </c>
      <c r="CW29" s="420">
        <f t="shared" si="5"/>
        <v>30111.971453384558</v>
      </c>
      <c r="CX29" s="427"/>
      <c r="CY29" s="420">
        <f t="shared" si="6"/>
        <v>1410250.6577537672</v>
      </c>
      <c r="CZ29" s="420">
        <f t="shared" si="7"/>
        <v>377096.36538439523</v>
      </c>
      <c r="DA29" s="420">
        <f t="shared" si="8"/>
        <v>94768.925869420898</v>
      </c>
      <c r="DB29" s="420">
        <f t="shared" si="9"/>
        <v>43490.424967192252</v>
      </c>
    </row>
    <row r="30" spans="1:106">
      <c r="A30" s="434" t="s">
        <v>812</v>
      </c>
      <c r="B30" s="428">
        <v>512754.55473640002</v>
      </c>
      <c r="C30" s="428">
        <v>39080.717550786663</v>
      </c>
      <c r="D30" s="428">
        <v>0</v>
      </c>
      <c r="E30" s="431">
        <v>308.27655955894079</v>
      </c>
      <c r="F30" s="431">
        <v>13.330878251197438</v>
      </c>
      <c r="G30" s="431">
        <v>216.62677158195839</v>
      </c>
      <c r="H30" s="431">
        <v>0</v>
      </c>
      <c r="I30" s="431">
        <v>0</v>
      </c>
      <c r="J30" s="431">
        <v>0</v>
      </c>
      <c r="K30" s="429">
        <v>155.42734953906086</v>
      </c>
      <c r="L30" s="429">
        <v>34.53941100868019</v>
      </c>
      <c r="M30" s="429">
        <v>1093.7198848204628</v>
      </c>
      <c r="N30" s="429">
        <v>2646.9223862618101</v>
      </c>
      <c r="O30" s="429">
        <v>21122.121924616524</v>
      </c>
      <c r="P30" s="429"/>
      <c r="Q30" s="429">
        <v>14401.213828629312</v>
      </c>
      <c r="R30" s="429">
        <v>363.26873588230757</v>
      </c>
      <c r="S30" s="429"/>
      <c r="T30" s="429"/>
      <c r="U30" s="428">
        <v>16030.253016214125</v>
      </c>
      <c r="V30" s="428">
        <v>7899.3897520628252</v>
      </c>
      <c r="W30" s="428">
        <v>961.15087433628003</v>
      </c>
      <c r="X30" s="428">
        <v>9386.1001012293</v>
      </c>
      <c r="Y30" s="428">
        <v>0</v>
      </c>
      <c r="Z30" s="428">
        <v>0</v>
      </c>
      <c r="AA30" s="429"/>
      <c r="AB30" s="429"/>
      <c r="AC30" s="429">
        <v>13.903362926544073</v>
      </c>
      <c r="AD30" s="429"/>
      <c r="AE30" s="429">
        <v>0.23198116824487175</v>
      </c>
      <c r="AF30" s="429"/>
      <c r="AG30" s="429">
        <v>0.4207604305626384</v>
      </c>
      <c r="AH30" s="430"/>
      <c r="AI30" s="429">
        <v>41.440286392207476</v>
      </c>
      <c r="AJ30" s="429">
        <v>9.5338558881072313</v>
      </c>
      <c r="AK30" s="429">
        <v>1092.9196195833163</v>
      </c>
      <c r="AL30" s="333"/>
      <c r="AM30" s="429">
        <v>134.22608763649569</v>
      </c>
      <c r="AN30" s="430">
        <v>35466.783266328923</v>
      </c>
      <c r="AO30" s="430">
        <v>280.14881170749271</v>
      </c>
      <c r="AP30" s="430"/>
      <c r="AQ30" s="429">
        <v>1407.1541908701133</v>
      </c>
      <c r="AR30" s="429">
        <v>2515.758508643974</v>
      </c>
      <c r="AS30" s="429">
        <v>5107.8096180554248</v>
      </c>
      <c r="AT30" s="428">
        <v>1034.3409999999999</v>
      </c>
      <c r="AU30" s="428">
        <v>5011.0795699999999</v>
      </c>
      <c r="AV30" s="433">
        <v>40679.600849956318</v>
      </c>
      <c r="AW30" s="428">
        <v>375235.82066006016</v>
      </c>
      <c r="AX30" s="428">
        <v>28441.024599350207</v>
      </c>
      <c r="AY30" s="428">
        <v>0</v>
      </c>
      <c r="AZ30" s="431">
        <v>42120.440815799477</v>
      </c>
      <c r="BA30" s="431">
        <v>1821.4244677102481</v>
      </c>
      <c r="BB30" s="431">
        <v>29598.147600291515</v>
      </c>
      <c r="BC30" s="431">
        <v>0</v>
      </c>
      <c r="BD30" s="431">
        <v>0</v>
      </c>
      <c r="BE30" s="431">
        <v>0</v>
      </c>
      <c r="BF30" s="429">
        <v>514.79738836678018</v>
      </c>
      <c r="BG30" s="429">
        <v>114.39941963706228</v>
      </c>
      <c r="BH30" s="429">
        <v>2489.3942752781563</v>
      </c>
      <c r="BI30" s="429">
        <v>4208.3280224315104</v>
      </c>
      <c r="BJ30" s="429">
        <v>34928.192747246256</v>
      </c>
      <c r="BK30" s="429"/>
      <c r="BL30" s="429">
        <v>13777.89701112176</v>
      </c>
      <c r="BM30" s="429">
        <v>496.90186290355041</v>
      </c>
      <c r="BN30" s="429"/>
      <c r="BO30" s="429"/>
      <c r="BP30" s="428">
        <v>19791.85712282579</v>
      </c>
      <c r="BQ30" s="428">
        <v>9753.0334157673842</v>
      </c>
      <c r="BR30" s="428">
        <v>1086.6162902654798</v>
      </c>
      <c r="BS30" s="428">
        <v>11127.367208747633</v>
      </c>
      <c r="BT30" s="428">
        <v>0</v>
      </c>
      <c r="BU30" s="428">
        <v>0</v>
      </c>
      <c r="BV30" s="431"/>
      <c r="BW30" s="431"/>
      <c r="BX30" s="429">
        <v>12.304395011370193</v>
      </c>
      <c r="BY30" s="429"/>
      <c r="BZ30" s="429">
        <v>0.24932832718107784</v>
      </c>
      <c r="CA30" s="429"/>
      <c r="CB30" s="429">
        <v>0.45222418306573808</v>
      </c>
      <c r="CC30" s="430"/>
      <c r="CD30" s="429">
        <v>37.502412460785692</v>
      </c>
      <c r="CE30" s="429">
        <v>8.1805262381127175</v>
      </c>
      <c r="CF30" s="429">
        <v>999.47585693208771</v>
      </c>
      <c r="CG30" s="333"/>
      <c r="CH30" s="429">
        <v>117.41291277546581</v>
      </c>
      <c r="CI30" s="430">
        <v>6219.1300651269812</v>
      </c>
      <c r="CJ30" s="430">
        <v>221.71854570320232</v>
      </c>
      <c r="CK30" s="430"/>
      <c r="CL30" s="429">
        <v>1540.3415302759097</v>
      </c>
      <c r="CM30" s="429">
        <v>2177.7110402844187</v>
      </c>
      <c r="CN30" s="429">
        <v>4468.0048097845629</v>
      </c>
      <c r="CO30" s="428">
        <v>1325.3154444444444</v>
      </c>
      <c r="CP30" s="428">
        <v>6609.5495699999992</v>
      </c>
      <c r="CQ30" s="420">
        <f t="shared" si="0"/>
        <v>678583.36468081106</v>
      </c>
      <c r="CR30" s="420">
        <f t="shared" si="1"/>
        <v>599242.99156935036</v>
      </c>
      <c r="CT30" s="420">
        <f t="shared" si="2"/>
        <v>40718.716466032565</v>
      </c>
      <c r="CU30" s="420">
        <f t="shared" si="3"/>
        <v>586112.16603102919</v>
      </c>
      <c r="CV30" s="420">
        <f t="shared" si="4"/>
        <v>50823.074965605927</v>
      </c>
      <c r="CW30" s="420">
        <f t="shared" si="5"/>
        <v>1292.6759540254784</v>
      </c>
      <c r="CX30" s="427"/>
      <c r="CY30" s="420">
        <f t="shared" si="6"/>
        <v>130069.92361078634</v>
      </c>
      <c r="CZ30" s="420">
        <f t="shared" si="7"/>
        <v>445435.71929701668</v>
      </c>
      <c r="DA30" s="420">
        <f t="shared" si="8"/>
        <v>22561.771005619517</v>
      </c>
      <c r="DB30" s="420">
        <f t="shared" si="9"/>
        <v>1175.5776559280689</v>
      </c>
    </row>
    <row r="31" spans="1:106">
      <c r="A31" s="434" t="s">
        <v>811</v>
      </c>
      <c r="B31" s="428">
        <v>0</v>
      </c>
      <c r="C31" s="428">
        <v>0</v>
      </c>
      <c r="D31" s="428">
        <v>0</v>
      </c>
      <c r="E31" s="431">
        <v>374.34416472268595</v>
      </c>
      <c r="F31" s="431">
        <v>17.551218214866918</v>
      </c>
      <c r="G31" s="431">
        <v>0</v>
      </c>
      <c r="H31" s="431">
        <v>182.2120221787674</v>
      </c>
      <c r="I31" s="431">
        <v>8.5430554660864733</v>
      </c>
      <c r="J31" s="431">
        <v>0</v>
      </c>
      <c r="K31" s="429">
        <v>0</v>
      </c>
      <c r="L31" s="429">
        <v>0</v>
      </c>
      <c r="M31" s="429">
        <v>0</v>
      </c>
      <c r="N31" s="429">
        <v>686.05410084532457</v>
      </c>
      <c r="O31" s="429"/>
      <c r="P31" s="429"/>
      <c r="Q31" s="429">
        <v>620.77918807203855</v>
      </c>
      <c r="R31" s="429">
        <v>51.30358536230856</v>
      </c>
      <c r="S31" s="429"/>
      <c r="T31" s="429"/>
      <c r="U31" s="428">
        <v>0</v>
      </c>
      <c r="V31" s="428">
        <v>0</v>
      </c>
      <c r="W31" s="428">
        <v>0</v>
      </c>
      <c r="X31" s="428">
        <v>6717.1345035300028</v>
      </c>
      <c r="Y31" s="428">
        <v>0</v>
      </c>
      <c r="Z31" s="428">
        <v>0</v>
      </c>
      <c r="AA31" s="429"/>
      <c r="AB31" s="429"/>
      <c r="AC31" s="429">
        <v>6.7157769293307155</v>
      </c>
      <c r="AD31" s="429"/>
      <c r="AE31" s="429"/>
      <c r="AF31" s="429"/>
      <c r="AG31" s="429"/>
      <c r="AH31" s="429">
        <v>2956.7523473338056</v>
      </c>
      <c r="AI31" s="333"/>
      <c r="AJ31" s="430"/>
      <c r="AK31" s="429">
        <v>1084.6667946653008</v>
      </c>
      <c r="AL31" s="333"/>
      <c r="AM31" s="429">
        <v>444.00583941475526</v>
      </c>
      <c r="AN31" s="430"/>
      <c r="AO31" s="430"/>
      <c r="AP31" s="430"/>
      <c r="AQ31" s="429">
        <v>1309.2977602887659</v>
      </c>
      <c r="AR31" s="429">
        <v>2286.7449801611979</v>
      </c>
      <c r="AS31" s="429">
        <v>7708.3329727210858</v>
      </c>
      <c r="AT31" s="428">
        <v>2148.4155000000001</v>
      </c>
      <c r="AU31" s="428">
        <v>7911.8344999999999</v>
      </c>
      <c r="AV31" s="433">
        <v>14109.780488072993</v>
      </c>
      <c r="AW31" s="428">
        <v>0</v>
      </c>
      <c r="AX31" s="428">
        <v>0</v>
      </c>
      <c r="AY31" s="428">
        <v>0</v>
      </c>
      <c r="AZ31" s="431">
        <v>1335.3656022003931</v>
      </c>
      <c r="BA31" s="431">
        <v>62.608944627756166</v>
      </c>
      <c r="BB31" s="431">
        <v>0</v>
      </c>
      <c r="BC31" s="431">
        <v>134747.45128564246</v>
      </c>
      <c r="BD31" s="431">
        <v>6317.6673881465176</v>
      </c>
      <c r="BE31" s="431">
        <v>0</v>
      </c>
      <c r="BF31" s="429">
        <v>0</v>
      </c>
      <c r="BG31" s="429">
        <v>0</v>
      </c>
      <c r="BH31" s="429">
        <v>0</v>
      </c>
      <c r="BI31" s="429">
        <v>663.82880000021419</v>
      </c>
      <c r="BJ31" s="429"/>
      <c r="BK31" s="429"/>
      <c r="BL31" s="429">
        <v>335.35558210010765</v>
      </c>
      <c r="BM31" s="429">
        <v>44.602986272203303</v>
      </c>
      <c r="BN31" s="429"/>
      <c r="BO31" s="429"/>
      <c r="BP31" s="428">
        <v>0</v>
      </c>
      <c r="BQ31" s="428">
        <v>0</v>
      </c>
      <c r="BR31" s="428">
        <v>0</v>
      </c>
      <c r="BS31" s="428">
        <v>6717.1345035300028</v>
      </c>
      <c r="BT31" s="428">
        <v>0</v>
      </c>
      <c r="BU31" s="428">
        <v>0</v>
      </c>
      <c r="BV31" s="431"/>
      <c r="BW31" s="431"/>
      <c r="BX31" s="429">
        <v>7.5929352013932618</v>
      </c>
      <c r="BY31" s="429"/>
      <c r="BZ31" s="429"/>
      <c r="CA31" s="429"/>
      <c r="CB31" s="429"/>
      <c r="CC31" s="429">
        <v>2675.7861908734244</v>
      </c>
      <c r="CD31" s="333"/>
      <c r="CE31" s="430"/>
      <c r="CF31" s="429">
        <v>1236.0615210376786</v>
      </c>
      <c r="CG31" s="333"/>
      <c r="CH31" s="429">
        <v>483.97983642650115</v>
      </c>
      <c r="CI31" s="430"/>
      <c r="CJ31" s="430"/>
      <c r="CK31" s="430"/>
      <c r="CL31" s="429">
        <v>1930.8890795585671</v>
      </c>
      <c r="CM31" s="429">
        <v>2466.6566035506617</v>
      </c>
      <c r="CN31" s="429">
        <v>8402.3168167697258</v>
      </c>
      <c r="CO31" s="428">
        <v>2626.3288333333335</v>
      </c>
      <c r="CP31" s="428">
        <v>10537.254500000001</v>
      </c>
      <c r="CQ31" s="420">
        <f t="shared" si="0"/>
        <v>34514.68830990632</v>
      </c>
      <c r="CR31" s="420">
        <f t="shared" si="1"/>
        <v>180590.88140927092</v>
      </c>
      <c r="CT31" s="420">
        <f t="shared" si="2"/>
        <v>1992.0909202243868</v>
      </c>
      <c r="CU31" s="420">
        <f t="shared" si="3"/>
        <v>6717.1345035300028</v>
      </c>
      <c r="CV31" s="420">
        <f t="shared" si="4"/>
        <v>21364.625713171052</v>
      </c>
      <c r="CW31" s="420">
        <f t="shared" si="5"/>
        <v>4492.1407583431928</v>
      </c>
      <c r="CX31" s="427"/>
      <c r="CY31" s="420">
        <f t="shared" si="6"/>
        <v>143506.88058898965</v>
      </c>
      <c r="CZ31" s="420">
        <f t="shared" si="7"/>
        <v>6717.1345035300028</v>
      </c>
      <c r="DA31" s="420">
        <f t="shared" si="8"/>
        <v>25963.445833212289</v>
      </c>
      <c r="DB31" s="420">
        <f t="shared" si="9"/>
        <v>4403.4204835389974</v>
      </c>
    </row>
    <row r="32" spans="1:106">
      <c r="A32" s="434" t="s">
        <v>810</v>
      </c>
      <c r="B32" s="428">
        <v>476876.44036499999</v>
      </c>
      <c r="C32" s="428">
        <v>24766.417300000008</v>
      </c>
      <c r="D32" s="428">
        <v>0</v>
      </c>
      <c r="E32" s="428">
        <v>32711.582811924865</v>
      </c>
      <c r="F32" s="428">
        <v>1402.9506616800618</v>
      </c>
      <c r="G32" s="428">
        <v>25224.39275750922</v>
      </c>
      <c r="H32" s="428">
        <v>18821.234153074081</v>
      </c>
      <c r="I32" s="428">
        <v>802.76952653809519</v>
      </c>
      <c r="J32" s="428">
        <v>14557.785718307943</v>
      </c>
      <c r="K32" s="429">
        <v>0</v>
      </c>
      <c r="L32" s="429">
        <v>0</v>
      </c>
      <c r="M32" s="429">
        <v>75037.031681595356</v>
      </c>
      <c r="N32" s="429">
        <v>592372.81470894278</v>
      </c>
      <c r="O32" s="429">
        <v>130480.23302475612</v>
      </c>
      <c r="P32" s="429">
        <v>140060.63340128039</v>
      </c>
      <c r="Q32" s="429">
        <v>9321.055503728554</v>
      </c>
      <c r="R32" s="429">
        <v>24772.39712240802</v>
      </c>
      <c r="S32" s="429">
        <v>14199629.049570486</v>
      </c>
      <c r="T32" s="429">
        <v>227480.55839720691</v>
      </c>
      <c r="U32" s="428">
        <v>13084.665397713825</v>
      </c>
      <c r="V32" s="428">
        <v>6538.3273708138468</v>
      </c>
      <c r="W32" s="428">
        <v>564.11643701946002</v>
      </c>
      <c r="X32" s="428">
        <v>261079.79207282973</v>
      </c>
      <c r="Y32" s="428">
        <v>4055.4634011736316</v>
      </c>
      <c r="Z32" s="428">
        <v>0</v>
      </c>
      <c r="AA32" s="429"/>
      <c r="AB32" s="429"/>
      <c r="AC32" s="429">
        <v>723.0154684733061</v>
      </c>
      <c r="AD32" s="429"/>
      <c r="AE32" s="429"/>
      <c r="AF32" s="429">
        <v>419.24253959998606</v>
      </c>
      <c r="AG32" s="429"/>
      <c r="AH32" s="429">
        <v>8162.7971061066501</v>
      </c>
      <c r="AI32" s="429">
        <v>23549.474476167463</v>
      </c>
      <c r="AJ32" s="429">
        <v>60.006815624385588</v>
      </c>
      <c r="AK32" s="429">
        <v>29406.491097683986</v>
      </c>
      <c r="AL32" s="333">
        <v>196993.24661971393</v>
      </c>
      <c r="AM32" s="429">
        <v>81451.557426309519</v>
      </c>
      <c r="AN32" s="430">
        <v>3451348.06268</v>
      </c>
      <c r="AO32" s="430">
        <v>147797.9991577011</v>
      </c>
      <c r="AP32" s="430">
        <v>81197.015868384013</v>
      </c>
      <c r="AQ32" s="429">
        <v>83602.873882569154</v>
      </c>
      <c r="AR32" s="429">
        <v>69341.808395023443</v>
      </c>
      <c r="AS32" s="429">
        <v>367603.86561150476</v>
      </c>
      <c r="AT32" s="428">
        <v>90888.608818222798</v>
      </c>
      <c r="AU32" s="428">
        <v>564698.4580706032</v>
      </c>
      <c r="AV32" s="433">
        <v>32218217.99479102</v>
      </c>
      <c r="AW32" s="428">
        <v>439752.12239833333</v>
      </c>
      <c r="AX32" s="428">
        <v>23824.722633333335</v>
      </c>
      <c r="AY32" s="428">
        <v>0</v>
      </c>
      <c r="AZ32" s="428">
        <v>124487.26718046523</v>
      </c>
      <c r="BA32" s="428">
        <v>5341.1843937806716</v>
      </c>
      <c r="BB32" s="428">
        <v>95972.876678751563</v>
      </c>
      <c r="BC32" s="428">
        <v>488999.58648277819</v>
      </c>
      <c r="BD32" s="428">
        <v>20925.80369351515</v>
      </c>
      <c r="BE32" s="428">
        <v>377541.46684418235</v>
      </c>
      <c r="BF32" s="429">
        <v>0</v>
      </c>
      <c r="BG32" s="429">
        <v>0</v>
      </c>
      <c r="BH32" s="429">
        <v>175944.94507748724</v>
      </c>
      <c r="BI32" s="429">
        <v>534911.35891824937</v>
      </c>
      <c r="BJ32" s="429">
        <v>73695.265430134721</v>
      </c>
      <c r="BK32" s="429">
        <v>119424.6434872869</v>
      </c>
      <c r="BL32" s="429">
        <v>11143.457907686003</v>
      </c>
      <c r="BM32" s="429">
        <v>20485.278884044325</v>
      </c>
      <c r="BN32" s="429">
        <v>13414970.332331609</v>
      </c>
      <c r="BO32" s="429">
        <v>238289.8391236203</v>
      </c>
      <c r="BP32" s="428">
        <v>14281.45555475857</v>
      </c>
      <c r="BQ32" s="428">
        <v>7136.3561016282674</v>
      </c>
      <c r="BR32" s="428">
        <v>564.11643701946002</v>
      </c>
      <c r="BS32" s="428">
        <v>273532.16693896294</v>
      </c>
      <c r="BT32" s="428">
        <v>3867.7104659341117</v>
      </c>
      <c r="BU32" s="428">
        <v>0</v>
      </c>
      <c r="BV32" s="431"/>
      <c r="BW32" s="431"/>
      <c r="BX32" s="429">
        <v>751.76101439832451</v>
      </c>
      <c r="BY32" s="429"/>
      <c r="BZ32" s="429"/>
      <c r="CA32" s="429">
        <v>395.37218342661379</v>
      </c>
      <c r="CB32" s="429"/>
      <c r="CC32" s="429">
        <v>7387.1252000923359</v>
      </c>
      <c r="CD32" s="429">
        <v>23362.747139011044</v>
      </c>
      <c r="CE32" s="429">
        <v>56.444219285051943</v>
      </c>
      <c r="CF32" s="429">
        <v>29480.410198037051</v>
      </c>
      <c r="CG32" s="333">
        <v>568605.62611841201</v>
      </c>
      <c r="CH32" s="429">
        <v>77913.489486429869</v>
      </c>
      <c r="CI32" s="430">
        <v>2987007.6038399995</v>
      </c>
      <c r="CJ32" s="430">
        <v>127913.42376914113</v>
      </c>
      <c r="CK32" s="430">
        <v>85562.18080488003</v>
      </c>
      <c r="CL32" s="429">
        <v>121019.19531054172</v>
      </c>
      <c r="CM32" s="429">
        <v>65638.825044252328</v>
      </c>
      <c r="CN32" s="429">
        <v>351636.00087579881</v>
      </c>
      <c r="CO32" s="428">
        <v>93341.002146651314</v>
      </c>
      <c r="CP32" s="428">
        <v>594514.39801097149</v>
      </c>
      <c r="CQ32" s="420">
        <f t="shared" si="0"/>
        <v>21476884.235417672</v>
      </c>
      <c r="CR32" s="420">
        <f t="shared" si="1"/>
        <v>21599677.562324889</v>
      </c>
      <c r="CT32" s="420">
        <f t="shared" si="2"/>
        <v>15517446.886161847</v>
      </c>
      <c r="CU32" s="420">
        <f t="shared" si="3"/>
        <v>786965.22234455042</v>
      </c>
      <c r="CV32" s="420">
        <f t="shared" si="4"/>
        <v>4856478.6924840081</v>
      </c>
      <c r="CW32" s="420">
        <f t="shared" si="5"/>
        <v>340765.83154967922</v>
      </c>
      <c r="CX32" s="427"/>
      <c r="CY32" s="420">
        <f t="shared" si="6"/>
        <v>15702133.30643359</v>
      </c>
      <c r="CZ32" s="420">
        <f t="shared" si="7"/>
        <v>762958.65052996995</v>
      </c>
      <c r="DA32" s="420">
        <f t="shared" si="8"/>
        <v>4426632.6298022363</v>
      </c>
      <c r="DB32" s="420">
        <f t="shared" si="9"/>
        <v>707952.97555909224</v>
      </c>
    </row>
    <row r="33" spans="1:106">
      <c r="A33" s="434" t="s">
        <v>809</v>
      </c>
      <c r="B33" s="428">
        <v>0</v>
      </c>
      <c r="C33" s="428">
        <v>0</v>
      </c>
      <c r="D33" s="428">
        <v>0</v>
      </c>
      <c r="E33" s="431">
        <v>6486.7593282606722</v>
      </c>
      <c r="F33" s="431">
        <v>0</v>
      </c>
      <c r="G33" s="431">
        <v>0</v>
      </c>
      <c r="H33" s="431">
        <v>0</v>
      </c>
      <c r="I33" s="431">
        <v>0</v>
      </c>
      <c r="J33" s="431">
        <v>0</v>
      </c>
      <c r="K33" s="429">
        <v>0</v>
      </c>
      <c r="L33" s="429">
        <v>0</v>
      </c>
      <c r="M33" s="429">
        <v>0</v>
      </c>
      <c r="N33" s="333"/>
      <c r="O33" s="333"/>
      <c r="P33" s="333"/>
      <c r="Q33" s="333"/>
      <c r="R33" s="333"/>
      <c r="S33" s="429"/>
      <c r="T33" s="429"/>
      <c r="U33" s="428">
        <v>0</v>
      </c>
      <c r="V33" s="428">
        <v>0</v>
      </c>
      <c r="W33" s="428">
        <v>0</v>
      </c>
      <c r="X33" s="428">
        <v>0</v>
      </c>
      <c r="Y33" s="428">
        <v>0</v>
      </c>
      <c r="Z33" s="428">
        <v>0</v>
      </c>
      <c r="AA33" s="429"/>
      <c r="AB33" s="429"/>
      <c r="AC33" s="429"/>
      <c r="AD33" s="429"/>
      <c r="AE33" s="429"/>
      <c r="AF33" s="429"/>
      <c r="AG33" s="429"/>
      <c r="AH33" s="430"/>
      <c r="AI33" s="429">
        <v>2472.6840293804016</v>
      </c>
      <c r="AJ33" s="430"/>
      <c r="AK33" s="429"/>
      <c r="AL33" s="333"/>
      <c r="AM33" s="429"/>
      <c r="AN33" s="430">
        <v>158095.63203044623</v>
      </c>
      <c r="AO33" s="430">
        <v>85128.417247163336</v>
      </c>
      <c r="AP33" s="430">
        <v>27837.911975328007</v>
      </c>
      <c r="AQ33" s="429"/>
      <c r="AR33" s="429">
        <v>23773.424893344425</v>
      </c>
      <c r="AS33" s="429">
        <v>171864.83880091755</v>
      </c>
      <c r="AT33" s="428">
        <v>0</v>
      </c>
      <c r="AU33" s="428">
        <v>0</v>
      </c>
      <c r="AV33" s="433">
        <v>11204169.473436501</v>
      </c>
      <c r="AW33" s="428">
        <v>0</v>
      </c>
      <c r="AX33" s="428">
        <v>0</v>
      </c>
      <c r="AY33" s="428">
        <v>0</v>
      </c>
      <c r="AZ33" s="431">
        <v>46844.030661078716</v>
      </c>
      <c r="BA33" s="431">
        <v>0</v>
      </c>
      <c r="BB33" s="431">
        <v>0</v>
      </c>
      <c r="BC33" s="431">
        <v>0</v>
      </c>
      <c r="BD33" s="431">
        <v>0</v>
      </c>
      <c r="BE33" s="431">
        <v>0</v>
      </c>
      <c r="BF33" s="429">
        <v>0</v>
      </c>
      <c r="BG33" s="429">
        <v>0</v>
      </c>
      <c r="BH33" s="429">
        <v>0</v>
      </c>
      <c r="BI33" s="333"/>
      <c r="BJ33" s="333"/>
      <c r="BK33" s="333"/>
      <c r="BL33" s="333"/>
      <c r="BM33" s="333"/>
      <c r="BN33" s="429"/>
      <c r="BO33" s="429"/>
      <c r="BP33" s="428">
        <v>0</v>
      </c>
      <c r="BQ33" s="428">
        <v>0</v>
      </c>
      <c r="BR33" s="428">
        <v>0</v>
      </c>
      <c r="BS33" s="428">
        <v>0</v>
      </c>
      <c r="BT33" s="428">
        <v>0</v>
      </c>
      <c r="BU33" s="428">
        <v>0</v>
      </c>
      <c r="BV33" s="431"/>
      <c r="BW33" s="431"/>
      <c r="BX33" s="429"/>
      <c r="BY33" s="429"/>
      <c r="BZ33" s="429"/>
      <c r="CA33" s="429"/>
      <c r="CB33" s="429"/>
      <c r="CC33" s="430"/>
      <c r="CD33" s="429">
        <v>2674.0534417001318</v>
      </c>
      <c r="CE33" s="430"/>
      <c r="CF33" s="429"/>
      <c r="CG33" s="333"/>
      <c r="CH33" s="429"/>
      <c r="CI33" s="430">
        <v>172245.50461147405</v>
      </c>
      <c r="CJ33" s="430">
        <v>57415.168203824673</v>
      </c>
      <c r="CK33" s="430">
        <v>32004.495353610004</v>
      </c>
      <c r="CL33" s="429"/>
      <c r="CM33" s="429">
        <v>24552.173067395444</v>
      </c>
      <c r="CN33" s="429">
        <v>179362.99500082442</v>
      </c>
      <c r="CO33" s="428">
        <v>0</v>
      </c>
      <c r="CP33" s="428">
        <v>0</v>
      </c>
      <c r="CQ33" s="420">
        <f t="shared" si="0"/>
        <v>475659.66830484063</v>
      </c>
      <c r="CR33" s="420">
        <f t="shared" si="1"/>
        <v>515098.42033990752</v>
      </c>
      <c r="CT33" s="420">
        <f t="shared" si="2"/>
        <v>6486.7593282606722</v>
      </c>
      <c r="CU33" s="420">
        <f t="shared" si="3"/>
        <v>0</v>
      </c>
      <c r="CV33" s="420">
        <f t="shared" si="4"/>
        <v>466700.22494719952</v>
      </c>
      <c r="CW33" s="420">
        <f t="shared" si="5"/>
        <v>2472.6840293804016</v>
      </c>
      <c r="CX33" s="427"/>
      <c r="CY33" s="420">
        <f t="shared" si="6"/>
        <v>46844.030661078716</v>
      </c>
      <c r="CZ33" s="420">
        <f t="shared" si="7"/>
        <v>0</v>
      </c>
      <c r="DA33" s="420">
        <f t="shared" si="8"/>
        <v>465580.33623712859</v>
      </c>
      <c r="DB33" s="420">
        <f t="shared" si="9"/>
        <v>2674.0534417001318</v>
      </c>
    </row>
    <row r="34" spans="1:106">
      <c r="A34" s="434" t="s">
        <v>808</v>
      </c>
      <c r="B34" s="428">
        <v>12193348.984569998</v>
      </c>
      <c r="C34" s="428">
        <v>1733417.0691999998</v>
      </c>
      <c r="D34" s="428">
        <v>0</v>
      </c>
      <c r="E34" s="428">
        <v>203362.00721120971</v>
      </c>
      <c r="F34" s="428">
        <v>8794.0327442685284</v>
      </c>
      <c r="G34" s="428">
        <v>142903.03209436359</v>
      </c>
      <c r="H34" s="428">
        <v>75137.720031620847</v>
      </c>
      <c r="I34" s="428">
        <v>3249.1987040700906</v>
      </c>
      <c r="J34" s="428">
        <v>52799.478941138972</v>
      </c>
      <c r="K34" s="429">
        <v>977296.77486697538</v>
      </c>
      <c r="L34" s="429">
        <v>217177.06108155008</v>
      </c>
      <c r="M34" s="429">
        <v>103287.68659336309</v>
      </c>
      <c r="N34" s="429">
        <v>11886344.484061496</v>
      </c>
      <c r="O34" s="429">
        <v>12962993.244089063</v>
      </c>
      <c r="P34" s="429">
        <v>585135.5989655978</v>
      </c>
      <c r="Q34" s="429">
        <v>429759.1985239432</v>
      </c>
      <c r="R34" s="429">
        <v>314620.00352174579</v>
      </c>
      <c r="S34" s="429">
        <v>8169646.1685882406</v>
      </c>
      <c r="T34" s="429">
        <v>2309829.861953753</v>
      </c>
      <c r="U34" s="428">
        <v>606264.13344889774</v>
      </c>
      <c r="V34" s="428">
        <v>97209.336840016214</v>
      </c>
      <c r="W34" s="428">
        <v>362364.08838497178</v>
      </c>
      <c r="X34" s="428">
        <v>2202585.0407845709</v>
      </c>
      <c r="Y34" s="428">
        <v>143683.16944144981</v>
      </c>
      <c r="Z34" s="428">
        <v>882498.74449354399</v>
      </c>
      <c r="AA34" s="429"/>
      <c r="AB34" s="429"/>
      <c r="AC34" s="429">
        <v>1665.047948092945</v>
      </c>
      <c r="AD34" s="429"/>
      <c r="AE34" s="429"/>
      <c r="AF34" s="429">
        <v>1041.4556476134599</v>
      </c>
      <c r="AG34" s="429"/>
      <c r="AH34" s="429">
        <v>98289.543030709916</v>
      </c>
      <c r="AI34" s="429">
        <v>20279.679216627974</v>
      </c>
      <c r="AJ34" s="429">
        <v>225.03943317424529</v>
      </c>
      <c r="AK34" s="429">
        <v>53774.63946316018</v>
      </c>
      <c r="AL34" s="333"/>
      <c r="AM34" s="429">
        <v>141444.44349992837</v>
      </c>
      <c r="AN34" s="430">
        <v>1058558.093339761</v>
      </c>
      <c r="AO34" s="430">
        <v>569992.81949064066</v>
      </c>
      <c r="AP34" s="430">
        <v>178744.04453193606</v>
      </c>
      <c r="AQ34" s="429">
        <v>168568.8259252297</v>
      </c>
      <c r="AR34" s="429">
        <v>152646.43848212055</v>
      </c>
      <c r="AS34" s="429">
        <v>323586.39836474654</v>
      </c>
      <c r="AT34" s="428">
        <v>361750.15727649967</v>
      </c>
      <c r="AU34" s="428">
        <v>1766203.8384675824</v>
      </c>
      <c r="AV34" s="433">
        <v>52967247.775217384</v>
      </c>
      <c r="AW34" s="428">
        <v>11124076.081819998</v>
      </c>
      <c r="AX34" s="428">
        <v>1586864.4732000001</v>
      </c>
      <c r="AY34" s="428">
        <v>0</v>
      </c>
      <c r="AZ34" s="428">
        <v>1740691.9527756511</v>
      </c>
      <c r="BA34" s="428">
        <v>75273.165525433578</v>
      </c>
      <c r="BB34" s="428">
        <v>1223188.9397882947</v>
      </c>
      <c r="BC34" s="428">
        <v>1083351.537017694</v>
      </c>
      <c r="BD34" s="428">
        <v>46847.634033197588</v>
      </c>
      <c r="BE34" s="428">
        <v>761274.05303946044</v>
      </c>
      <c r="BF34" s="429">
        <v>2202619.7564016031</v>
      </c>
      <c r="BG34" s="429">
        <v>489471.05697813415</v>
      </c>
      <c r="BH34" s="429">
        <v>242170.00383332305</v>
      </c>
      <c r="BI34" s="429">
        <v>10737440.797748592</v>
      </c>
      <c r="BJ34" s="429">
        <v>12999744.769327749</v>
      </c>
      <c r="BK34" s="429">
        <v>574041.50294565537</v>
      </c>
      <c r="BL34" s="429">
        <v>549347.89583459438</v>
      </c>
      <c r="BM34" s="429">
        <v>267690.51496882585</v>
      </c>
      <c r="BN34" s="429">
        <v>7031346.2807552963</v>
      </c>
      <c r="BO34" s="429">
        <v>2106561.4612390171</v>
      </c>
      <c r="BP34" s="428">
        <v>907712.83861426346</v>
      </c>
      <c r="BQ34" s="428">
        <v>145544.09244184461</v>
      </c>
      <c r="BR34" s="428">
        <v>428733.11003440927</v>
      </c>
      <c r="BS34" s="428">
        <v>3022335.9315602286</v>
      </c>
      <c r="BT34" s="428">
        <v>137031.17085619731</v>
      </c>
      <c r="BU34" s="428">
        <v>882498.74449354399</v>
      </c>
      <c r="BV34" s="431"/>
      <c r="BW34" s="431"/>
      <c r="BX34" s="429">
        <v>1621.9828604333438</v>
      </c>
      <c r="BY34" s="429"/>
      <c r="BZ34" s="429"/>
      <c r="CA34" s="429">
        <v>1310.6824499170013</v>
      </c>
      <c r="CB34" s="429"/>
      <c r="CC34" s="429">
        <v>97510.190410377792</v>
      </c>
      <c r="CD34" s="429">
        <v>18373.463222806011</v>
      </c>
      <c r="CE34" s="429">
        <v>193.31465100547712</v>
      </c>
      <c r="CF34" s="429">
        <v>49232.861492024451</v>
      </c>
      <c r="CG34" s="333"/>
      <c r="CH34" s="429">
        <v>123443.71347676755</v>
      </c>
      <c r="CI34" s="430">
        <v>964450.61965554836</v>
      </c>
      <c r="CJ34" s="430">
        <v>321483.53988518281</v>
      </c>
      <c r="CK34" s="430">
        <v>171847.48537476</v>
      </c>
      <c r="CL34" s="429">
        <v>388246.91958302777</v>
      </c>
      <c r="CM34" s="429">
        <v>131832.39277796951</v>
      </c>
      <c r="CN34" s="429">
        <v>282405.62623965624</v>
      </c>
      <c r="CO34" s="428">
        <v>482941.82592300524</v>
      </c>
      <c r="CP34" s="428">
        <v>2431971.0571360374</v>
      </c>
      <c r="CQ34" s="420">
        <f t="shared" si="0"/>
        <v>61560476.583253667</v>
      </c>
      <c r="CR34" s="420">
        <f t="shared" si="1"/>
        <v>65832723.440371528</v>
      </c>
      <c r="CT34" s="420">
        <f t="shared" si="2"/>
        <v>38756955.555494137</v>
      </c>
      <c r="CU34" s="420">
        <f t="shared" si="3"/>
        <v>18221370.567163449</v>
      </c>
      <c r="CV34" s="420">
        <f t="shared" si="4"/>
        <v>4580050.6158785168</v>
      </c>
      <c r="CW34" s="420">
        <f t="shared" si="5"/>
        <v>316719.84823930706</v>
      </c>
      <c r="CX34" s="427"/>
      <c r="CY34" s="420">
        <f t="shared" si="6"/>
        <v>42131061.322212525</v>
      </c>
      <c r="CZ34" s="420">
        <f t="shared" si="7"/>
        <v>18234796.443020485</v>
      </c>
      <c r="DA34" s="420">
        <f t="shared" si="8"/>
        <v>5175179.4665751876</v>
      </c>
      <c r="DB34" s="420">
        <f t="shared" si="9"/>
        <v>291686.20856333163</v>
      </c>
    </row>
    <row r="35" spans="1:106">
      <c r="A35" s="434" t="s">
        <v>807</v>
      </c>
      <c r="B35" s="428">
        <v>4736992.3071249994</v>
      </c>
      <c r="C35" s="428">
        <v>2254773.0001000003</v>
      </c>
      <c r="D35" s="428">
        <v>0</v>
      </c>
      <c r="E35" s="428">
        <v>76610.698904424062</v>
      </c>
      <c r="F35" s="428">
        <v>2922.5972050041241</v>
      </c>
      <c r="G35" s="428">
        <v>35268.173360639914</v>
      </c>
      <c r="H35" s="428">
        <v>66056.984683139061</v>
      </c>
      <c r="I35" s="428">
        <v>2678.6411911668993</v>
      </c>
      <c r="J35" s="428">
        <v>20018.654202463422</v>
      </c>
      <c r="K35" s="429">
        <v>0</v>
      </c>
      <c r="L35" s="429">
        <v>0</v>
      </c>
      <c r="M35" s="429">
        <v>3149.8026128625193</v>
      </c>
      <c r="N35" s="429">
        <v>99559.759425929617</v>
      </c>
      <c r="O35" s="429">
        <v>458126.01101068757</v>
      </c>
      <c r="P35" s="429">
        <v>813.17017472904581</v>
      </c>
      <c r="Q35" s="429">
        <v>799963.85410128278</v>
      </c>
      <c r="R35" s="429">
        <v>9306.7029527102823</v>
      </c>
      <c r="S35" s="429">
        <v>970332.10852658341</v>
      </c>
      <c r="T35" s="429">
        <v>290591.91948655533</v>
      </c>
      <c r="U35" s="428">
        <v>55122.287561207573</v>
      </c>
      <c r="V35" s="428">
        <v>10211.237312376497</v>
      </c>
      <c r="W35" s="428">
        <v>47656.147797646663</v>
      </c>
      <c r="X35" s="428">
        <v>285924.65269659017</v>
      </c>
      <c r="Y35" s="428">
        <v>346148.58926591999</v>
      </c>
      <c r="Z35" s="428">
        <v>2403809.6476799999</v>
      </c>
      <c r="AA35" s="429">
        <v>15.456538698594475</v>
      </c>
      <c r="AB35" s="429">
        <v>0.90872382444120758</v>
      </c>
      <c r="AC35" s="429">
        <v>169.80685041464156</v>
      </c>
      <c r="AD35" s="429">
        <v>29804.693936427509</v>
      </c>
      <c r="AE35" s="429">
        <v>46.030177683692742</v>
      </c>
      <c r="AF35" s="429">
        <v>0.79859541598988848</v>
      </c>
      <c r="AG35" s="429">
        <v>81.467495685680106</v>
      </c>
      <c r="AH35" s="429">
        <v>14366.3197510478</v>
      </c>
      <c r="AI35" s="429">
        <v>1985.9934911644468</v>
      </c>
      <c r="AJ35" s="429">
        <v>957.41382205702757</v>
      </c>
      <c r="AK35" s="429">
        <v>9827.1860810233957</v>
      </c>
      <c r="AL35" s="333"/>
      <c r="AM35" s="429">
        <v>26606.885621606245</v>
      </c>
      <c r="AN35" s="430">
        <v>69217.639271042615</v>
      </c>
      <c r="AO35" s="430">
        <v>37271.03653056141</v>
      </c>
      <c r="AP35" s="430">
        <v>46394.115359904012</v>
      </c>
      <c r="AQ35" s="429">
        <v>47682.521819330665</v>
      </c>
      <c r="AR35" s="429">
        <v>39620.321307839011</v>
      </c>
      <c r="AS35" s="429">
        <v>544293.51513801271</v>
      </c>
      <c r="AT35" s="428">
        <v>59689.991825498735</v>
      </c>
      <c r="AU35" s="428">
        <v>261046.98974696829</v>
      </c>
      <c r="AV35" s="433">
        <v>4567557.1839977941</v>
      </c>
      <c r="AW35" s="428">
        <v>4340987.0689249998</v>
      </c>
      <c r="AX35" s="428">
        <v>2047168.4905444444</v>
      </c>
      <c r="AY35" s="428">
        <v>0</v>
      </c>
      <c r="AZ35" s="428">
        <v>308794.04718526709</v>
      </c>
      <c r="BA35" s="428">
        <v>11972.952718241762</v>
      </c>
      <c r="BB35" s="428">
        <v>134258.21876407502</v>
      </c>
      <c r="BC35" s="428">
        <v>1088028.5727538995</v>
      </c>
      <c r="BD35" s="428">
        <v>44891.935209247677</v>
      </c>
      <c r="BE35" s="428">
        <v>377208.99744506687</v>
      </c>
      <c r="BF35" s="429">
        <v>0</v>
      </c>
      <c r="BG35" s="429">
        <v>0</v>
      </c>
      <c r="BH35" s="429">
        <v>7328.6592309076859</v>
      </c>
      <c r="BI35" s="429">
        <v>194811.66131962632</v>
      </c>
      <c r="BJ35" s="429">
        <v>93824.327396768058</v>
      </c>
      <c r="BK35" s="429">
        <v>3.1344275147160419</v>
      </c>
      <c r="BL35" s="429">
        <v>799581.61487640836</v>
      </c>
      <c r="BM35" s="429">
        <v>6442.8161903489672</v>
      </c>
      <c r="BN35" s="429">
        <v>1026371.2758340363</v>
      </c>
      <c r="BO35" s="429">
        <v>287433.32157524023</v>
      </c>
      <c r="BP35" s="428">
        <v>42931.760071395474</v>
      </c>
      <c r="BQ35" s="428">
        <v>7952.9789078554986</v>
      </c>
      <c r="BR35" s="428">
        <v>42492.212695297509</v>
      </c>
      <c r="BS35" s="428">
        <v>239529.59571400925</v>
      </c>
      <c r="BT35" s="428">
        <v>330123.19161471986</v>
      </c>
      <c r="BU35" s="428">
        <v>2403809.6476799999</v>
      </c>
      <c r="BV35" s="431">
        <v>3.5468452885226904</v>
      </c>
      <c r="BW35" s="431">
        <v>0.85074250654967398</v>
      </c>
      <c r="BX35" s="429">
        <v>140.89151162943045</v>
      </c>
      <c r="BY35" s="429">
        <v>5232.0080811064217</v>
      </c>
      <c r="BZ35" s="429">
        <v>55.488708967791808</v>
      </c>
      <c r="CA35" s="429">
        <v>4.1554856519318952E-3</v>
      </c>
      <c r="CB35" s="429">
        <v>98.752021766375492</v>
      </c>
      <c r="CC35" s="429">
        <v>15536.278116569629</v>
      </c>
      <c r="CD35" s="429">
        <v>1827.7587173759177</v>
      </c>
      <c r="CE35" s="429">
        <v>835.44321696787915</v>
      </c>
      <c r="CF35" s="429">
        <v>9139.4034760808445</v>
      </c>
      <c r="CG35" s="333"/>
      <c r="CH35" s="429">
        <v>23461.355590889318</v>
      </c>
      <c r="CI35" s="430">
        <v>63717.401381129006</v>
      </c>
      <c r="CJ35" s="430">
        <v>21239.133793709669</v>
      </c>
      <c r="CK35" s="430">
        <v>45066.15142146001</v>
      </c>
      <c r="CL35" s="429">
        <v>89262.972560526323</v>
      </c>
      <c r="CM35" s="429">
        <v>34572.391689229633</v>
      </c>
      <c r="CN35" s="429">
        <v>479945.82628258411</v>
      </c>
      <c r="CO35" s="428">
        <v>69700.118521207594</v>
      </c>
      <c r="CP35" s="428">
        <v>316037.68575066625</v>
      </c>
      <c r="CQ35" s="420">
        <f t="shared" si="0"/>
        <v>14165116.039461132</v>
      </c>
      <c r="CR35" s="420">
        <f t="shared" si="1"/>
        <v>15011819.943664515</v>
      </c>
      <c r="CT35" s="420">
        <f t="shared" si="2"/>
        <v>2844705.7807908882</v>
      </c>
      <c r="CU35" s="420">
        <f t="shared" si="3"/>
        <v>10140637.869538741</v>
      </c>
      <c r="CV35" s="420">
        <f t="shared" si="4"/>
        <v>1105216.1309991574</v>
      </c>
      <c r="CW35" s="420">
        <f t="shared" si="5"/>
        <v>83862.96108504945</v>
      </c>
      <c r="CX35" s="427"/>
      <c r="CY35" s="420">
        <f t="shared" si="6"/>
        <v>4380951.5349266483</v>
      </c>
      <c r="CZ35" s="420">
        <f t="shared" si="7"/>
        <v>9454994.9461527225</v>
      </c>
      <c r="DA35" s="420">
        <f t="shared" si="8"/>
        <v>1119541.6814005126</v>
      </c>
      <c r="DB35" s="420">
        <f t="shared" si="9"/>
        <v>56331.781184634332</v>
      </c>
    </row>
    <row r="36" spans="1:106">
      <c r="A36" s="434" t="s">
        <v>806</v>
      </c>
      <c r="B36" s="428">
        <v>8732654.987160001</v>
      </c>
      <c r="C36" s="428">
        <v>1805169.3952000004</v>
      </c>
      <c r="D36" s="428">
        <v>0</v>
      </c>
      <c r="E36" s="428">
        <v>218571.45090819578</v>
      </c>
      <c r="F36" s="428">
        <v>9451.738417651708</v>
      </c>
      <c r="G36" s="428">
        <v>153590.74928684026</v>
      </c>
      <c r="H36" s="428">
        <v>75537.734908807295</v>
      </c>
      <c r="I36" s="428">
        <v>3266.4966447051797</v>
      </c>
      <c r="J36" s="428">
        <v>53080.570476459172</v>
      </c>
      <c r="K36" s="429">
        <v>119158.19035934657</v>
      </c>
      <c r="L36" s="429">
        <v>26479.597857632572</v>
      </c>
      <c r="M36" s="429">
        <v>29819.939024017767</v>
      </c>
      <c r="N36" s="429">
        <v>6130117.7025645329</v>
      </c>
      <c r="O36" s="429">
        <v>20832552.225913115</v>
      </c>
      <c r="P36" s="429">
        <v>84990.570367958673</v>
      </c>
      <c r="Q36" s="429">
        <v>186039.53968734539</v>
      </c>
      <c r="R36" s="429">
        <v>188433.07202559555</v>
      </c>
      <c r="S36" s="429">
        <v>3300713.2854315829</v>
      </c>
      <c r="T36" s="429">
        <v>625133.12247295736</v>
      </c>
      <c r="U36" s="428">
        <v>445552.75298056402</v>
      </c>
      <c r="V36" s="428">
        <v>266546.52798642043</v>
      </c>
      <c r="W36" s="428">
        <v>404511.72543561656</v>
      </c>
      <c r="X36" s="428">
        <v>1023884.1381690219</v>
      </c>
      <c r="Y36" s="428">
        <v>0</v>
      </c>
      <c r="Z36" s="428">
        <v>0</v>
      </c>
      <c r="AA36" s="429">
        <v>5.3384796930581935</v>
      </c>
      <c r="AB36" s="429"/>
      <c r="AC36" s="429">
        <v>473.36671607680904</v>
      </c>
      <c r="AD36" s="429">
        <v>1691656.6889692699</v>
      </c>
      <c r="AE36" s="429"/>
      <c r="AF36" s="429">
        <v>94.602728608590226</v>
      </c>
      <c r="AG36" s="429"/>
      <c r="AH36" s="429">
        <v>135587.62878106083</v>
      </c>
      <c r="AI36" s="429">
        <v>2131.3476824252339</v>
      </c>
      <c r="AJ36" s="429">
        <v>387.84004530607808</v>
      </c>
      <c r="AK36" s="429">
        <v>43655.783554169066</v>
      </c>
      <c r="AL36" s="333"/>
      <c r="AM36" s="429">
        <v>23407.680328165028</v>
      </c>
      <c r="AN36" s="430">
        <v>257261.42652000004</v>
      </c>
      <c r="AO36" s="430">
        <v>31718.595735392108</v>
      </c>
      <c r="AP36" s="430">
        <v>77831.446434144018</v>
      </c>
      <c r="AQ36" s="429">
        <v>90761.691029852242</v>
      </c>
      <c r="AR36" s="429">
        <v>66467.630466766743</v>
      </c>
      <c r="AS36" s="429">
        <v>103527.5201179703</v>
      </c>
      <c r="AT36" s="428">
        <v>171620.8726716199</v>
      </c>
      <c r="AU36" s="428">
        <v>761548.87826154905</v>
      </c>
      <c r="AV36" s="433">
        <v>39712605.60010802</v>
      </c>
      <c r="AW36" s="428">
        <v>7999584.0658211112</v>
      </c>
      <c r="AX36" s="428">
        <v>1649291.0136444448</v>
      </c>
      <c r="AY36" s="428">
        <v>0</v>
      </c>
      <c r="AZ36" s="428">
        <v>1414187.9557479604</v>
      </c>
      <c r="BA36" s="428">
        <v>61154.073762073967</v>
      </c>
      <c r="BB36" s="428">
        <v>993753.69863370154</v>
      </c>
      <c r="BC36" s="428">
        <v>1189907.9794341959</v>
      </c>
      <c r="BD36" s="428">
        <v>51455.480191749019</v>
      </c>
      <c r="BE36" s="428">
        <v>836151.5531159211</v>
      </c>
      <c r="BF36" s="429">
        <v>231371.65592818602</v>
      </c>
      <c r="BG36" s="429">
        <v>51415.923539596901</v>
      </c>
      <c r="BH36" s="429">
        <v>69915.772513201227</v>
      </c>
      <c r="BI36" s="429">
        <v>5412939.147202692</v>
      </c>
      <c r="BJ36" s="429">
        <v>19653011.823315639</v>
      </c>
      <c r="BK36" s="429">
        <v>89966.291771494973</v>
      </c>
      <c r="BL36" s="429">
        <v>154652.19591974062</v>
      </c>
      <c r="BM36" s="429">
        <v>170584.5403676545</v>
      </c>
      <c r="BN36" s="429">
        <v>3069048.9648512071</v>
      </c>
      <c r="BO36" s="429">
        <v>701563.10883552441</v>
      </c>
      <c r="BP36" s="428">
        <v>626778.51928211562</v>
      </c>
      <c r="BQ36" s="428">
        <v>374962.64362304442</v>
      </c>
      <c r="BR36" s="428">
        <v>618467.46024977369</v>
      </c>
      <c r="BS36" s="428">
        <v>1508831.5635204797</v>
      </c>
      <c r="BT36" s="428">
        <v>0</v>
      </c>
      <c r="BU36" s="428">
        <v>0</v>
      </c>
      <c r="BV36" s="431">
        <v>2.3514043968821658</v>
      </c>
      <c r="BW36" s="431"/>
      <c r="BX36" s="429">
        <v>584.84332129146617</v>
      </c>
      <c r="BY36" s="429">
        <v>1541616.9178381059</v>
      </c>
      <c r="BZ36" s="429"/>
      <c r="CA36" s="429">
        <v>125.9255524235476</v>
      </c>
      <c r="CB36" s="429"/>
      <c r="CC36" s="429">
        <v>122842.88544533122</v>
      </c>
      <c r="CD36" s="429">
        <v>1833.1836866679039</v>
      </c>
      <c r="CE36" s="429">
        <v>316.28641072066102</v>
      </c>
      <c r="CF36" s="429">
        <v>37943.824075606215</v>
      </c>
      <c r="CG36" s="333"/>
      <c r="CH36" s="429">
        <v>19389.479791492133</v>
      </c>
      <c r="CI36" s="430">
        <v>192804.31943999999</v>
      </c>
      <c r="CJ36" s="430">
        <v>23771.469928778202</v>
      </c>
      <c r="CK36" s="430">
        <v>71021.754274770006</v>
      </c>
      <c r="CL36" s="429">
        <v>203918.33952125229</v>
      </c>
      <c r="CM36" s="429">
        <v>54484.171152772047</v>
      </c>
      <c r="CN36" s="429">
        <v>85755.817366292627</v>
      </c>
      <c r="CO36" s="428">
        <v>221336.86383244599</v>
      </c>
      <c r="CP36" s="428">
        <v>1034663.9985346651</v>
      </c>
      <c r="CQ36" s="420">
        <f t="shared" si="0"/>
        <v>48173393.851800434</v>
      </c>
      <c r="CR36" s="420">
        <f t="shared" si="1"/>
        <v>50541407.86284852</v>
      </c>
      <c r="CT36" s="420">
        <f t="shared" si="2"/>
        <v>32225369.058372345</v>
      </c>
      <c r="CU36" s="420">
        <f t="shared" si="3"/>
        <v>12678319.526931625</v>
      </c>
      <c r="CV36" s="420">
        <f t="shared" si="4"/>
        <v>1560738.0612372945</v>
      </c>
      <c r="CW36" s="420">
        <f t="shared" si="5"/>
        <v>1897400.2772847747</v>
      </c>
      <c r="CX36" s="427"/>
      <c r="CY36" s="420">
        <f t="shared" si="6"/>
        <v>34151080.165130541</v>
      </c>
      <c r="CZ36" s="420">
        <f t="shared" si="7"/>
        <v>12777915.266140971</v>
      </c>
      <c r="DA36" s="420">
        <f t="shared" si="8"/>
        <v>1887756.7340509761</v>
      </c>
      <c r="DB36" s="420">
        <f t="shared" si="9"/>
        <v>1724655.6975260358</v>
      </c>
    </row>
    <row r="37" spans="1:106">
      <c r="A37" s="434" t="s">
        <v>805</v>
      </c>
      <c r="B37" s="428">
        <v>27413777.157389998</v>
      </c>
      <c r="C37" s="428">
        <v>4330274.2754999995</v>
      </c>
      <c r="D37" s="428">
        <v>3098897.4855999998</v>
      </c>
      <c r="E37" s="428">
        <v>15995.119560224664</v>
      </c>
      <c r="F37" s="428">
        <v>355.01952807226081</v>
      </c>
      <c r="G37" s="428">
        <v>5325.2929210839102</v>
      </c>
      <c r="H37" s="428">
        <v>9935.7270127132615</v>
      </c>
      <c r="I37" s="428">
        <v>342.78792861346574</v>
      </c>
      <c r="J37" s="428">
        <v>5272.5012497487578</v>
      </c>
      <c r="K37" s="429">
        <v>77643.222765839819</v>
      </c>
      <c r="L37" s="429">
        <v>17254.04950351996</v>
      </c>
      <c r="M37" s="429">
        <v>4099.0150850126411</v>
      </c>
      <c r="N37" s="429">
        <v>2251847.7590608969</v>
      </c>
      <c r="O37" s="429">
        <v>773990.04226540099</v>
      </c>
      <c r="P37" s="429">
        <v>84145.071264225844</v>
      </c>
      <c r="Q37" s="429">
        <v>6414.7997790423715</v>
      </c>
      <c r="R37" s="429">
        <v>49763.993410768089</v>
      </c>
      <c r="S37" s="429">
        <v>1587892.7238794602</v>
      </c>
      <c r="T37" s="429">
        <v>340460.97752319457</v>
      </c>
      <c r="U37" s="428">
        <v>1978565.3266575078</v>
      </c>
      <c r="V37" s="428">
        <v>13425.302855723996</v>
      </c>
      <c r="W37" s="428">
        <v>52960.673608832003</v>
      </c>
      <c r="X37" s="428">
        <v>403218.03300381877</v>
      </c>
      <c r="Y37" s="428">
        <v>1901605.2355993341</v>
      </c>
      <c r="Z37" s="428">
        <v>7833755.6469035093</v>
      </c>
      <c r="AA37" s="429"/>
      <c r="AB37" s="429"/>
      <c r="AC37" s="429">
        <v>273.26642780315967</v>
      </c>
      <c r="AD37" s="429"/>
      <c r="AE37" s="429"/>
      <c r="AF37" s="429">
        <v>161.75136643395749</v>
      </c>
      <c r="AG37" s="429"/>
      <c r="AH37" s="429">
        <v>27540.597942924971</v>
      </c>
      <c r="AI37" s="429">
        <v>2103.662995421796</v>
      </c>
      <c r="AJ37" s="430"/>
      <c r="AK37" s="429">
        <v>12338.659087638083</v>
      </c>
      <c r="AL37" s="333"/>
      <c r="AM37" s="429">
        <v>18662.293991415609</v>
      </c>
      <c r="AN37" s="430">
        <v>578037.63864000002</v>
      </c>
      <c r="AO37" s="430">
        <v>73269.051657637465</v>
      </c>
      <c r="AP37" s="430">
        <v>53591.814028896006</v>
      </c>
      <c r="AQ37" s="429">
        <v>13034.339182000527</v>
      </c>
      <c r="AR37" s="429">
        <v>45767.116687602414</v>
      </c>
      <c r="AS37" s="429">
        <v>275784.18315368984</v>
      </c>
      <c r="AT37" s="428">
        <v>80958.031080957997</v>
      </c>
      <c r="AU37" s="428">
        <v>428910.46942890942</v>
      </c>
      <c r="AV37" s="433">
        <v>28509180.690003894</v>
      </c>
      <c r="AW37" s="428">
        <v>28780405.160390001</v>
      </c>
      <c r="AX37" s="428">
        <v>4830353.4767222228</v>
      </c>
      <c r="AY37" s="428">
        <v>3432420.0597111112</v>
      </c>
      <c r="AZ37" s="428">
        <v>71276.559512785199</v>
      </c>
      <c r="BA37" s="428">
        <v>2320.0015057354108</v>
      </c>
      <c r="BB37" s="428">
        <v>35092.17330358606</v>
      </c>
      <c r="BC37" s="428">
        <v>154825.15848943198</v>
      </c>
      <c r="BD37" s="428">
        <v>5321.3075177343107</v>
      </c>
      <c r="BE37" s="428">
        <v>81720.079736634041</v>
      </c>
      <c r="BF37" s="429">
        <v>204279.7758340172</v>
      </c>
      <c r="BG37" s="429">
        <v>45395.505740892717</v>
      </c>
      <c r="BH37" s="429">
        <v>10075.552467304839</v>
      </c>
      <c r="BI37" s="429">
        <v>2663198.65347134</v>
      </c>
      <c r="BJ37" s="429">
        <v>85083.329240179417</v>
      </c>
      <c r="BK37" s="429">
        <v>87422.17483353609</v>
      </c>
      <c r="BL37" s="429">
        <v>6882.1513610435204</v>
      </c>
      <c r="BM37" s="429">
        <v>52626.24309226255</v>
      </c>
      <c r="BN37" s="429">
        <v>1673104.1937132315</v>
      </c>
      <c r="BO37" s="429">
        <v>351382.06323389412</v>
      </c>
      <c r="BP37" s="428">
        <v>1942650.1713322224</v>
      </c>
      <c r="BQ37" s="428">
        <v>13181.605146653697</v>
      </c>
      <c r="BR37" s="428">
        <v>80479.24017284096</v>
      </c>
      <c r="BS37" s="428">
        <v>538196.29962951201</v>
      </c>
      <c r="BT37" s="428">
        <v>2365861.7503246525</v>
      </c>
      <c r="BU37" s="428">
        <v>7833755.6469035093</v>
      </c>
      <c r="BV37" s="431"/>
      <c r="BW37" s="431"/>
      <c r="BX37" s="429">
        <v>302.34500101077566</v>
      </c>
      <c r="BY37" s="429"/>
      <c r="BZ37" s="429"/>
      <c r="CA37" s="429">
        <v>206.99244665528136</v>
      </c>
      <c r="CB37" s="429"/>
      <c r="CC37" s="429">
        <v>25346.290506930098</v>
      </c>
      <c r="CD37" s="429">
        <v>2282.3826548821025</v>
      </c>
      <c r="CE37" s="430"/>
      <c r="CF37" s="429">
        <v>13527.822102144248</v>
      </c>
      <c r="CG37" s="333"/>
      <c r="CH37" s="429">
        <v>19519.960405261871</v>
      </c>
      <c r="CI37" s="430">
        <v>547021.41695999994</v>
      </c>
      <c r="CJ37" s="430">
        <v>69337.596339531476</v>
      </c>
      <c r="CK37" s="430">
        <v>61750.556768160001</v>
      </c>
      <c r="CL37" s="429">
        <v>20094.677527831642</v>
      </c>
      <c r="CM37" s="429">
        <v>47371.793869228401</v>
      </c>
      <c r="CN37" s="429">
        <v>288458.44664293434</v>
      </c>
      <c r="CO37" s="428">
        <v>87889.399976778295</v>
      </c>
      <c r="CP37" s="428">
        <v>466987.98946698703</v>
      </c>
      <c r="CQ37" s="420">
        <f t="shared" si="0"/>
        <v>53867650.115527868</v>
      </c>
      <c r="CR37" s="420">
        <f t="shared" si="1"/>
        <v>56997406.004054666</v>
      </c>
      <c r="CT37" s="420">
        <f t="shared" si="2"/>
        <v>5280502.0961485859</v>
      </c>
      <c r="CU37" s="420">
        <f t="shared" si="3"/>
        <v>47026479.137118727</v>
      </c>
      <c r="CV37" s="420">
        <f t="shared" si="4"/>
        <v>1549352.6438596938</v>
      </c>
      <c r="CW37" s="420">
        <f t="shared" si="5"/>
        <v>61080.231811637575</v>
      </c>
      <c r="CX37" s="427"/>
      <c r="CY37" s="420">
        <f t="shared" si="6"/>
        <v>5530004.9230536092</v>
      </c>
      <c r="CZ37" s="420">
        <f t="shared" si="7"/>
        <v>49817303.410332724</v>
      </c>
      <c r="DA37" s="420">
        <f t="shared" si="8"/>
        <v>1588911.8775514511</v>
      </c>
      <c r="DB37" s="420">
        <f t="shared" si="9"/>
        <v>61185.793116884379</v>
      </c>
    </row>
    <row r="38" spans="1:106">
      <c r="A38" s="434" t="s">
        <v>804</v>
      </c>
      <c r="B38" s="428">
        <v>2749199.59002</v>
      </c>
      <c r="C38" s="428">
        <v>350421.3933</v>
      </c>
      <c r="D38" s="428">
        <v>0</v>
      </c>
      <c r="E38" s="431">
        <v>12932.5581100401</v>
      </c>
      <c r="F38" s="431">
        <v>559.24575610984209</v>
      </c>
      <c r="G38" s="431">
        <v>9087.7435367849357</v>
      </c>
      <c r="H38" s="431">
        <v>11970.773956060406</v>
      </c>
      <c r="I38" s="431">
        <v>517.65508999180122</v>
      </c>
      <c r="J38" s="431">
        <v>8411.8952123667714</v>
      </c>
      <c r="K38" s="429"/>
      <c r="L38" s="429"/>
      <c r="M38" s="429"/>
      <c r="N38" s="429">
        <v>150944.20155346661</v>
      </c>
      <c r="O38" s="429">
        <v>231918.49736431005</v>
      </c>
      <c r="P38" s="429"/>
      <c r="Q38" s="429">
        <v>16950.882834363398</v>
      </c>
      <c r="R38" s="429">
        <v>4735.5475167289751</v>
      </c>
      <c r="S38" s="429">
        <v>789746.39337969292</v>
      </c>
      <c r="T38" s="429">
        <v>122581.87425475586</v>
      </c>
      <c r="U38" s="428">
        <v>95229.739714456009</v>
      </c>
      <c r="V38" s="428">
        <v>16416.65164177306</v>
      </c>
      <c r="W38" s="428">
        <v>60321.425602948737</v>
      </c>
      <c r="X38" s="428">
        <v>161502.72799477627</v>
      </c>
      <c r="Y38" s="428">
        <v>4970.4383877119972</v>
      </c>
      <c r="Z38" s="428">
        <v>2227.5572480000001</v>
      </c>
      <c r="AA38" s="429"/>
      <c r="AB38" s="429"/>
      <c r="AC38" s="429">
        <v>42.857968035730337</v>
      </c>
      <c r="AD38" s="429">
        <v>15014.192966604769</v>
      </c>
      <c r="AE38" s="429">
        <v>0.27350233711595062</v>
      </c>
      <c r="AF38" s="429"/>
      <c r="AG38" s="429">
        <v>0.49607027154601463</v>
      </c>
      <c r="AH38" s="429">
        <v>56506.393803941915</v>
      </c>
      <c r="AI38" s="429">
        <v>380.3868892204224</v>
      </c>
      <c r="AJ38" s="429">
        <v>49.175731457394932</v>
      </c>
      <c r="AK38" s="429">
        <v>2324.2435642861074</v>
      </c>
      <c r="AL38" s="333"/>
      <c r="AM38" s="429">
        <v>2869.5749663131728</v>
      </c>
      <c r="AN38" s="430">
        <v>47383.821116360697</v>
      </c>
      <c r="AO38" s="430">
        <v>25514.365216501905</v>
      </c>
      <c r="AP38" s="430">
        <v>10170.372081792002</v>
      </c>
      <c r="AQ38" s="429">
        <v>3977.0124764116504</v>
      </c>
      <c r="AR38" s="429">
        <v>8685.4422500558339</v>
      </c>
      <c r="AS38" s="429">
        <v>19615.840159556039</v>
      </c>
      <c r="AT38" s="428">
        <v>13134.082486865926</v>
      </c>
      <c r="AU38" s="428">
        <v>63817.602836182341</v>
      </c>
      <c r="AV38" s="433">
        <v>2334367.4659096375</v>
      </c>
      <c r="AW38" s="428">
        <v>2553251.4862977779</v>
      </c>
      <c r="AX38" s="428">
        <v>329945.0738555555</v>
      </c>
      <c r="AY38" s="428">
        <v>0</v>
      </c>
      <c r="AZ38" s="431">
        <v>59146.896511940446</v>
      </c>
      <c r="BA38" s="431">
        <v>2557.7036329487764</v>
      </c>
      <c r="BB38" s="431">
        <v>41562.684035417595</v>
      </c>
      <c r="BC38" s="431">
        <v>171304.85789423564</v>
      </c>
      <c r="BD38" s="431">
        <v>7407.7776386696514</v>
      </c>
      <c r="BE38" s="431">
        <v>120376.38662838176</v>
      </c>
      <c r="BF38" s="429"/>
      <c r="BG38" s="429"/>
      <c r="BH38" s="429"/>
      <c r="BI38" s="429">
        <v>206042.77156700901</v>
      </c>
      <c r="BJ38" s="429">
        <v>33539.759009890731</v>
      </c>
      <c r="BK38" s="429"/>
      <c r="BL38" s="429">
        <v>17855.419235538568</v>
      </c>
      <c r="BM38" s="429">
        <v>3794.4786589642727</v>
      </c>
      <c r="BN38" s="429">
        <v>673666.59027630091</v>
      </c>
      <c r="BO38" s="429">
        <v>106967.24570332348</v>
      </c>
      <c r="BP38" s="428">
        <v>143777.10928265713</v>
      </c>
      <c r="BQ38" s="428">
        <v>24785.731056620905</v>
      </c>
      <c r="BR38" s="428">
        <v>87844.815348447359</v>
      </c>
      <c r="BS38" s="428">
        <v>239698.36444226099</v>
      </c>
      <c r="BT38" s="428">
        <v>4740.3254993919982</v>
      </c>
      <c r="BU38" s="428">
        <v>2227.5572480000001</v>
      </c>
      <c r="BV38" s="431"/>
      <c r="BW38" s="431"/>
      <c r="BX38" s="429">
        <v>41.891202479284253</v>
      </c>
      <c r="BY38" s="429">
        <v>2243.0608521539766</v>
      </c>
      <c r="BZ38" s="429">
        <v>0.32979523626171608</v>
      </c>
      <c r="CA38" s="429"/>
      <c r="CB38" s="429">
        <v>0.59817263037709645</v>
      </c>
      <c r="CC38" s="429">
        <v>48601.455392744167</v>
      </c>
      <c r="CD38" s="429">
        <v>361.74824018023071</v>
      </c>
      <c r="CE38" s="429">
        <v>44.341248476342919</v>
      </c>
      <c r="CF38" s="429">
        <v>2233.6244360375654</v>
      </c>
      <c r="CG38" s="333"/>
      <c r="CH38" s="429">
        <v>2637.7943571818537</v>
      </c>
      <c r="CI38" s="430">
        <v>45471.120156973077</v>
      </c>
      <c r="CJ38" s="430">
        <v>15157.040052324359</v>
      </c>
      <c r="CK38" s="430">
        <v>10298.849601690001</v>
      </c>
      <c r="CL38" s="429">
        <v>4729.1268802671102</v>
      </c>
      <c r="CM38" s="429">
        <v>7900.7381626233891</v>
      </c>
      <c r="CN38" s="429">
        <v>18031.434303574544</v>
      </c>
      <c r="CO38" s="428">
        <v>17060.611927383845</v>
      </c>
      <c r="CP38" s="428">
        <v>85388.017814611972</v>
      </c>
      <c r="CQ38" s="420">
        <f t="shared" si="0"/>
        <v>5070132.9265605314</v>
      </c>
      <c r="CR38" s="420">
        <f t="shared" si="1"/>
        <v>5090694.8164199023</v>
      </c>
      <c r="CT38" s="420">
        <f t="shared" si="2"/>
        <v>1365092.8160814007</v>
      </c>
      <c r="CU38" s="420">
        <f t="shared" si="3"/>
        <v>3440289.5239096661</v>
      </c>
      <c r="CV38" s="420">
        <f t="shared" si="4"/>
        <v>192298.5386237264</v>
      </c>
      <c r="CW38" s="420">
        <f t="shared" si="5"/>
        <v>77187.595462468162</v>
      </c>
      <c r="CX38" s="427"/>
      <c r="CY38" s="420">
        <f t="shared" si="6"/>
        <v>1444222.5707926208</v>
      </c>
      <c r="CZ38" s="420">
        <f t="shared" si="7"/>
        <v>3386270.4630307117</v>
      </c>
      <c r="DA38" s="420">
        <f t="shared" si="8"/>
        <v>204036.93889944829</v>
      </c>
      <c r="DB38" s="420">
        <f t="shared" si="9"/>
        <v>56164.843697120057</v>
      </c>
    </row>
    <row r="39" spans="1:106">
      <c r="A39" s="434" t="s">
        <v>803</v>
      </c>
      <c r="B39" s="428">
        <v>2764904.7272600005</v>
      </c>
      <c r="C39" s="428">
        <v>605550.92790000001</v>
      </c>
      <c r="D39" s="428">
        <v>0</v>
      </c>
      <c r="E39" s="431">
        <v>43683.335524922586</v>
      </c>
      <c r="F39" s="431">
        <v>1757.4149024630624</v>
      </c>
      <c r="G39" s="431">
        <v>29498.141794355186</v>
      </c>
      <c r="H39" s="431">
        <v>35994.774453643819</v>
      </c>
      <c r="I39" s="431">
        <v>1420.8455046568338</v>
      </c>
      <c r="J39" s="431">
        <v>24058.117028082266</v>
      </c>
      <c r="K39" s="432">
        <v>104097.77985101714</v>
      </c>
      <c r="L39" s="432">
        <v>23132.839966892694</v>
      </c>
      <c r="M39" s="432">
        <v>8472.420756311687</v>
      </c>
      <c r="N39" s="429">
        <v>1224398.8568753195</v>
      </c>
      <c r="O39" s="429">
        <v>3098629.2161234729</v>
      </c>
      <c r="P39" s="429">
        <v>50297.050175701334</v>
      </c>
      <c r="Q39" s="429">
        <v>14172.616016595421</v>
      </c>
      <c r="R39" s="429">
        <v>40866.781441860265</v>
      </c>
      <c r="S39" s="429">
        <v>451133.47871935909</v>
      </c>
      <c r="T39" s="429">
        <v>88575.12225585393</v>
      </c>
      <c r="U39" s="428">
        <v>103785.50538786758</v>
      </c>
      <c r="V39" s="428">
        <v>38607.439812755765</v>
      </c>
      <c r="W39" s="428">
        <v>19338.116954695284</v>
      </c>
      <c r="X39" s="428">
        <v>161659.29465760867</v>
      </c>
      <c r="Y39" s="428">
        <v>99617.484072959895</v>
      </c>
      <c r="Z39" s="428">
        <v>679547.77855999966</v>
      </c>
      <c r="AA39" s="429"/>
      <c r="AB39" s="429"/>
      <c r="AC39" s="429">
        <v>114.81386465559288</v>
      </c>
      <c r="AD39" s="429"/>
      <c r="AE39" s="429"/>
      <c r="AF39" s="429">
        <v>99.433616109332291</v>
      </c>
      <c r="AG39" s="429"/>
      <c r="AH39" s="429">
        <v>19278.107808012635</v>
      </c>
      <c r="AI39" s="429">
        <v>1034.595234304677</v>
      </c>
      <c r="AJ39" s="429">
        <v>63.91183516330458</v>
      </c>
      <c r="AK39" s="429">
        <v>5951.4757112978377</v>
      </c>
      <c r="AL39" s="333"/>
      <c r="AM39" s="429">
        <v>2386.3694136533004</v>
      </c>
      <c r="AN39" s="430">
        <v>258978.74799999999</v>
      </c>
      <c r="AO39" s="430">
        <v>17868.256682300296</v>
      </c>
      <c r="AP39" s="430">
        <v>26270.630093760003</v>
      </c>
      <c r="AQ39" s="429">
        <v>11242.011401194186</v>
      </c>
      <c r="AR39" s="429">
        <v>22434.974720386817</v>
      </c>
      <c r="AS39" s="429">
        <v>232703.19139698398</v>
      </c>
      <c r="AT39" s="428">
        <v>22571.8955225719</v>
      </c>
      <c r="AU39" s="428">
        <v>70740.354570740237</v>
      </c>
      <c r="AV39" s="433">
        <v>8286134.7857441781</v>
      </c>
      <c r="AW39" s="428">
        <v>2632465.2580488888</v>
      </c>
      <c r="AX39" s="428">
        <v>625832.2964555556</v>
      </c>
      <c r="AY39" s="428">
        <v>0</v>
      </c>
      <c r="AZ39" s="431">
        <v>204669.74121258038</v>
      </c>
      <c r="BA39" s="431">
        <v>8237.9034472307139</v>
      </c>
      <c r="BB39" s="431">
        <v>138243.10591037764</v>
      </c>
      <c r="BC39" s="431">
        <v>525784.18051410024</v>
      </c>
      <c r="BD39" s="431">
        <v>20754.357311484797</v>
      </c>
      <c r="BE39" s="431">
        <v>351420.15486503066</v>
      </c>
      <c r="BF39" s="429">
        <v>242487.55393394918</v>
      </c>
      <c r="BG39" s="429">
        <v>53886.123096433163</v>
      </c>
      <c r="BH39" s="429">
        <v>19994.210766757435</v>
      </c>
      <c r="BI39" s="429">
        <v>1189650.3955807344</v>
      </c>
      <c r="BJ39" s="429">
        <v>2749155.9379149186</v>
      </c>
      <c r="BK39" s="429">
        <v>37177.351189700727</v>
      </c>
      <c r="BL39" s="429">
        <v>12466.397998626044</v>
      </c>
      <c r="BM39" s="429">
        <v>36274.232523699036</v>
      </c>
      <c r="BN39" s="429">
        <v>408098.58267233823</v>
      </c>
      <c r="BO39" s="429">
        <v>78038.418073067427</v>
      </c>
      <c r="BP39" s="428">
        <v>102983.27643721054</v>
      </c>
      <c r="BQ39" s="428">
        <v>38309.016580987489</v>
      </c>
      <c r="BR39" s="428">
        <v>25436.987971649902</v>
      </c>
      <c r="BS39" s="428">
        <v>190934.21819536286</v>
      </c>
      <c r="BT39" s="428">
        <v>95005.563514026566</v>
      </c>
      <c r="BU39" s="428">
        <v>679547.77855999966</v>
      </c>
      <c r="BV39" s="431"/>
      <c r="BW39" s="431"/>
      <c r="BX39" s="429">
        <v>109.9662833661307</v>
      </c>
      <c r="BY39" s="429"/>
      <c r="BZ39" s="429"/>
      <c r="CA39" s="429">
        <v>99.058781001616069</v>
      </c>
      <c r="CB39" s="429"/>
      <c r="CC39" s="429">
        <v>20915.906671226592</v>
      </c>
      <c r="CD39" s="429">
        <v>967.39380516806193</v>
      </c>
      <c r="CE39" s="429">
        <v>56.661793582158325</v>
      </c>
      <c r="CF39" s="429">
        <v>5623.4795701667344</v>
      </c>
      <c r="CG39" s="333"/>
      <c r="CH39" s="429">
        <v>2138.8075724257446</v>
      </c>
      <c r="CI39" s="430">
        <v>210006.37199999997</v>
      </c>
      <c r="CJ39" s="430">
        <v>14489.404203215323</v>
      </c>
      <c r="CK39" s="430">
        <v>25937.794355850001</v>
      </c>
      <c r="CL39" s="429">
        <v>22627.688982657928</v>
      </c>
      <c r="CM39" s="429">
        <v>19898.117716750989</v>
      </c>
      <c r="CN39" s="429">
        <v>208562.5741932239</v>
      </c>
      <c r="CO39" s="428">
        <v>30125.852196792534</v>
      </c>
      <c r="CP39" s="428">
        <v>112238.06461223794</v>
      </c>
      <c r="CQ39" s="420">
        <f t="shared" si="0"/>
        <v>10404938.83586753</v>
      </c>
      <c r="CR39" s="420">
        <f t="shared" si="1"/>
        <v>11140650.185512375</v>
      </c>
      <c r="CT39" s="420">
        <f t="shared" si="2"/>
        <v>5281055.5728323683</v>
      </c>
      <c r="CU39" s="420">
        <f t="shared" si="3"/>
        <v>4473011.2746058879</v>
      </c>
      <c r="CV39" s="420">
        <f t="shared" si="4"/>
        <v>662810.06238793733</v>
      </c>
      <c r="CW39" s="420">
        <f t="shared" si="5"/>
        <v>28928.707483196682</v>
      </c>
      <c r="CX39" s="427"/>
      <c r="CY39" s="420">
        <f t="shared" si="6"/>
        <v>6076338.6470110295</v>
      </c>
      <c r="CZ39" s="420">
        <f t="shared" si="7"/>
        <v>4390514.3957636813</v>
      </c>
      <c r="DA39" s="420">
        <f t="shared" si="8"/>
        <v>643885.86826072866</v>
      </c>
      <c r="DB39" s="420">
        <f t="shared" si="9"/>
        <v>29911.27447693704</v>
      </c>
    </row>
    <row r="40" spans="1:106">
      <c r="A40" s="434" t="s">
        <v>802</v>
      </c>
      <c r="B40" s="428">
        <v>6791353.6537600001</v>
      </c>
      <c r="C40" s="428">
        <v>2871116.6784000006</v>
      </c>
      <c r="D40" s="428">
        <v>0</v>
      </c>
      <c r="E40" s="435">
        <v>553746</v>
      </c>
      <c r="F40" s="435">
        <v>25963</v>
      </c>
      <c r="G40" s="435">
        <v>381268</v>
      </c>
      <c r="H40" s="431">
        <v>0</v>
      </c>
      <c r="I40" s="431">
        <v>0</v>
      </c>
      <c r="J40" s="431">
        <v>0</v>
      </c>
      <c r="K40" s="432">
        <v>1579346.0157868448</v>
      </c>
      <c r="L40" s="432">
        <v>394836.50394671119</v>
      </c>
      <c r="M40" s="432">
        <v>0</v>
      </c>
      <c r="N40" s="429">
        <v>166140.88071355692</v>
      </c>
      <c r="O40" s="429">
        <v>264160.65830610471</v>
      </c>
      <c r="P40" s="429">
        <v>6157.9187099173132</v>
      </c>
      <c r="Q40" s="429">
        <v>302970.69366423757</v>
      </c>
      <c r="R40" s="429">
        <v>186139.24810430643</v>
      </c>
      <c r="S40" s="429">
        <v>18549006.469496105</v>
      </c>
      <c r="T40" s="429">
        <v>3462916.9748641378</v>
      </c>
      <c r="U40" s="428">
        <v>425703.96768747293</v>
      </c>
      <c r="V40" s="428">
        <v>264391.87352908816</v>
      </c>
      <c r="W40" s="428">
        <v>331285.95915344724</v>
      </c>
      <c r="X40" s="428">
        <v>938362.23838190839</v>
      </c>
      <c r="Y40" s="428">
        <v>5821.9412190750636</v>
      </c>
      <c r="Z40" s="428">
        <v>0</v>
      </c>
      <c r="AA40" s="429">
        <v>87.725388997957722</v>
      </c>
      <c r="AB40" s="429">
        <v>15.318668425203194</v>
      </c>
      <c r="AC40" s="429"/>
      <c r="AD40" s="429">
        <v>323373.67316534079</v>
      </c>
      <c r="AE40" s="429">
        <v>122.81373242889538</v>
      </c>
      <c r="AF40" s="429">
        <v>781.34704803357863</v>
      </c>
      <c r="AG40" s="429">
        <v>188.69306080381651</v>
      </c>
      <c r="AH40" s="429">
        <v>8199.6551688623294</v>
      </c>
      <c r="AI40" s="429"/>
      <c r="AJ40" s="430"/>
      <c r="AK40" s="429">
        <v>254794.89791635933</v>
      </c>
      <c r="AL40" s="333"/>
      <c r="AM40" s="429">
        <v>56754.204097644091</v>
      </c>
      <c r="AN40" s="430">
        <v>876463.86809122819</v>
      </c>
      <c r="AO40" s="430">
        <v>80283.715079898873</v>
      </c>
      <c r="AP40" s="430"/>
      <c r="AQ40" s="429">
        <v>766760.27848058706</v>
      </c>
      <c r="AR40" s="429">
        <v>377414.21769744629</v>
      </c>
      <c r="AS40" s="429">
        <v>219753.38448849952</v>
      </c>
      <c r="AT40" s="428">
        <v>571368.79799999902</v>
      </c>
      <c r="AU40" s="428">
        <v>1387505.5169999993</v>
      </c>
      <c r="AV40" s="433">
        <v>5260675.1916274196</v>
      </c>
      <c r="AW40" s="428">
        <v>6024122.9390766677</v>
      </c>
      <c r="AX40" s="428">
        <v>2527797.6166222226</v>
      </c>
      <c r="AY40" s="428">
        <v>0</v>
      </c>
      <c r="AZ40" s="435">
        <v>624211</v>
      </c>
      <c r="BA40" s="436">
        <v>29266</v>
      </c>
      <c r="BB40" s="435">
        <v>429785</v>
      </c>
      <c r="BC40" s="431">
        <v>0</v>
      </c>
      <c r="BD40" s="431">
        <v>0</v>
      </c>
      <c r="BE40" s="431">
        <v>0</v>
      </c>
      <c r="BF40" s="429">
        <v>4178091.5475288751</v>
      </c>
      <c r="BG40" s="429">
        <v>1044522.8868822188</v>
      </c>
      <c r="BH40" s="429">
        <v>0</v>
      </c>
      <c r="BI40" s="429">
        <v>183319.90942295594</v>
      </c>
      <c r="BJ40" s="429">
        <v>194948.72347080091</v>
      </c>
      <c r="BK40" s="429">
        <v>6764.9024990119851</v>
      </c>
      <c r="BL40" s="429">
        <v>290251.50173831539</v>
      </c>
      <c r="BM40" s="429">
        <v>232357.20411657408</v>
      </c>
      <c r="BN40" s="429">
        <v>14567236.375019295</v>
      </c>
      <c r="BO40" s="429">
        <v>3584698.1567292176</v>
      </c>
      <c r="BP40" s="428">
        <v>494584.39486510935</v>
      </c>
      <c r="BQ40" s="428">
        <v>307171.42592534167</v>
      </c>
      <c r="BR40" s="428">
        <v>391314.12036394427</v>
      </c>
      <c r="BS40" s="428">
        <v>1099385.7382411063</v>
      </c>
      <c r="BT40" s="428">
        <v>5552.4069033771357</v>
      </c>
      <c r="BU40" s="428">
        <v>0</v>
      </c>
      <c r="BV40" s="431">
        <v>318.81374718523796</v>
      </c>
      <c r="BW40" s="431">
        <v>15.359225206890919</v>
      </c>
      <c r="BX40" s="429"/>
      <c r="BY40" s="429">
        <v>304092.56287969981</v>
      </c>
      <c r="BZ40" s="429">
        <v>114.89363332132648</v>
      </c>
      <c r="CA40" s="429">
        <v>728.28018093520143</v>
      </c>
      <c r="CB40" s="429">
        <v>174.23764190814228</v>
      </c>
      <c r="CC40" s="429">
        <v>7797.8787163241404</v>
      </c>
      <c r="CD40" s="429"/>
      <c r="CE40" s="430"/>
      <c r="CF40" s="429">
        <v>284085.96682452189</v>
      </c>
      <c r="CG40" s="333"/>
      <c r="CH40" s="429">
        <v>60527.388488319644</v>
      </c>
      <c r="CI40" s="430">
        <v>187924.22614852263</v>
      </c>
      <c r="CJ40" s="430">
        <v>62641.408716174228</v>
      </c>
      <c r="CK40" s="430"/>
      <c r="CL40" s="429">
        <v>1905491.0412902494</v>
      </c>
      <c r="CM40" s="429">
        <v>398313.04261677747</v>
      </c>
      <c r="CN40" s="429">
        <v>234363.22799407606</v>
      </c>
      <c r="CO40" s="428">
        <v>672103.6629999982</v>
      </c>
      <c r="CP40" s="428">
        <v>1940893.1525555553</v>
      </c>
      <c r="CQ40" s="420">
        <f t="shared" si="0"/>
        <v>42424556.782807469</v>
      </c>
      <c r="CR40" s="420">
        <f t="shared" si="1"/>
        <v>42274966.993063807</v>
      </c>
      <c r="CT40" s="420">
        <f t="shared" si="2"/>
        <v>26058791.611696225</v>
      </c>
      <c r="CU40" s="420">
        <f t="shared" si="3"/>
        <v>11628036.312130991</v>
      </c>
      <c r="CV40" s="420">
        <f t="shared" si="4"/>
        <v>4279549.7788376585</v>
      </c>
      <c r="CW40" s="420">
        <f t="shared" si="5"/>
        <v>644318.32824689592</v>
      </c>
      <c r="CX40" s="427"/>
      <c r="CY40" s="420">
        <f t="shared" si="6"/>
        <v>25365453.207407266</v>
      </c>
      <c r="CZ40" s="420">
        <f t="shared" si="7"/>
        <v>10849928.641997769</v>
      </c>
      <c r="DA40" s="420">
        <f t="shared" si="8"/>
        <v>5401729.7623213539</v>
      </c>
      <c r="DB40" s="420">
        <f t="shared" si="9"/>
        <v>657855.38133742241</v>
      </c>
    </row>
    <row r="41" spans="1:106">
      <c r="A41" s="434" t="s">
        <v>801</v>
      </c>
      <c r="B41" s="428">
        <v>7990941.7779100006</v>
      </c>
      <c r="C41" s="428">
        <v>1305152.0206000002</v>
      </c>
      <c r="D41" s="428">
        <v>512050.60370000004</v>
      </c>
      <c r="E41" s="428">
        <v>198415.82535920141</v>
      </c>
      <c r="F41" s="428">
        <v>8939.8953832759671</v>
      </c>
      <c r="G41" s="428">
        <v>148700.03659828205</v>
      </c>
      <c r="H41" s="428">
        <v>33931.683768804847</v>
      </c>
      <c r="I41" s="428">
        <v>1494.4331993150354</v>
      </c>
      <c r="J41" s="428">
        <v>25773.688529415464</v>
      </c>
      <c r="K41" s="432">
        <v>0</v>
      </c>
      <c r="L41" s="432">
        <v>0</v>
      </c>
      <c r="M41" s="432">
        <v>105395.98720845682</v>
      </c>
      <c r="N41" s="429">
        <v>8956323.5825641248</v>
      </c>
      <c r="O41" s="429">
        <v>6132307.3289450733</v>
      </c>
      <c r="P41" s="429">
        <v>276149.08151849173</v>
      </c>
      <c r="Q41" s="429">
        <v>14819.383293200044</v>
      </c>
      <c r="R41" s="429">
        <v>216144.75806641264</v>
      </c>
      <c r="S41" s="429">
        <v>7018626.5804867754</v>
      </c>
      <c r="T41" s="429">
        <v>1988038.2684537596</v>
      </c>
      <c r="U41" s="428">
        <v>365334.36214634002</v>
      </c>
      <c r="V41" s="428">
        <v>9890.5149759438045</v>
      </c>
      <c r="W41" s="428">
        <v>47875.572801694434</v>
      </c>
      <c r="X41" s="428">
        <v>1109146.7446201351</v>
      </c>
      <c r="Y41" s="428">
        <v>18547.187016960001</v>
      </c>
      <c r="Z41" s="428">
        <v>0</v>
      </c>
      <c r="AA41" s="429"/>
      <c r="AB41" s="429"/>
      <c r="AC41" s="429">
        <v>1591.7893463355042</v>
      </c>
      <c r="AD41" s="429"/>
      <c r="AE41" s="429"/>
      <c r="AF41" s="429">
        <v>619.31334208717783</v>
      </c>
      <c r="AG41" s="429"/>
      <c r="AH41" s="429">
        <v>5694.7942145424167</v>
      </c>
      <c r="AI41" s="429"/>
      <c r="AJ41" s="430"/>
      <c r="AK41" s="429">
        <v>58228.073378341636</v>
      </c>
      <c r="AL41" s="333"/>
      <c r="AM41" s="429">
        <v>110234.6992118534</v>
      </c>
      <c r="AN41" s="430">
        <v>2481027.1751849232</v>
      </c>
      <c r="AO41" s="430">
        <v>291604.64463987708</v>
      </c>
      <c r="AP41" s="430"/>
      <c r="AQ41" s="429">
        <v>186825.38827198005</v>
      </c>
      <c r="AR41" s="429">
        <v>283075.47718678525</v>
      </c>
      <c r="AS41" s="429">
        <v>1707042.2918655348</v>
      </c>
      <c r="AT41" s="428">
        <v>570000.89185999834</v>
      </c>
      <c r="AU41" s="428">
        <v>1502190.6039956189</v>
      </c>
      <c r="AV41" s="433">
        <v>34899546.051007845</v>
      </c>
      <c r="AW41" s="428">
        <v>7967202.30241</v>
      </c>
      <c r="AX41" s="428">
        <v>960937.39782222209</v>
      </c>
      <c r="AY41" s="428">
        <v>416426.77655555564</v>
      </c>
      <c r="AZ41" s="428">
        <v>652812.51641584781</v>
      </c>
      <c r="BA41" s="428">
        <v>29366.047634082661</v>
      </c>
      <c r="BB41" s="428">
        <v>489714.54335819068</v>
      </c>
      <c r="BC41" s="428">
        <v>485145.48738987907</v>
      </c>
      <c r="BD41" s="428">
        <v>21371.312688329846</v>
      </c>
      <c r="BE41" s="428">
        <v>368461.45798455633</v>
      </c>
      <c r="BF41" s="429">
        <v>0</v>
      </c>
      <c r="BG41" s="429">
        <v>0</v>
      </c>
      <c r="BH41" s="429">
        <v>256930.13207963645</v>
      </c>
      <c r="BI41" s="429">
        <v>9287928.0634838212</v>
      </c>
      <c r="BJ41" s="429">
        <v>5501273.205697746</v>
      </c>
      <c r="BK41" s="429">
        <v>357939.47610953078</v>
      </c>
      <c r="BL41" s="429">
        <v>12263.380430931869</v>
      </c>
      <c r="BM41" s="429">
        <v>207341.18672032145</v>
      </c>
      <c r="BN41" s="429">
        <v>6780797.097097951</v>
      </c>
      <c r="BO41" s="429">
        <v>1959212.8026527374</v>
      </c>
      <c r="BP41" s="428">
        <v>357658.88474019564</v>
      </c>
      <c r="BQ41" s="428">
        <v>9682.7206042701546</v>
      </c>
      <c r="BR41" s="428">
        <v>53313.149299476732</v>
      </c>
      <c r="BS41" s="428">
        <v>1165199.2577421691</v>
      </c>
      <c r="BT41" s="428">
        <v>17688.520951360002</v>
      </c>
      <c r="BU41" s="428">
        <v>0</v>
      </c>
      <c r="BV41" s="431"/>
      <c r="BW41" s="431"/>
      <c r="BX41" s="429">
        <v>1616.7805466991933</v>
      </c>
      <c r="BY41" s="429"/>
      <c r="BZ41" s="429"/>
      <c r="CA41" s="429">
        <v>909.77170928816997</v>
      </c>
      <c r="CB41" s="429"/>
      <c r="CC41" s="429">
        <v>5324.892733106175</v>
      </c>
      <c r="CD41" s="429"/>
      <c r="CE41" s="430"/>
      <c r="CF41" s="429">
        <v>59503.607224321364</v>
      </c>
      <c r="CG41" s="333"/>
      <c r="CH41" s="429">
        <v>107751.67745679435</v>
      </c>
      <c r="CI41" s="430">
        <v>2736892.6919323904</v>
      </c>
      <c r="CJ41" s="430">
        <v>257889.97602258832</v>
      </c>
      <c r="CK41" s="430"/>
      <c r="CL41" s="429">
        <v>330061.82318614353</v>
      </c>
      <c r="CM41" s="429">
        <v>273816.95643142815</v>
      </c>
      <c r="CN41" s="429">
        <v>1668591.3941190641</v>
      </c>
      <c r="CO41" s="428">
        <v>593148.8029248137</v>
      </c>
      <c r="CP41" s="428">
        <v>1629353.8037412919</v>
      </c>
      <c r="CQ41" s="420">
        <f t="shared" si="0"/>
        <v>43682134.459643535</v>
      </c>
      <c r="CR41" s="420">
        <f t="shared" si="1"/>
        <v>45023527.897896737</v>
      </c>
      <c r="CT41" s="420">
        <f t="shared" si="2"/>
        <v>25341205.291441001</v>
      </c>
      <c r="CU41" s="420">
        <f t="shared" si="3"/>
        <v>11358938.783771075</v>
      </c>
      <c r="CV41" s="420">
        <f t="shared" si="4"/>
        <v>7021766.4730047174</v>
      </c>
      <c r="CW41" s="420">
        <f t="shared" si="5"/>
        <v>176368.66949316015</v>
      </c>
      <c r="CX41" s="427"/>
      <c r="CY41" s="420">
        <f t="shared" si="6"/>
        <v>26410556.709743567</v>
      </c>
      <c r="CZ41" s="420">
        <f t="shared" si="7"/>
        <v>10948109.01012525</v>
      </c>
      <c r="DA41" s="420">
        <f t="shared" si="8"/>
        <v>7489755.4483577199</v>
      </c>
      <c r="DB41" s="420">
        <f t="shared" si="9"/>
        <v>175106.72967020926</v>
      </c>
    </row>
    <row r="42" spans="1:106">
      <c r="A42" s="426" t="s">
        <v>800</v>
      </c>
      <c r="B42" s="424">
        <f t="shared" ref="B42:AG42" si="10">SUM(B7:B41)</f>
        <v>202584726.97282225</v>
      </c>
      <c r="C42" s="424">
        <f t="shared" si="10"/>
        <v>37421449.720099628</v>
      </c>
      <c r="D42" s="424">
        <f t="shared" si="10"/>
        <v>5527045.699</v>
      </c>
      <c r="E42" s="424">
        <f t="shared" si="10"/>
        <v>4654318.3217402752</v>
      </c>
      <c r="F42" s="424">
        <f t="shared" si="10"/>
        <v>206552.47645015185</v>
      </c>
      <c r="G42" s="424">
        <f t="shared" si="10"/>
        <v>2811600.1840530653</v>
      </c>
      <c r="H42" s="424">
        <f t="shared" si="10"/>
        <v>1719477.4980800515</v>
      </c>
      <c r="I42" s="424">
        <f t="shared" si="10"/>
        <v>75197.196789851179</v>
      </c>
      <c r="J42" s="424">
        <f t="shared" si="10"/>
        <v>943693.08336021448</v>
      </c>
      <c r="K42" s="424">
        <f t="shared" si="10"/>
        <v>5822401.0945443138</v>
      </c>
      <c r="L42" s="424">
        <f t="shared" si="10"/>
        <v>1346761.0785962641</v>
      </c>
      <c r="M42" s="424">
        <f t="shared" si="10"/>
        <v>2140822.9765784852</v>
      </c>
      <c r="N42" s="424">
        <f t="shared" si="10"/>
        <v>101365965.63576937</v>
      </c>
      <c r="O42" s="424">
        <f t="shared" si="10"/>
        <v>153930478.66427079</v>
      </c>
      <c r="P42" s="424">
        <f t="shared" si="10"/>
        <v>3812361.9250302296</v>
      </c>
      <c r="Q42" s="424">
        <f t="shared" si="10"/>
        <v>10233095.154294359</v>
      </c>
      <c r="R42" s="424">
        <f t="shared" si="10"/>
        <v>3339730.5315608853</v>
      </c>
      <c r="S42" s="424">
        <f t="shared" si="10"/>
        <v>132938151.64625928</v>
      </c>
      <c r="T42" s="424">
        <f t="shared" si="10"/>
        <v>29551101.580833621</v>
      </c>
      <c r="U42" s="424">
        <f t="shared" si="10"/>
        <v>9168357.8044050541</v>
      </c>
      <c r="V42" s="424">
        <f t="shared" si="10"/>
        <v>1711679.1019648283</v>
      </c>
      <c r="W42" s="424">
        <f t="shared" si="10"/>
        <v>3200775.2436113022</v>
      </c>
      <c r="X42" s="424">
        <f t="shared" si="10"/>
        <v>13857650.772673368</v>
      </c>
      <c r="Y42" s="424">
        <f t="shared" si="10"/>
        <v>5476249.3873346606</v>
      </c>
      <c r="Z42" s="424">
        <f t="shared" si="10"/>
        <v>25717950.359305911</v>
      </c>
      <c r="AA42" s="424">
        <f t="shared" si="10"/>
        <v>422.27673422898471</v>
      </c>
      <c r="AB42" s="424">
        <f t="shared" si="10"/>
        <v>61.065446457873172</v>
      </c>
      <c r="AC42" s="424">
        <f t="shared" si="10"/>
        <v>16196.910789411457</v>
      </c>
      <c r="AD42" s="424">
        <f t="shared" si="10"/>
        <v>5566450.3867684463</v>
      </c>
      <c r="AE42" s="424">
        <f t="shared" si="10"/>
        <v>1148.8451775796716</v>
      </c>
      <c r="AF42" s="424">
        <f t="shared" si="10"/>
        <v>9276.9380834545718</v>
      </c>
      <c r="AG42" s="424">
        <f t="shared" si="10"/>
        <v>1947.9547971496488</v>
      </c>
      <c r="AH42" s="424">
        <f t="shared" ref="AH42:BM42" si="11">SUM(AH7:AH41)</f>
        <v>1262281.7771066439</v>
      </c>
      <c r="AI42" s="424">
        <f t="shared" si="11"/>
        <v>246443.75457779621</v>
      </c>
      <c r="AJ42" s="424">
        <f t="shared" si="11"/>
        <v>26901.942926537416</v>
      </c>
      <c r="AK42" s="424">
        <f t="shared" si="11"/>
        <v>968683.10368775739</v>
      </c>
      <c r="AL42" s="424">
        <f t="shared" si="11"/>
        <v>984966.23309856968</v>
      </c>
      <c r="AM42" s="424">
        <f t="shared" si="11"/>
        <v>1648258.6759992018</v>
      </c>
      <c r="AN42" s="424">
        <f t="shared" si="11"/>
        <v>21641971.084676664</v>
      </c>
      <c r="AO42" s="424">
        <f t="shared" si="11"/>
        <v>4142424.5205969606</v>
      </c>
      <c r="AP42" s="424">
        <f t="shared" si="11"/>
        <v>2016685.5636919683</v>
      </c>
      <c r="AQ42" s="424">
        <f t="shared" si="11"/>
        <v>3857532.4857242256</v>
      </c>
      <c r="AR42" s="424">
        <f t="shared" si="11"/>
        <v>2454353.0591037204</v>
      </c>
      <c r="AS42" s="424">
        <f t="shared" si="11"/>
        <v>12032064.149720198</v>
      </c>
      <c r="AT42" s="424">
        <f t="shared" si="11"/>
        <v>4918411.5132272663</v>
      </c>
      <c r="AU42" s="424">
        <f t="shared" si="11"/>
        <v>15188285.009843407</v>
      </c>
      <c r="AV42" s="424">
        <f t="shared" si="11"/>
        <v>678602628.12955439</v>
      </c>
      <c r="AW42" s="424">
        <f t="shared" si="11"/>
        <v>196850785.84572804</v>
      </c>
      <c r="AX42" s="424">
        <f t="shared" si="11"/>
        <v>36781859.686805457</v>
      </c>
      <c r="AY42" s="424">
        <f t="shared" si="11"/>
        <v>5937175.3291888898</v>
      </c>
      <c r="AZ42" s="424">
        <f t="shared" si="11"/>
        <v>21073040.020388048</v>
      </c>
      <c r="BA42" s="424">
        <f t="shared" si="11"/>
        <v>928045.02615660685</v>
      </c>
      <c r="BB42" s="424">
        <f t="shared" si="11"/>
        <v>12465542.697722483</v>
      </c>
      <c r="BC42" s="424">
        <f t="shared" si="11"/>
        <v>26640545.613937296</v>
      </c>
      <c r="BD42" s="424">
        <f t="shared" si="11"/>
        <v>1165846.6897850414</v>
      </c>
      <c r="BE42" s="424">
        <f t="shared" si="11"/>
        <v>14570413.009448266</v>
      </c>
      <c r="BF42" s="424">
        <f t="shared" si="11"/>
        <v>13864619.66556206</v>
      </c>
      <c r="BG42" s="424">
        <f t="shared" si="11"/>
        <v>3216281.0512944749</v>
      </c>
      <c r="BH42" s="424">
        <f t="shared" si="11"/>
        <v>5091285.6763962368</v>
      </c>
      <c r="BI42" s="424">
        <f t="shared" si="11"/>
        <v>98524854.020307139</v>
      </c>
      <c r="BJ42" s="424">
        <f t="shared" si="11"/>
        <v>139703203.68187225</v>
      </c>
      <c r="BK42" s="424">
        <f t="shared" si="11"/>
        <v>3643722.3352007628</v>
      </c>
      <c r="BL42" s="424">
        <f t="shared" si="11"/>
        <v>10254223.946475301</v>
      </c>
      <c r="BM42" s="424">
        <f t="shared" si="11"/>
        <v>3109108.037389528</v>
      </c>
      <c r="BN42" s="424">
        <f t="shared" ref="BN42:CR42" si="12">SUM(BN7:BN41)</f>
        <v>125327304.7074066</v>
      </c>
      <c r="BO42" s="424">
        <f t="shared" si="12"/>
        <v>27081079.08883886</v>
      </c>
      <c r="BP42" s="424">
        <f t="shared" si="12"/>
        <v>9537121.048494963</v>
      </c>
      <c r="BQ42" s="424">
        <f t="shared" si="12"/>
        <v>2028229.8361635678</v>
      </c>
      <c r="BR42" s="424">
        <f t="shared" si="12"/>
        <v>3792960.0085493419</v>
      </c>
      <c r="BS42" s="424">
        <f t="shared" si="12"/>
        <v>15798052.735016322</v>
      </c>
      <c r="BT42" s="424">
        <f t="shared" si="12"/>
        <v>6278385.2089381143</v>
      </c>
      <c r="BU42" s="424">
        <f t="shared" si="12"/>
        <v>25717950.359305911</v>
      </c>
      <c r="BV42" s="424">
        <f t="shared" si="12"/>
        <v>553.67158987406697</v>
      </c>
      <c r="BW42" s="424">
        <f t="shared" si="12"/>
        <v>68.576641775293496</v>
      </c>
      <c r="BX42" s="424">
        <f t="shared" si="12"/>
        <v>16628.237493600522</v>
      </c>
      <c r="BY42" s="424">
        <f t="shared" si="12"/>
        <v>4843560.1407999573</v>
      </c>
      <c r="BZ42" s="424">
        <f t="shared" si="12"/>
        <v>1252.246765629573</v>
      </c>
      <c r="CA42" s="424">
        <f t="shared" si="12"/>
        <v>10326.050273300581</v>
      </c>
      <c r="CB42" s="424">
        <f t="shared" si="12"/>
        <v>2118.7994880089936</v>
      </c>
      <c r="CC42" s="424">
        <f t="shared" si="12"/>
        <v>1213272.2521167323</v>
      </c>
      <c r="CD42" s="424">
        <f t="shared" si="12"/>
        <v>239864.79147844829</v>
      </c>
      <c r="CE42" s="424">
        <f t="shared" si="12"/>
        <v>24843.708208229033</v>
      </c>
      <c r="CF42" s="424">
        <f t="shared" si="12"/>
        <v>978232.15108759934</v>
      </c>
      <c r="CG42" s="424">
        <f t="shared" si="12"/>
        <v>2843028.1305920603</v>
      </c>
      <c r="CH42" s="424">
        <f t="shared" si="12"/>
        <v>1556496.9829298845</v>
      </c>
      <c r="CI42" s="424">
        <f t="shared" si="12"/>
        <v>18933474.886577293</v>
      </c>
      <c r="CJ42" s="424">
        <f t="shared" si="12"/>
        <v>3134971.6786978971</v>
      </c>
      <c r="CK42" s="424">
        <f t="shared" si="12"/>
        <v>2067386.0362026303</v>
      </c>
      <c r="CL42" s="424">
        <f t="shared" si="12"/>
        <v>8933462.9783183057</v>
      </c>
      <c r="CM42" s="424">
        <f t="shared" si="12"/>
        <v>2318178.801859655</v>
      </c>
      <c r="CN42" s="424">
        <f t="shared" si="12"/>
        <v>11306897.493170092</v>
      </c>
      <c r="CO42" s="424">
        <f t="shared" si="12"/>
        <v>5586055.5590618923</v>
      </c>
      <c r="CP42" s="424">
        <f t="shared" si="12"/>
        <v>18838951.542888734</v>
      </c>
      <c r="CQ42" s="424">
        <f t="shared" si="12"/>
        <v>836542361.3612057</v>
      </c>
      <c r="CR42" s="424">
        <f t="shared" si="12"/>
        <v>892231260.04261363</v>
      </c>
      <c r="CT42" s="422">
        <f t="shared" si="2"/>
        <v>458231439.57977217</v>
      </c>
      <c r="CU42" s="422">
        <f t="shared" si="3"/>
        <v>304665885.06121701</v>
      </c>
      <c r="CV42" s="422">
        <f t="shared" si="4"/>
        <v>66251727.386584423</v>
      </c>
      <c r="CW42" s="422">
        <f t="shared" si="5"/>
        <v>10733039.865193235</v>
      </c>
      <c r="CX42" s="423"/>
      <c r="CY42" s="422">
        <f t="shared" si="6"/>
        <v>506659115.26818097</v>
      </c>
      <c r="CZ42" s="422">
        <f t="shared" si="7"/>
        <v>302722520.05819064</v>
      </c>
      <c r="DA42" s="422">
        <f t="shared" si="8"/>
        <v>71119378.976776496</v>
      </c>
      <c r="DB42" s="422">
        <f t="shared" si="9"/>
        <v>11730245.739465103</v>
      </c>
    </row>
    <row r="45" spans="1:106">
      <c r="C45" t="s">
        <v>947</v>
      </c>
      <c r="D45" t="s">
        <v>946</v>
      </c>
    </row>
    <row r="46" spans="1:106" ht="29">
      <c r="A46" t="s">
        <v>272</v>
      </c>
      <c r="B46" s="107" t="s">
        <v>273</v>
      </c>
      <c r="C46" s="9">
        <f>(N42+O42+P42)/1000000</f>
        <v>259.1088062250704</v>
      </c>
      <c r="D46">
        <f>(BI42+BJ42+BK42)/1000000</f>
        <v>241.87178003738012</v>
      </c>
    </row>
    <row r="47" spans="1:106" ht="29">
      <c r="A47" t="s">
        <v>290</v>
      </c>
      <c r="B47" s="107" t="s">
        <v>291</v>
      </c>
      <c r="C47" s="9">
        <f>(Q42+R42)/1000000</f>
        <v>13.572825685855243</v>
      </c>
      <c r="D47" s="466">
        <f>(BL42+BM42)/1000000</f>
        <v>13.363331983864828</v>
      </c>
    </row>
    <row r="48" spans="1:106" ht="29">
      <c r="A48" t="s">
        <v>797</v>
      </c>
      <c r="B48" s="107" t="s">
        <v>796</v>
      </c>
      <c r="C48" s="9">
        <f>(S42+T42+AS42)/1000000</f>
        <v>174.52131737681307</v>
      </c>
      <c r="D48">
        <f>(BN42+BO42+CN42)/1000000</f>
        <v>163.71528128941554</v>
      </c>
    </row>
    <row r="49" spans="1:4" ht="87">
      <c r="A49" t="s">
        <v>281</v>
      </c>
      <c r="B49" s="107" t="s">
        <v>795</v>
      </c>
      <c r="C49" s="9">
        <f>(AA42+AB42+AC42+AC42+AD42+AE42+AF42+AG42+AH42+AI42+AJ42+AK42+AL42)/1000000</f>
        <v>9.1009780999834451</v>
      </c>
      <c r="D49">
        <f>(BV42+BW42+BX42+BY42+BZ42+CA42+CB42+CC42+CD42+CE42+CF42+CG42)/1000000</f>
        <v>10.173748756535216</v>
      </c>
    </row>
    <row r="50" spans="1:4" ht="29">
      <c r="A50" t="s">
        <v>274</v>
      </c>
      <c r="B50" s="107" t="s">
        <v>275</v>
      </c>
      <c r="C50" s="9">
        <f>(E42+G42+H42+J42)/1000000</f>
        <v>10.129089087233607</v>
      </c>
      <c r="D50">
        <f>(AZ42+BB42+BC42+BE42)/1000000</f>
        <v>74.749541341496098</v>
      </c>
    </row>
    <row r="51" spans="1:4">
      <c r="A51" t="s">
        <v>276</v>
      </c>
      <c r="B51" s="107" t="s">
        <v>277</v>
      </c>
      <c r="C51" s="9">
        <f>(K42+M42)/1000000</f>
        <v>7.9632240711227995</v>
      </c>
      <c r="D51">
        <f>(BF42+BH42)/1000000</f>
        <v>18.955905341958296</v>
      </c>
    </row>
    <row r="52" spans="1:4" ht="29">
      <c r="A52" t="s">
        <v>264</v>
      </c>
      <c r="B52" s="107" t="s">
        <v>265</v>
      </c>
      <c r="C52" s="9">
        <f>(F42+I42+L42)/1000000</f>
        <v>1.6285107518362674</v>
      </c>
      <c r="D52">
        <f>(BA42+BD42+BG42)/1000000</f>
        <v>5.3101727672361232</v>
      </c>
    </row>
    <row r="53" spans="1:4">
      <c r="A53" t="s">
        <v>794</v>
      </c>
      <c r="B53" s="421">
        <v>1100</v>
      </c>
      <c r="C53" s="9">
        <f>B42/1000000</f>
        <v>202.58472697282224</v>
      </c>
      <c r="D53">
        <f>AW42/1000000</f>
        <v>196.85078584572804</v>
      </c>
    </row>
    <row r="54" spans="1:4">
      <c r="A54" t="s">
        <v>293</v>
      </c>
      <c r="B54" s="107" t="s">
        <v>294</v>
      </c>
      <c r="C54" s="9">
        <f>(C42+D42)/1000000</f>
        <v>42.948495419099629</v>
      </c>
      <c r="D54">
        <f>(AX42+AY42)/1000000</f>
        <v>42.719035015994351</v>
      </c>
    </row>
    <row r="55" spans="1:4" ht="43.5">
      <c r="A55" t="s">
        <v>270</v>
      </c>
      <c r="B55" s="107" t="s">
        <v>271</v>
      </c>
      <c r="C55" s="9">
        <f>(U42+V42+W42+X42+Y42+Z42)/1000000</f>
        <v>59.132662669295122</v>
      </c>
      <c r="D55">
        <f>(BP42+BQ42+BR42+BS42+BT42+BU42)/1000000</f>
        <v>63.15269919646822</v>
      </c>
    </row>
    <row r="56" spans="1:4" ht="43.5">
      <c r="A56" t="s">
        <v>793</v>
      </c>
      <c r="B56" s="107" t="s">
        <v>792</v>
      </c>
      <c r="C56" s="9">
        <f>(AN42+AO42+AP42+AT42+AU42)/1000000</f>
        <v>47.907777692036269</v>
      </c>
      <c r="D56">
        <f>(CI42+CJ42+CK42+CO42+CP42)/1000000</f>
        <v>48.560839703428449</v>
      </c>
    </row>
    <row r="57" spans="1:4" ht="29">
      <c r="A57" t="s">
        <v>266</v>
      </c>
      <c r="B57" s="107" t="s">
        <v>791</v>
      </c>
      <c r="C57" s="9">
        <f>(AM42+AQ42+AR42)/1000000</f>
        <v>7.9601442208271473</v>
      </c>
      <c r="D57">
        <f>(CH42+CM42+CN42)/1000000</f>
        <v>15.181573277959632</v>
      </c>
    </row>
    <row r="58" spans="1:4">
      <c r="C58" s="9">
        <f>SUM(C46:C57)</f>
        <v>836.55855827199514</v>
      </c>
      <c r="D58" s="9">
        <f>SUM(D46:D57)</f>
        <v>894.604694557465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11B3-9643-48D5-80C4-CA7D5C763168}">
  <sheetPr codeName="Tabelle11">
    <tabColor rgb="FF7030A0"/>
  </sheetPr>
  <dimension ref="A1:CR32"/>
  <sheetViews>
    <sheetView workbookViewId="0">
      <selection activeCell="E32" sqref="E32"/>
    </sheetView>
  </sheetViews>
  <sheetFormatPr baseColWidth="10" defaultRowHeight="14.5"/>
  <cols>
    <col min="49" max="96" width="0" hidden="1" customWidth="1"/>
  </cols>
  <sheetData>
    <row r="1" spans="1:96">
      <c r="A1" s="449" t="s">
        <v>945</v>
      </c>
      <c r="B1" s="449" t="s">
        <v>944</v>
      </c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49"/>
      <c r="CE1" s="449"/>
      <c r="CF1" s="449"/>
      <c r="CG1" s="449"/>
      <c r="CH1" s="449"/>
      <c r="CI1" s="449"/>
      <c r="CJ1" s="449"/>
      <c r="CK1" s="449"/>
      <c r="CL1" s="449"/>
      <c r="CM1" s="449"/>
      <c r="CN1" s="449"/>
      <c r="CO1" s="449"/>
      <c r="CP1" s="449"/>
    </row>
    <row r="2" spans="1:96" ht="15" thickBot="1">
      <c r="A2" s="449"/>
      <c r="B2" s="449" t="s">
        <v>943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58" t="s">
        <v>942</v>
      </c>
      <c r="AW2" s="449" t="s">
        <v>941</v>
      </c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  <c r="CH2" s="449"/>
      <c r="CI2" s="449"/>
      <c r="CJ2" s="449"/>
      <c r="CK2" s="449"/>
      <c r="CL2" s="449"/>
      <c r="CM2" s="449"/>
      <c r="CN2" s="449"/>
      <c r="CO2" s="449"/>
      <c r="CP2" s="449"/>
    </row>
    <row r="3" spans="1:96" ht="36.5" thickBot="1">
      <c r="A3" s="449"/>
      <c r="B3" s="464" t="s">
        <v>794</v>
      </c>
      <c r="C3" s="464" t="s">
        <v>940</v>
      </c>
      <c r="D3" s="464" t="s">
        <v>939</v>
      </c>
      <c r="E3" s="463" t="s">
        <v>938</v>
      </c>
      <c r="F3" s="463" t="s">
        <v>937</v>
      </c>
      <c r="G3" s="463" t="s">
        <v>936</v>
      </c>
      <c r="H3" s="463" t="s">
        <v>935</v>
      </c>
      <c r="I3" s="463" t="s">
        <v>934</v>
      </c>
      <c r="J3" s="463" t="s">
        <v>933</v>
      </c>
      <c r="K3" s="462" t="s">
        <v>932</v>
      </c>
      <c r="L3" s="460" t="s">
        <v>931</v>
      </c>
      <c r="M3" s="460" t="s">
        <v>930</v>
      </c>
      <c r="N3" s="460" t="s">
        <v>929</v>
      </c>
      <c r="O3" s="460" t="s">
        <v>928</v>
      </c>
      <c r="P3" s="460" t="s">
        <v>927</v>
      </c>
      <c r="Q3" s="460" t="s">
        <v>926</v>
      </c>
      <c r="R3" s="460" t="s">
        <v>925</v>
      </c>
      <c r="S3" s="460" t="s">
        <v>924</v>
      </c>
      <c r="T3" s="460" t="s">
        <v>923</v>
      </c>
      <c r="U3" s="461" t="s">
        <v>922</v>
      </c>
      <c r="V3" s="461" t="s">
        <v>921</v>
      </c>
      <c r="W3" s="461" t="s">
        <v>920</v>
      </c>
      <c r="X3" s="461" t="s">
        <v>919</v>
      </c>
      <c r="Y3" s="460" t="s">
        <v>918</v>
      </c>
      <c r="Z3" s="460" t="s">
        <v>917</v>
      </c>
      <c r="AA3" s="460" t="s">
        <v>916</v>
      </c>
      <c r="AB3" s="460" t="s">
        <v>915</v>
      </c>
      <c r="AC3" s="460" t="s">
        <v>914</v>
      </c>
      <c r="AD3" s="460" t="s">
        <v>913</v>
      </c>
      <c r="AE3" s="460" t="s">
        <v>912</v>
      </c>
      <c r="AF3" s="460" t="s">
        <v>911</v>
      </c>
      <c r="AG3" s="460" t="s">
        <v>910</v>
      </c>
      <c r="AH3" s="460" t="s">
        <v>909</v>
      </c>
      <c r="AI3" s="460" t="s">
        <v>908</v>
      </c>
      <c r="AJ3" s="460" t="s">
        <v>907</v>
      </c>
      <c r="AK3" s="460" t="s">
        <v>906</v>
      </c>
      <c r="AL3" s="460" t="s">
        <v>905</v>
      </c>
      <c r="AM3" s="460" t="s">
        <v>904</v>
      </c>
      <c r="AN3" s="460" t="s">
        <v>903</v>
      </c>
      <c r="AO3" s="460" t="s">
        <v>902</v>
      </c>
      <c r="AP3" s="460" t="s">
        <v>901</v>
      </c>
      <c r="AQ3" s="460" t="s">
        <v>900</v>
      </c>
      <c r="AR3" s="460" t="s">
        <v>899</v>
      </c>
      <c r="AS3" s="460" t="s">
        <v>898</v>
      </c>
      <c r="AT3" s="459" t="s">
        <v>897</v>
      </c>
      <c r="AU3" s="459" t="s">
        <v>896</v>
      </c>
      <c r="AV3" s="458"/>
      <c r="AW3" s="464" t="s">
        <v>794</v>
      </c>
      <c r="AX3" s="464" t="s">
        <v>940</v>
      </c>
      <c r="AY3" s="464" t="s">
        <v>939</v>
      </c>
      <c r="AZ3" s="463" t="s">
        <v>938</v>
      </c>
      <c r="BA3" s="463" t="s">
        <v>937</v>
      </c>
      <c r="BB3" s="463" t="s">
        <v>936</v>
      </c>
      <c r="BC3" s="463" t="s">
        <v>935</v>
      </c>
      <c r="BD3" s="463" t="s">
        <v>934</v>
      </c>
      <c r="BE3" s="463" t="s">
        <v>933</v>
      </c>
      <c r="BF3" s="462" t="s">
        <v>932</v>
      </c>
      <c r="BG3" s="460" t="s">
        <v>931</v>
      </c>
      <c r="BH3" s="460" t="s">
        <v>930</v>
      </c>
      <c r="BI3" s="460" t="s">
        <v>929</v>
      </c>
      <c r="BJ3" s="460" t="s">
        <v>928</v>
      </c>
      <c r="BK3" s="460" t="s">
        <v>927</v>
      </c>
      <c r="BL3" s="460" t="s">
        <v>926</v>
      </c>
      <c r="BM3" s="460" t="s">
        <v>925</v>
      </c>
      <c r="BN3" s="460" t="s">
        <v>924</v>
      </c>
      <c r="BO3" s="460" t="s">
        <v>923</v>
      </c>
      <c r="BP3" s="461" t="s">
        <v>922</v>
      </c>
      <c r="BQ3" s="461" t="s">
        <v>921</v>
      </c>
      <c r="BR3" s="461" t="s">
        <v>920</v>
      </c>
      <c r="BS3" s="461" t="s">
        <v>919</v>
      </c>
      <c r="BT3" s="460" t="s">
        <v>918</v>
      </c>
      <c r="BU3" s="460" t="s">
        <v>917</v>
      </c>
      <c r="BV3" s="460" t="s">
        <v>916</v>
      </c>
      <c r="BW3" s="460" t="s">
        <v>915</v>
      </c>
      <c r="BX3" s="460" t="s">
        <v>914</v>
      </c>
      <c r="BY3" s="460" t="s">
        <v>913</v>
      </c>
      <c r="BZ3" s="460" t="s">
        <v>912</v>
      </c>
      <c r="CA3" s="460" t="s">
        <v>911</v>
      </c>
      <c r="CB3" s="460" t="s">
        <v>910</v>
      </c>
      <c r="CC3" s="460" t="s">
        <v>909</v>
      </c>
      <c r="CD3" s="460" t="s">
        <v>908</v>
      </c>
      <c r="CE3" s="460" t="s">
        <v>907</v>
      </c>
      <c r="CF3" s="460" t="s">
        <v>906</v>
      </c>
      <c r="CG3" s="460" t="s">
        <v>905</v>
      </c>
      <c r="CH3" s="460" t="s">
        <v>904</v>
      </c>
      <c r="CI3" s="460" t="s">
        <v>903</v>
      </c>
      <c r="CJ3" s="460" t="s">
        <v>902</v>
      </c>
      <c r="CK3" s="460" t="s">
        <v>901</v>
      </c>
      <c r="CL3" s="460" t="s">
        <v>900</v>
      </c>
      <c r="CM3" s="460" t="s">
        <v>899</v>
      </c>
      <c r="CN3" s="460" t="s">
        <v>898</v>
      </c>
      <c r="CO3" s="459" t="s">
        <v>897</v>
      </c>
      <c r="CP3" s="459" t="s">
        <v>896</v>
      </c>
    </row>
    <row r="4" spans="1:96">
      <c r="A4" s="449"/>
      <c r="B4" s="457">
        <v>2</v>
      </c>
      <c r="C4" s="457">
        <v>2</v>
      </c>
      <c r="D4" s="457">
        <v>2</v>
      </c>
      <c r="E4" s="454">
        <v>1</v>
      </c>
      <c r="F4" s="454">
        <v>1</v>
      </c>
      <c r="G4" s="454">
        <v>1</v>
      </c>
      <c r="H4" s="454">
        <v>1</v>
      </c>
      <c r="I4" s="454">
        <v>1</v>
      </c>
      <c r="J4" s="454">
        <v>1</v>
      </c>
      <c r="K4" s="456">
        <v>1</v>
      </c>
      <c r="L4" s="454">
        <v>1</v>
      </c>
      <c r="M4" s="454">
        <v>1</v>
      </c>
      <c r="N4" s="454">
        <v>1</v>
      </c>
      <c r="O4" s="454">
        <v>1</v>
      </c>
      <c r="P4" s="454">
        <v>1</v>
      </c>
      <c r="Q4" s="454">
        <v>1</v>
      </c>
      <c r="R4" s="454">
        <v>1</v>
      </c>
      <c r="S4" s="454">
        <v>1</v>
      </c>
      <c r="T4" s="454">
        <v>1</v>
      </c>
      <c r="U4" s="455">
        <v>2</v>
      </c>
      <c r="V4" s="455">
        <v>2</v>
      </c>
      <c r="W4" s="455">
        <v>2</v>
      </c>
      <c r="X4" s="455">
        <v>2</v>
      </c>
      <c r="Y4" s="454">
        <v>2</v>
      </c>
      <c r="Z4" s="454">
        <v>2</v>
      </c>
      <c r="AA4" s="454">
        <v>4</v>
      </c>
      <c r="AB4" s="454">
        <v>4</v>
      </c>
      <c r="AC4" s="454">
        <v>4</v>
      </c>
      <c r="AD4" s="454">
        <v>4</v>
      </c>
      <c r="AE4" s="454">
        <v>4</v>
      </c>
      <c r="AF4" s="454">
        <v>4</v>
      </c>
      <c r="AG4" s="454">
        <v>4</v>
      </c>
      <c r="AH4" s="454">
        <v>4</v>
      </c>
      <c r="AI4" s="454">
        <v>4</v>
      </c>
      <c r="AJ4" s="454">
        <v>4</v>
      </c>
      <c r="AK4" s="454">
        <v>4</v>
      </c>
      <c r="AL4" s="454">
        <v>4</v>
      </c>
      <c r="AM4" s="454">
        <v>4</v>
      </c>
      <c r="AN4" s="454">
        <v>3</v>
      </c>
      <c r="AO4" s="454">
        <v>3</v>
      </c>
      <c r="AP4" s="454">
        <v>3</v>
      </c>
      <c r="AQ4" s="454">
        <v>3</v>
      </c>
      <c r="AR4" s="454">
        <v>3</v>
      </c>
      <c r="AS4" s="454">
        <v>3</v>
      </c>
      <c r="AT4" s="453">
        <v>3</v>
      </c>
      <c r="AU4" s="453">
        <v>3</v>
      </c>
      <c r="AV4" s="458"/>
      <c r="AW4" s="457">
        <v>2</v>
      </c>
      <c r="AX4" s="457">
        <v>2</v>
      </c>
      <c r="AY4" s="457">
        <v>2</v>
      </c>
      <c r="AZ4" s="454">
        <v>1</v>
      </c>
      <c r="BA4" s="454">
        <v>1</v>
      </c>
      <c r="BB4" s="454">
        <v>1</v>
      </c>
      <c r="BC4" s="454">
        <v>1</v>
      </c>
      <c r="BD4" s="454">
        <v>1</v>
      </c>
      <c r="BE4" s="454">
        <v>1</v>
      </c>
      <c r="BF4" s="456">
        <v>1</v>
      </c>
      <c r="BG4" s="454">
        <v>1</v>
      </c>
      <c r="BH4" s="454">
        <v>1</v>
      </c>
      <c r="BI4" s="454">
        <v>1</v>
      </c>
      <c r="BJ4" s="454">
        <v>1</v>
      </c>
      <c r="BK4" s="454">
        <v>1</v>
      </c>
      <c r="BL4" s="454">
        <v>1</v>
      </c>
      <c r="BM4" s="454">
        <v>1</v>
      </c>
      <c r="BN4" s="454">
        <v>1</v>
      </c>
      <c r="BO4" s="454">
        <v>1</v>
      </c>
      <c r="BP4" s="455">
        <v>2</v>
      </c>
      <c r="BQ4" s="455">
        <v>2</v>
      </c>
      <c r="BR4" s="455">
        <v>2</v>
      </c>
      <c r="BS4" s="455">
        <v>2</v>
      </c>
      <c r="BT4" s="454">
        <v>2</v>
      </c>
      <c r="BU4" s="454">
        <v>2</v>
      </c>
      <c r="BV4" s="454">
        <v>4</v>
      </c>
      <c r="BW4" s="454">
        <v>4</v>
      </c>
      <c r="BX4" s="454">
        <v>4</v>
      </c>
      <c r="BY4" s="454">
        <v>4</v>
      </c>
      <c r="BZ4" s="454">
        <v>4</v>
      </c>
      <c r="CA4" s="454">
        <v>4</v>
      </c>
      <c r="CB4" s="454">
        <v>4</v>
      </c>
      <c r="CC4" s="454">
        <v>4</v>
      </c>
      <c r="CD4" s="454">
        <v>4</v>
      </c>
      <c r="CE4" s="454">
        <v>4</v>
      </c>
      <c r="CF4" s="454">
        <v>4</v>
      </c>
      <c r="CG4" s="454">
        <v>4</v>
      </c>
      <c r="CH4" s="454">
        <v>4</v>
      </c>
      <c r="CI4" s="454">
        <v>3</v>
      </c>
      <c r="CJ4" s="454">
        <v>3</v>
      </c>
      <c r="CK4" s="454">
        <v>3</v>
      </c>
      <c r="CL4" s="454">
        <v>3</v>
      </c>
      <c r="CM4" s="454">
        <v>3</v>
      </c>
      <c r="CN4" s="454">
        <v>3</v>
      </c>
      <c r="CO4" s="453">
        <v>3</v>
      </c>
      <c r="CP4" s="453">
        <v>3</v>
      </c>
    </row>
    <row r="5" spans="1:96">
      <c r="A5" s="450" t="s">
        <v>892</v>
      </c>
      <c r="B5" s="450" t="s">
        <v>891</v>
      </c>
      <c r="C5" s="450" t="s">
        <v>890</v>
      </c>
      <c r="D5" s="450" t="s">
        <v>889</v>
      </c>
      <c r="E5" s="450" t="s">
        <v>888</v>
      </c>
      <c r="F5" s="450" t="s">
        <v>887</v>
      </c>
      <c r="G5" s="450" t="s">
        <v>886</v>
      </c>
      <c r="H5" s="450" t="s">
        <v>885</v>
      </c>
      <c r="I5" s="450" t="s">
        <v>884</v>
      </c>
      <c r="J5" s="450" t="s">
        <v>883</v>
      </c>
      <c r="K5" s="450" t="s">
        <v>882</v>
      </c>
      <c r="L5" s="450" t="s">
        <v>881</v>
      </c>
      <c r="M5" s="450" t="s">
        <v>880</v>
      </c>
      <c r="N5" s="450" t="s">
        <v>879</v>
      </c>
      <c r="O5" s="450" t="s">
        <v>878</v>
      </c>
      <c r="P5" s="450" t="s">
        <v>877</v>
      </c>
      <c r="Q5" s="450" t="s">
        <v>876</v>
      </c>
      <c r="R5" s="450" t="s">
        <v>875</v>
      </c>
      <c r="S5" s="450" t="s">
        <v>874</v>
      </c>
      <c r="T5" s="450" t="s">
        <v>873</v>
      </c>
      <c r="U5" s="450" t="s">
        <v>872</v>
      </c>
      <c r="V5" s="450" t="s">
        <v>871</v>
      </c>
      <c r="W5" s="450" t="s">
        <v>870</v>
      </c>
      <c r="X5" s="450" t="s">
        <v>869</v>
      </c>
      <c r="Y5" s="450" t="s">
        <v>868</v>
      </c>
      <c r="Z5" s="450" t="s">
        <v>867</v>
      </c>
      <c r="AA5" s="450" t="s">
        <v>866</v>
      </c>
      <c r="AB5" s="450" t="s">
        <v>865</v>
      </c>
      <c r="AC5" s="450" t="s">
        <v>864</v>
      </c>
      <c r="AD5" s="450" t="s">
        <v>863</v>
      </c>
      <c r="AE5" s="450" t="s">
        <v>862</v>
      </c>
      <c r="AF5" s="450" t="s">
        <v>861</v>
      </c>
      <c r="AG5" s="450" t="s">
        <v>860</v>
      </c>
      <c r="AH5" s="450" t="s">
        <v>859</v>
      </c>
      <c r="AI5" s="450" t="s">
        <v>858</v>
      </c>
      <c r="AJ5" s="450" t="s">
        <v>857</v>
      </c>
      <c r="AK5" s="450" t="s">
        <v>856</v>
      </c>
      <c r="AL5" s="450" t="s">
        <v>855</v>
      </c>
      <c r="AM5" s="450" t="s">
        <v>854</v>
      </c>
      <c r="AN5" s="450" t="s">
        <v>853</v>
      </c>
      <c r="AO5" s="450" t="s">
        <v>852</v>
      </c>
      <c r="AP5" s="450" t="s">
        <v>851</v>
      </c>
      <c r="AQ5" s="450" t="s">
        <v>850</v>
      </c>
      <c r="AR5" s="450" t="s">
        <v>849</v>
      </c>
      <c r="AS5" s="450" t="s">
        <v>848</v>
      </c>
      <c r="AT5" s="450" t="s">
        <v>847</v>
      </c>
      <c r="AU5" s="450" t="s">
        <v>846</v>
      </c>
      <c r="AV5" s="451"/>
      <c r="AW5" s="450" t="s">
        <v>891</v>
      </c>
      <c r="AX5" s="450" t="s">
        <v>890</v>
      </c>
      <c r="AY5" s="450" t="s">
        <v>889</v>
      </c>
      <c r="AZ5" s="450" t="s">
        <v>888</v>
      </c>
      <c r="BA5" s="450" t="s">
        <v>887</v>
      </c>
      <c r="BB5" s="450" t="s">
        <v>886</v>
      </c>
      <c r="BC5" s="450" t="s">
        <v>885</v>
      </c>
      <c r="BD5" s="450" t="s">
        <v>884</v>
      </c>
      <c r="BE5" s="450" t="s">
        <v>883</v>
      </c>
      <c r="BF5" s="450" t="s">
        <v>882</v>
      </c>
      <c r="BG5" s="450" t="s">
        <v>881</v>
      </c>
      <c r="BH5" s="450" t="s">
        <v>880</v>
      </c>
      <c r="BI5" s="450" t="s">
        <v>879</v>
      </c>
      <c r="BJ5" s="450" t="s">
        <v>878</v>
      </c>
      <c r="BK5" s="450" t="s">
        <v>877</v>
      </c>
      <c r="BL5" s="450" t="s">
        <v>876</v>
      </c>
      <c r="BM5" s="450" t="s">
        <v>875</v>
      </c>
      <c r="BN5" s="450" t="s">
        <v>874</v>
      </c>
      <c r="BO5" s="450" t="s">
        <v>873</v>
      </c>
      <c r="BP5" s="450" t="s">
        <v>872</v>
      </c>
      <c r="BQ5" s="450" t="s">
        <v>871</v>
      </c>
      <c r="BR5" s="450" t="s">
        <v>870</v>
      </c>
      <c r="BS5" s="450" t="s">
        <v>869</v>
      </c>
      <c r="BT5" s="450" t="s">
        <v>868</v>
      </c>
      <c r="BU5" s="450" t="s">
        <v>867</v>
      </c>
      <c r="BV5" s="450" t="s">
        <v>866</v>
      </c>
      <c r="BW5" s="450" t="s">
        <v>865</v>
      </c>
      <c r="BX5" s="450" t="s">
        <v>864</v>
      </c>
      <c r="BY5" s="450" t="s">
        <v>863</v>
      </c>
      <c r="BZ5" s="450" t="s">
        <v>862</v>
      </c>
      <c r="CA5" s="450" t="s">
        <v>861</v>
      </c>
      <c r="CB5" s="450" t="s">
        <v>860</v>
      </c>
      <c r="CC5" s="450" t="s">
        <v>859</v>
      </c>
      <c r="CD5" s="450" t="s">
        <v>858</v>
      </c>
      <c r="CE5" s="450" t="s">
        <v>857</v>
      </c>
      <c r="CF5" s="450" t="s">
        <v>856</v>
      </c>
      <c r="CG5" s="450" t="s">
        <v>855</v>
      </c>
      <c r="CH5" s="450" t="s">
        <v>854</v>
      </c>
      <c r="CI5" s="450" t="s">
        <v>853</v>
      </c>
      <c r="CJ5" s="450" t="s">
        <v>852</v>
      </c>
      <c r="CK5" s="450" t="s">
        <v>851</v>
      </c>
      <c r="CL5" s="450" t="s">
        <v>850</v>
      </c>
      <c r="CM5" s="450" t="s">
        <v>849</v>
      </c>
      <c r="CN5" s="450" t="s">
        <v>848</v>
      </c>
      <c r="CO5" s="450" t="s">
        <v>847</v>
      </c>
      <c r="CP5" s="450" t="s">
        <v>846</v>
      </c>
      <c r="CQ5" s="449" t="s">
        <v>845</v>
      </c>
      <c r="CR5" s="449" t="s">
        <v>844</v>
      </c>
    </row>
    <row r="6" spans="1:96" hidden="1">
      <c r="A6" s="445" t="s">
        <v>834</v>
      </c>
      <c r="B6" s="439">
        <v>3192146.2166699995</v>
      </c>
      <c r="C6" s="439">
        <v>1461293.7622</v>
      </c>
      <c r="D6" s="439">
        <v>0</v>
      </c>
      <c r="E6" s="439">
        <v>10843.983904097924</v>
      </c>
      <c r="F6" s="439">
        <v>461.10912576770397</v>
      </c>
      <c r="G6" s="439">
        <v>7548.8911318337305</v>
      </c>
      <c r="H6" s="439">
        <v>14692.056031333103</v>
      </c>
      <c r="I6" s="439">
        <v>598.77603727529095</v>
      </c>
      <c r="J6" s="439">
        <v>9991.2787881218119</v>
      </c>
      <c r="K6" s="440">
        <v>23087.910170319392</v>
      </c>
      <c r="L6" s="440">
        <v>5130.6467045154204</v>
      </c>
      <c r="M6" s="440">
        <v>28325.72906804712</v>
      </c>
      <c r="N6" s="440">
        <v>645064.18898980354</v>
      </c>
      <c r="O6" s="440">
        <v>1347896.52381187</v>
      </c>
      <c r="P6" s="440">
        <v>73226.686856418906</v>
      </c>
      <c r="Q6" s="440">
        <v>22072.553094896128</v>
      </c>
      <c r="R6" s="440">
        <v>30683.8880756217</v>
      </c>
      <c r="S6" s="440">
        <v>1848215.6180712678</v>
      </c>
      <c r="T6" s="440">
        <v>323834.8145576574</v>
      </c>
      <c r="U6" s="439">
        <v>330190.9497180325</v>
      </c>
      <c r="V6" s="439">
        <v>6286.1326542319739</v>
      </c>
      <c r="W6" s="439">
        <v>82070.224969716059</v>
      </c>
      <c r="X6" s="439">
        <v>233108.55880845711</v>
      </c>
      <c r="Y6" s="439">
        <v>143319.14590418807</v>
      </c>
      <c r="Z6" s="439">
        <v>955341.54271247378</v>
      </c>
      <c r="AA6" s="440"/>
      <c r="AB6" s="440"/>
      <c r="AC6" s="440">
        <v>168.72459357572419</v>
      </c>
      <c r="AD6" s="440"/>
      <c r="AE6" s="440"/>
      <c r="AF6" s="440">
        <v>183.8828673014257</v>
      </c>
      <c r="AG6" s="440"/>
      <c r="AH6" s="440">
        <v>20452.846367825372</v>
      </c>
      <c r="AI6" s="440">
        <v>3446.4552204201145</v>
      </c>
      <c r="AJ6" s="440">
        <v>131.31267771171372</v>
      </c>
      <c r="AK6" s="440">
        <v>11627.393664719877</v>
      </c>
      <c r="AL6" s="442"/>
      <c r="AM6" s="440">
        <v>27887.8131368045</v>
      </c>
      <c r="AN6" s="441">
        <v>291853.13190000004</v>
      </c>
      <c r="AO6" s="441">
        <v>20983.204102248568</v>
      </c>
      <c r="AP6" s="441">
        <v>27610.038197819998</v>
      </c>
      <c r="AQ6" s="440">
        <v>15659.72527658</v>
      </c>
      <c r="AR6" s="440">
        <v>14190.213767973801</v>
      </c>
      <c r="AS6" s="440">
        <v>224375.97641824104</v>
      </c>
      <c r="AT6" s="439">
        <v>66145.521818425404</v>
      </c>
      <c r="AU6" s="439">
        <v>166404.28142213993</v>
      </c>
      <c r="AV6" s="465"/>
      <c r="AW6" s="439">
        <v>2279720.5262585552</v>
      </c>
      <c r="AX6" s="439">
        <v>1461831.4138666668</v>
      </c>
      <c r="AY6" s="439">
        <v>0</v>
      </c>
      <c r="AZ6" s="439">
        <v>83531.475687287762</v>
      </c>
      <c r="BA6" s="439">
        <v>3548.6239610611669</v>
      </c>
      <c r="BB6" s="439">
        <v>58119.145630125495</v>
      </c>
      <c r="BC6" s="439">
        <v>190900.49302559096</v>
      </c>
      <c r="BD6" s="439">
        <v>7779.7545952827659</v>
      </c>
      <c r="BE6" s="439">
        <v>129817.42993243205</v>
      </c>
      <c r="BF6" s="440">
        <v>48781.824167417988</v>
      </c>
      <c r="BG6" s="440">
        <v>10840.40537053733</v>
      </c>
      <c r="BH6" s="440">
        <v>60687.384584312749</v>
      </c>
      <c r="BI6" s="440">
        <v>603200.57288229477</v>
      </c>
      <c r="BJ6" s="440">
        <v>586629.94146861939</v>
      </c>
      <c r="BK6" s="440">
        <v>64323.175923088944</v>
      </c>
      <c r="BL6" s="440">
        <v>21026.025535529945</v>
      </c>
      <c r="BM6" s="440">
        <v>21154.786932423118</v>
      </c>
      <c r="BN6" s="440">
        <v>1645464.3668263012</v>
      </c>
      <c r="BO6" s="440">
        <v>276467.24399760715</v>
      </c>
      <c r="BP6" s="439">
        <v>233058.61064801292</v>
      </c>
      <c r="BQ6" s="439">
        <v>4436.9397283465314</v>
      </c>
      <c r="BR6" s="439">
        <v>89870.202123262847</v>
      </c>
      <c r="BS6" s="439">
        <v>217190.99089622087</v>
      </c>
      <c r="BT6" s="439">
        <v>117223.37756243639</v>
      </c>
      <c r="BU6" s="439">
        <v>955341.54271247378</v>
      </c>
      <c r="BV6" s="443"/>
      <c r="BW6" s="444"/>
      <c r="BX6" s="444">
        <v>172.96809564020845</v>
      </c>
      <c r="BY6" s="440"/>
      <c r="BZ6" s="440"/>
      <c r="CA6" s="440">
        <v>249.273533273053</v>
      </c>
      <c r="CB6" s="443"/>
      <c r="CC6" s="440">
        <v>19183.250460952368</v>
      </c>
      <c r="CD6" s="440">
        <v>3232.5189612620838</v>
      </c>
      <c r="CE6" s="440">
        <v>117.5632848774197</v>
      </c>
      <c r="CF6" s="440">
        <v>11236.10514478257</v>
      </c>
      <c r="CG6" s="442"/>
      <c r="CH6" s="440">
        <v>26812.028755080704</v>
      </c>
      <c r="CI6" s="441">
        <v>243926.13690000001</v>
      </c>
      <c r="CJ6" s="441">
        <v>17537.423303031293</v>
      </c>
      <c r="CK6" s="441">
        <v>26566.640431979999</v>
      </c>
      <c r="CL6" s="440">
        <v>22692.836525064784</v>
      </c>
      <c r="CM6" s="440">
        <v>13287.538395705877</v>
      </c>
      <c r="CN6" s="440">
        <v>215720.57666062383</v>
      </c>
      <c r="CO6" s="439">
        <v>70186.449739272313</v>
      </c>
      <c r="CP6" s="439">
        <v>188603.14519510479</v>
      </c>
      <c r="CQ6" s="437">
        <f t="shared" ref="CQ6:CQ31" si="0">SUM(B6:AU6)</f>
        <v>11686551.709487734</v>
      </c>
      <c r="CR6" s="437">
        <f t="shared" ref="CR6:CR31" si="1">SUM(AW6:CP6)</f>
        <v>10030470.709702536</v>
      </c>
    </row>
    <row r="7" spans="1:96" hidden="1">
      <c r="A7" s="434" t="s">
        <v>832</v>
      </c>
      <c r="B7" s="428">
        <v>1394689.2094159997</v>
      </c>
      <c r="C7" s="428">
        <v>776484.66369999992</v>
      </c>
      <c r="D7" s="428">
        <v>0</v>
      </c>
      <c r="E7" s="428">
        <v>60257.973879322533</v>
      </c>
      <c r="F7" s="428">
        <v>2605.7502218085428</v>
      </c>
      <c r="G7" s="428">
        <v>42343.441104388803</v>
      </c>
      <c r="H7" s="428">
        <v>37638.971734989711</v>
      </c>
      <c r="I7" s="428">
        <v>1627.6312101617179</v>
      </c>
      <c r="J7" s="428">
        <v>26449.007165127903</v>
      </c>
      <c r="K7" s="429">
        <v>51312.460832950826</v>
      </c>
      <c r="L7" s="429">
        <v>11402.769073989068</v>
      </c>
      <c r="M7" s="429">
        <v>4205.8832567086529</v>
      </c>
      <c r="N7" s="429">
        <v>1796136.414289101</v>
      </c>
      <c r="O7" s="429">
        <v>5716329.4217471946</v>
      </c>
      <c r="P7" s="429"/>
      <c r="Q7" s="429">
        <v>82889.008341630455</v>
      </c>
      <c r="R7" s="429">
        <v>66551.547823665067</v>
      </c>
      <c r="S7" s="429">
        <v>229072.76878705143</v>
      </c>
      <c r="T7" s="429">
        <v>131660.33410231682</v>
      </c>
      <c r="U7" s="428">
        <v>40938.505524806067</v>
      </c>
      <c r="V7" s="428">
        <v>10327.827871171126</v>
      </c>
      <c r="W7" s="428">
        <v>15057.436852802446</v>
      </c>
      <c r="X7" s="428">
        <v>73293.698834876428</v>
      </c>
      <c r="Y7" s="428">
        <v>14404.062788882811</v>
      </c>
      <c r="Z7" s="428">
        <v>97314.725885176798</v>
      </c>
      <c r="AA7" s="429">
        <v>4.5660617792236353</v>
      </c>
      <c r="AB7" s="429"/>
      <c r="AC7" s="429">
        <v>134.18883657783596</v>
      </c>
      <c r="AD7" s="429">
        <v>205441.73010136263</v>
      </c>
      <c r="AE7" s="429"/>
      <c r="AF7" s="429"/>
      <c r="AG7" s="429"/>
      <c r="AH7" s="429">
        <v>10723.297821982058</v>
      </c>
      <c r="AI7" s="429">
        <v>1516.3263724926949</v>
      </c>
      <c r="AJ7" s="429">
        <v>87.300394956601608</v>
      </c>
      <c r="AK7" s="429">
        <v>13587.105478330242</v>
      </c>
      <c r="AL7" s="333"/>
      <c r="AM7" s="429">
        <v>4345.7332866924171</v>
      </c>
      <c r="AN7" s="430">
        <v>232726.67968000009</v>
      </c>
      <c r="AO7" s="430">
        <v>17380.203971203315</v>
      </c>
      <c r="AP7" s="430">
        <v>19465.83227472</v>
      </c>
      <c r="AQ7" s="429">
        <v>18595.28131002111</v>
      </c>
      <c r="AR7" s="429">
        <v>10004.488917063883</v>
      </c>
      <c r="AS7" s="429">
        <v>98594.633961795218</v>
      </c>
      <c r="AT7" s="428">
        <v>5603.7841103319042</v>
      </c>
      <c r="AU7" s="428">
        <v>21549.733232683713</v>
      </c>
      <c r="AV7" s="433"/>
      <c r="AW7" s="428">
        <v>1358591.1291582219</v>
      </c>
      <c r="AX7" s="428">
        <v>769948.81425555551</v>
      </c>
      <c r="AY7" s="428">
        <v>0</v>
      </c>
      <c r="AZ7" s="428">
        <v>379109.52017622435</v>
      </c>
      <c r="BA7" s="428">
        <v>16393.925196809709</v>
      </c>
      <c r="BB7" s="428">
        <v>266401.28444815747</v>
      </c>
      <c r="BC7" s="428">
        <v>498007.38771212194</v>
      </c>
      <c r="BD7" s="428">
        <v>21535.454603767437</v>
      </c>
      <c r="BE7" s="428">
        <v>349951.13731122058</v>
      </c>
      <c r="BF7" s="429">
        <v>109626.29616642516</v>
      </c>
      <c r="BG7" s="429">
        <v>24361.399148094479</v>
      </c>
      <c r="BH7" s="429">
        <v>9605.3220948077924</v>
      </c>
      <c r="BI7" s="429">
        <v>1745430.6500385166</v>
      </c>
      <c r="BJ7" s="429">
        <v>6871807.8056150591</v>
      </c>
      <c r="BK7" s="429"/>
      <c r="BL7" s="429">
        <v>69912.684812393563</v>
      </c>
      <c r="BM7" s="429">
        <v>70072.370159777696</v>
      </c>
      <c r="BN7" s="429">
        <v>212311.01900366723</v>
      </c>
      <c r="BO7" s="429">
        <v>106225.28763740594</v>
      </c>
      <c r="BP7" s="428">
        <v>45044.286929116366</v>
      </c>
      <c r="BQ7" s="428">
        <v>11363.620533281819</v>
      </c>
      <c r="BR7" s="428">
        <v>15965.746917867378</v>
      </c>
      <c r="BS7" s="428">
        <v>79208.109002229015</v>
      </c>
      <c r="BT7" s="428">
        <v>13737.208030138227</v>
      </c>
      <c r="BU7" s="428">
        <v>97314.725885176798</v>
      </c>
      <c r="BV7" s="431">
        <v>1.9465343350362272</v>
      </c>
      <c r="BW7" s="432"/>
      <c r="BX7" s="432">
        <v>132.82663444454064</v>
      </c>
      <c r="BY7" s="429">
        <v>262185.49224384112</v>
      </c>
      <c r="BZ7" s="429"/>
      <c r="CA7" s="429"/>
      <c r="CB7" s="431"/>
      <c r="CC7" s="429">
        <v>8679.0163984042792</v>
      </c>
      <c r="CD7" s="429">
        <v>1227.255054431052</v>
      </c>
      <c r="CE7" s="429">
        <v>67.445808233582255</v>
      </c>
      <c r="CF7" s="429">
        <v>11330.108401609552</v>
      </c>
      <c r="CG7" s="333"/>
      <c r="CH7" s="429">
        <v>3585.8250044099868</v>
      </c>
      <c r="CI7" s="430">
        <v>166936.36752000003</v>
      </c>
      <c r="CJ7" s="430">
        <v>12466.933837146556</v>
      </c>
      <c r="CK7" s="430">
        <v>16075.090008120002</v>
      </c>
      <c r="CL7" s="429">
        <v>39404.373730951753</v>
      </c>
      <c r="CM7" s="429">
        <v>8040.0973636169711</v>
      </c>
      <c r="CN7" s="429">
        <v>81354.073164932008</v>
      </c>
      <c r="CO7" s="428">
        <v>7211.3366595284042</v>
      </c>
      <c r="CP7" s="428">
        <v>30380.833600347611</v>
      </c>
      <c r="CQ7" s="420">
        <f t="shared" si="0"/>
        <v>11342754.400256118</v>
      </c>
      <c r="CR7" s="420">
        <f t="shared" si="1"/>
        <v>13791004.206800388</v>
      </c>
    </row>
    <row r="8" spans="1:96" hidden="1">
      <c r="A8" s="434" t="s">
        <v>831</v>
      </c>
      <c r="B8" s="428">
        <v>589079.36214500014</v>
      </c>
      <c r="C8" s="428">
        <v>253394.02420000001</v>
      </c>
      <c r="D8" s="428">
        <v>0</v>
      </c>
      <c r="E8" s="428">
        <v>8364.8737107348879</v>
      </c>
      <c r="F8" s="428">
        <v>353.04013941169535</v>
      </c>
      <c r="G8" s="428">
        <v>6242.1925226489457</v>
      </c>
      <c r="H8" s="428">
        <v>11218.578969321254</v>
      </c>
      <c r="I8" s="428">
        <v>484.74798785245935</v>
      </c>
      <c r="J8" s="428">
        <v>7899.2508193180893</v>
      </c>
      <c r="K8" s="429">
        <v>5569.0476499515407</v>
      </c>
      <c r="L8" s="429">
        <v>1237.5661444336754</v>
      </c>
      <c r="M8" s="429">
        <v>36682.325757244827</v>
      </c>
      <c r="N8" s="429">
        <v>440198.13766253868</v>
      </c>
      <c r="O8" s="429">
        <v>761397.52876561123</v>
      </c>
      <c r="P8" s="429">
        <v>74009.165265729695</v>
      </c>
      <c r="Q8" s="429">
        <v>9598.9620054990592</v>
      </c>
      <c r="R8" s="429">
        <v>24316.401855507629</v>
      </c>
      <c r="S8" s="429">
        <v>3556230.3317255606</v>
      </c>
      <c r="T8" s="429">
        <v>373667.01902777801</v>
      </c>
      <c r="U8" s="428">
        <v>47604.025440651487</v>
      </c>
      <c r="V8" s="428">
        <v>11901.724001887555</v>
      </c>
      <c r="W8" s="428">
        <v>30313.413994028182</v>
      </c>
      <c r="X8" s="428">
        <v>69470.399266351669</v>
      </c>
      <c r="Y8" s="428">
        <v>37488.478232700305</v>
      </c>
      <c r="Z8" s="428">
        <v>175213.00618415209</v>
      </c>
      <c r="AA8" s="429"/>
      <c r="AB8" s="429"/>
      <c r="AC8" s="429">
        <v>302.65304157639923</v>
      </c>
      <c r="AD8" s="429"/>
      <c r="AE8" s="429"/>
      <c r="AF8" s="429">
        <v>216.26053828310546</v>
      </c>
      <c r="AG8" s="429"/>
      <c r="AH8" s="429">
        <v>56312.364437013915</v>
      </c>
      <c r="AI8" s="429">
        <v>1917.0721887281345</v>
      </c>
      <c r="AJ8" s="429">
        <v>25.949613514943572</v>
      </c>
      <c r="AK8" s="429">
        <v>14704.108148283134</v>
      </c>
      <c r="AL8" s="333"/>
      <c r="AM8" s="429">
        <v>63852.360892973855</v>
      </c>
      <c r="AN8" s="430">
        <v>1524682.3332400003</v>
      </c>
      <c r="AO8" s="430">
        <v>134868.78193007631</v>
      </c>
      <c r="AP8" s="430">
        <v>33396.071287800005</v>
      </c>
      <c r="AQ8" s="429">
        <v>32265.686301288602</v>
      </c>
      <c r="AR8" s="429">
        <v>17163.952733024173</v>
      </c>
      <c r="AS8" s="429">
        <v>452863.07891730737</v>
      </c>
      <c r="AT8" s="428">
        <v>115072.26522681711</v>
      </c>
      <c r="AU8" s="428">
        <v>158380.68370212623</v>
      </c>
      <c r="AV8" s="433"/>
      <c r="AW8" s="428">
        <v>660594.7045205558</v>
      </c>
      <c r="AX8" s="428">
        <v>260472.03520000004</v>
      </c>
      <c r="AY8" s="428">
        <v>0</v>
      </c>
      <c r="AZ8" s="428">
        <v>40103.88082554804</v>
      </c>
      <c r="BA8" s="428">
        <v>1688.2162045035511</v>
      </c>
      <c r="BB8" s="428">
        <v>30110.37543671389</v>
      </c>
      <c r="BC8" s="428">
        <v>266003.2036527404</v>
      </c>
      <c r="BD8" s="428">
        <v>11248.546936202392</v>
      </c>
      <c r="BE8" s="428">
        <v>197585.12476937543</v>
      </c>
      <c r="BF8" s="429">
        <v>11942.887282360591</v>
      </c>
      <c r="BG8" s="429">
        <v>2653.9749516356865</v>
      </c>
      <c r="BH8" s="429">
        <v>80005.264737149031</v>
      </c>
      <c r="BI8" s="429">
        <v>469520.37235804298</v>
      </c>
      <c r="BJ8" s="429">
        <v>643252.59751920949</v>
      </c>
      <c r="BK8" s="429">
        <v>59413.706700310948</v>
      </c>
      <c r="BL8" s="429">
        <v>10803.103985454754</v>
      </c>
      <c r="BM8" s="429">
        <v>23953.96595805859</v>
      </c>
      <c r="BN8" s="429">
        <v>3243023.8207642878</v>
      </c>
      <c r="BO8" s="429">
        <v>361933.42098230758</v>
      </c>
      <c r="BP8" s="428">
        <v>33789.188132230862</v>
      </c>
      <c r="BQ8" s="428">
        <v>8447.8064129057966</v>
      </c>
      <c r="BR8" s="428">
        <v>26468.232708671418</v>
      </c>
      <c r="BS8" s="428">
        <v>55335.261010378723</v>
      </c>
      <c r="BT8" s="428">
        <v>35752.900536741974</v>
      </c>
      <c r="BU8" s="428">
        <v>175213.00618415209</v>
      </c>
      <c r="BV8" s="431"/>
      <c r="BW8" s="432"/>
      <c r="BX8" s="432">
        <v>349.90656978906151</v>
      </c>
      <c r="BY8" s="429"/>
      <c r="BZ8" s="429"/>
      <c r="CA8" s="429">
        <v>243.05568776146285</v>
      </c>
      <c r="CB8" s="431"/>
      <c r="CC8" s="429">
        <v>52414.820959969453</v>
      </c>
      <c r="CD8" s="429">
        <v>1784.3860144056537</v>
      </c>
      <c r="CE8" s="429">
        <v>23.05567553999111</v>
      </c>
      <c r="CF8" s="429">
        <v>14101.133014736683</v>
      </c>
      <c r="CG8" s="333"/>
      <c r="CH8" s="429">
        <v>60873.15111667489</v>
      </c>
      <c r="CI8" s="430">
        <v>1257055.8422400004</v>
      </c>
      <c r="CJ8" s="430">
        <v>111248.92839044951</v>
      </c>
      <c r="CK8" s="430">
        <v>31863.877015080005</v>
      </c>
      <c r="CL8" s="429">
        <v>50522.030214133367</v>
      </c>
      <c r="CM8" s="429">
        <v>15936.997768233439</v>
      </c>
      <c r="CN8" s="429">
        <v>431733.49039204186</v>
      </c>
      <c r="CO8" s="428">
        <v>127642.38181428474</v>
      </c>
      <c r="CP8" s="428">
        <v>227434.70079951439</v>
      </c>
      <c r="CQ8" s="420">
        <f t="shared" si="0"/>
        <v>9137957.2256727275</v>
      </c>
      <c r="CR8" s="420">
        <f t="shared" si="1"/>
        <v>9092543.3554421533</v>
      </c>
    </row>
    <row r="9" spans="1:96" hidden="1">
      <c r="A9" s="434" t="s">
        <v>829</v>
      </c>
      <c r="B9" s="428">
        <v>6858.9028402985314</v>
      </c>
      <c r="C9" s="428">
        <v>3185.9970566922502</v>
      </c>
      <c r="D9" s="428">
        <v>0</v>
      </c>
      <c r="E9" s="431">
        <v>2939.35785421849</v>
      </c>
      <c r="F9" s="431">
        <v>137.81251578794908</v>
      </c>
      <c r="G9" s="431">
        <v>0</v>
      </c>
      <c r="H9" s="431">
        <v>8222.118842705966</v>
      </c>
      <c r="I9" s="431">
        <v>385.49606377277206</v>
      </c>
      <c r="J9" s="429">
        <v>0</v>
      </c>
      <c r="K9" s="429">
        <v>0</v>
      </c>
      <c r="L9" s="429">
        <v>0</v>
      </c>
      <c r="M9" s="429">
        <v>0</v>
      </c>
      <c r="N9" s="429">
        <v>8388.6456173103634</v>
      </c>
      <c r="O9" s="429"/>
      <c r="P9" s="429"/>
      <c r="Q9" s="429">
        <v>24855.637988991504</v>
      </c>
      <c r="R9" s="429">
        <v>344.58100330457643</v>
      </c>
      <c r="S9" s="429">
        <v>149037.74565854744</v>
      </c>
      <c r="T9" s="429">
        <v>21934.202656007783</v>
      </c>
      <c r="U9" s="428">
        <v>323.06456603223</v>
      </c>
      <c r="V9" s="428">
        <v>44.232956409518003</v>
      </c>
      <c r="W9" s="428">
        <v>68.009110365729995</v>
      </c>
      <c r="X9" s="428">
        <v>25153.6490863</v>
      </c>
      <c r="Y9" s="428">
        <v>0</v>
      </c>
      <c r="Z9" s="428">
        <v>0</v>
      </c>
      <c r="AA9" s="429"/>
      <c r="AB9" s="429">
        <v>0.1157833741336097</v>
      </c>
      <c r="AC9" s="429">
        <v>24.722187153960075</v>
      </c>
      <c r="AD9" s="429"/>
      <c r="AE9" s="429">
        <v>0.71676822264034856</v>
      </c>
      <c r="AF9" s="429"/>
      <c r="AG9" s="429">
        <v>1.0425952377545078</v>
      </c>
      <c r="AH9" s="429">
        <v>2537.9966431683329</v>
      </c>
      <c r="AI9" s="429">
        <v>567.73088374011502</v>
      </c>
      <c r="AJ9" s="430"/>
      <c r="AK9" s="429">
        <v>1502.0118087065596</v>
      </c>
      <c r="AL9" s="333"/>
      <c r="AM9" s="429">
        <v>2862.229424190693</v>
      </c>
      <c r="AN9" s="430">
        <v>10390.94097285355</v>
      </c>
      <c r="AO9" s="430">
        <v>6927.2939819023668</v>
      </c>
      <c r="AP9" s="430">
        <v>2905.7200582799996</v>
      </c>
      <c r="AQ9" s="429">
        <v>945.96077450241239</v>
      </c>
      <c r="AR9" s="429">
        <v>1493.3984691168637</v>
      </c>
      <c r="AS9" s="429">
        <v>7162.1985467429849</v>
      </c>
      <c r="AT9" s="428">
        <v>6450.7327500000001</v>
      </c>
      <c r="AU9" s="428">
        <v>20505.562064999998</v>
      </c>
      <c r="AV9" s="433"/>
      <c r="AW9" s="428">
        <v>6977.6475530632551</v>
      </c>
      <c r="AX9" s="428">
        <v>3493.8340332705211</v>
      </c>
      <c r="AY9" s="428">
        <v>0</v>
      </c>
      <c r="AZ9" s="431">
        <v>16527.14802279483</v>
      </c>
      <c r="BA9" s="431">
        <v>774.87939910152943</v>
      </c>
      <c r="BB9" s="431">
        <v>0</v>
      </c>
      <c r="BC9" s="431">
        <v>103044.64165484798</v>
      </c>
      <c r="BD9" s="431">
        <v>4831.2733628338638</v>
      </c>
      <c r="BE9" s="431">
        <v>0</v>
      </c>
      <c r="BF9" s="429">
        <v>0</v>
      </c>
      <c r="BG9" s="429">
        <v>0</v>
      </c>
      <c r="BH9" s="429">
        <v>0</v>
      </c>
      <c r="BI9" s="429">
        <v>11122.560200557115</v>
      </c>
      <c r="BJ9" s="429"/>
      <c r="BK9" s="429"/>
      <c r="BL9" s="429">
        <v>27016.173059101649</v>
      </c>
      <c r="BM9" s="429">
        <v>293.07820366349802</v>
      </c>
      <c r="BN9" s="429">
        <v>163656.5861968676</v>
      </c>
      <c r="BO9" s="429">
        <v>19250.025776411359</v>
      </c>
      <c r="BP9" s="428">
        <v>491.83869543168555</v>
      </c>
      <c r="BQ9" s="428">
        <v>67.340964819315786</v>
      </c>
      <c r="BR9" s="428">
        <v>42.666596549874441</v>
      </c>
      <c r="BS9" s="428">
        <v>31899.081891622223</v>
      </c>
      <c r="BT9" s="428">
        <v>0</v>
      </c>
      <c r="BU9" s="428">
        <v>0</v>
      </c>
      <c r="BV9" s="431"/>
      <c r="BW9" s="432">
        <v>0.11581651552496196</v>
      </c>
      <c r="BX9" s="432">
        <v>26.57120535280054</v>
      </c>
      <c r="BY9" s="429"/>
      <c r="BZ9" s="429">
        <v>0.66269711722031965</v>
      </c>
      <c r="CA9" s="429"/>
      <c r="CB9" s="431">
        <v>0.94444900762725026</v>
      </c>
      <c r="CC9" s="429">
        <v>2527.9276860084906</v>
      </c>
      <c r="CD9" s="429">
        <v>565.47853326436245</v>
      </c>
      <c r="CE9" s="430"/>
      <c r="CF9" s="429">
        <v>1541.3878354456795</v>
      </c>
      <c r="CG9" s="333"/>
      <c r="CH9" s="429">
        <v>2927.1007244002058</v>
      </c>
      <c r="CI9" s="430">
        <v>10777.391406043209</v>
      </c>
      <c r="CJ9" s="430">
        <v>4618.8820311613754</v>
      </c>
      <c r="CK9" s="430">
        <v>2974.0030537800008</v>
      </c>
      <c r="CL9" s="429">
        <v>1430.5782734965871</v>
      </c>
      <c r="CM9" s="429">
        <v>1487.4737310961937</v>
      </c>
      <c r="CN9" s="429">
        <v>7324.5269499656833</v>
      </c>
      <c r="CO9" s="428">
        <v>6450.7327500000001</v>
      </c>
      <c r="CP9" s="428">
        <v>20505.562064999998</v>
      </c>
      <c r="CQ9" s="420">
        <f t="shared" si="0"/>
        <v>316157.82752893749</v>
      </c>
      <c r="CR9" s="420">
        <f t="shared" si="1"/>
        <v>452648.11481859128</v>
      </c>
    </row>
    <row r="10" spans="1:96" hidden="1">
      <c r="A10" s="434" t="s">
        <v>828</v>
      </c>
      <c r="B10" s="428">
        <v>1681520.4683850005</v>
      </c>
      <c r="C10" s="428">
        <v>1998223.6281999999</v>
      </c>
      <c r="D10" s="428">
        <v>0</v>
      </c>
      <c r="E10" s="428">
        <v>42183.741360798696</v>
      </c>
      <c r="F10" s="428">
        <v>1824.1617885750795</v>
      </c>
      <c r="G10" s="428">
        <v>29642.629064345027</v>
      </c>
      <c r="H10" s="428">
        <v>26456.12680002725</v>
      </c>
      <c r="I10" s="428">
        <v>1144.0487264876654</v>
      </c>
      <c r="J10" s="428">
        <v>18590.791805424553</v>
      </c>
      <c r="K10" s="429">
        <v>153935.63141333254</v>
      </c>
      <c r="L10" s="429">
        <v>34207.918091851672</v>
      </c>
      <c r="M10" s="429">
        <v>12524.823765596591</v>
      </c>
      <c r="N10" s="429">
        <v>1666315.5336755044</v>
      </c>
      <c r="O10" s="429">
        <v>2696062.6360031185</v>
      </c>
      <c r="P10" s="429">
        <v>72074.620903272065</v>
      </c>
      <c r="Q10" s="429">
        <v>4779.9072723989475</v>
      </c>
      <c r="R10" s="429">
        <v>51009.852665307066</v>
      </c>
      <c r="S10" s="429">
        <v>742130.46031714452</v>
      </c>
      <c r="T10" s="429">
        <v>242925.52053167266</v>
      </c>
      <c r="U10" s="428">
        <v>223851.78367051628</v>
      </c>
      <c r="V10" s="428">
        <v>15616.03474168697</v>
      </c>
      <c r="W10" s="428">
        <v>50005.883713025461</v>
      </c>
      <c r="X10" s="428">
        <v>264662.95429053938</v>
      </c>
      <c r="Y10" s="428">
        <v>65117.916057599999</v>
      </c>
      <c r="Z10" s="428">
        <v>450872.15039999958</v>
      </c>
      <c r="AA10" s="429"/>
      <c r="AB10" s="429"/>
      <c r="AC10" s="429">
        <v>199.22361110607949</v>
      </c>
      <c r="AD10" s="429"/>
      <c r="AE10" s="429"/>
      <c r="AF10" s="429">
        <v>147.25475995125939</v>
      </c>
      <c r="AG10" s="429"/>
      <c r="AH10" s="429">
        <v>46449.581874455878</v>
      </c>
      <c r="AI10" s="429">
        <v>2209.5320654953766</v>
      </c>
      <c r="AJ10" s="429">
        <v>146.56603013691222</v>
      </c>
      <c r="AK10" s="429">
        <v>10015.948535952153</v>
      </c>
      <c r="AL10" s="333"/>
      <c r="AM10" s="429">
        <v>14093.472239799949</v>
      </c>
      <c r="AN10" s="430">
        <v>234400.14972000004</v>
      </c>
      <c r="AO10" s="430">
        <v>32979.211452772244</v>
      </c>
      <c r="AP10" s="430">
        <v>32478.303940680002</v>
      </c>
      <c r="AQ10" s="429">
        <v>18594.856367349726</v>
      </c>
      <c r="AR10" s="429">
        <v>16692.265053652278</v>
      </c>
      <c r="AS10" s="429">
        <v>112804.33658020615</v>
      </c>
      <c r="AT10" s="428">
        <v>55983.889388032156</v>
      </c>
      <c r="AU10" s="428">
        <v>238461.98502307606</v>
      </c>
      <c r="AV10" s="433"/>
      <c r="AW10" s="428">
        <v>1435870.2659783338</v>
      </c>
      <c r="AX10" s="428">
        <v>2124358.7111999998</v>
      </c>
      <c r="AY10" s="428">
        <v>0</v>
      </c>
      <c r="AZ10" s="428">
        <v>366566.04229516367</v>
      </c>
      <c r="BA10" s="428">
        <v>15851.504531682755</v>
      </c>
      <c r="BB10" s="428">
        <v>257586.94863984452</v>
      </c>
      <c r="BC10" s="428">
        <v>362288.10969177663</v>
      </c>
      <c r="BD10" s="428">
        <v>15666.51285153629</v>
      </c>
      <c r="BE10" s="428">
        <v>254580.83383746451</v>
      </c>
      <c r="BF10" s="429">
        <v>296126.53423092747</v>
      </c>
      <c r="BG10" s="429">
        <v>65805.896495761655</v>
      </c>
      <c r="BH10" s="429">
        <v>26590.962849572588</v>
      </c>
      <c r="BI10" s="429">
        <v>1506761.4792817361</v>
      </c>
      <c r="BJ10" s="429">
        <v>2344176.2126164399</v>
      </c>
      <c r="BK10" s="429">
        <v>65888.436856821805</v>
      </c>
      <c r="BL10" s="429">
        <v>1986.1238298116825</v>
      </c>
      <c r="BM10" s="429">
        <v>40715.756995311182</v>
      </c>
      <c r="BN10" s="429">
        <v>615675.18132747337</v>
      </c>
      <c r="BO10" s="429">
        <v>186498.42700578878</v>
      </c>
      <c r="BP10" s="428">
        <v>243201.30418482033</v>
      </c>
      <c r="BQ10" s="428">
        <v>16965.868902629391</v>
      </c>
      <c r="BR10" s="428">
        <v>58180.476509170738</v>
      </c>
      <c r="BS10" s="428">
        <v>298132.27755303634</v>
      </c>
      <c r="BT10" s="428">
        <v>62103.197721599878</v>
      </c>
      <c r="BU10" s="428">
        <v>450872.15039999958</v>
      </c>
      <c r="BV10" s="431"/>
      <c r="BW10" s="432"/>
      <c r="BX10" s="432">
        <v>157.03416432031864</v>
      </c>
      <c r="BY10" s="429"/>
      <c r="BZ10" s="429"/>
      <c r="CA10" s="429">
        <v>234.13741242978506</v>
      </c>
      <c r="CB10" s="431"/>
      <c r="CC10" s="429">
        <v>41973.92590459856</v>
      </c>
      <c r="CD10" s="429">
        <v>1996.6322937330849</v>
      </c>
      <c r="CE10" s="429">
        <v>126.42347432283395</v>
      </c>
      <c r="CF10" s="429">
        <v>9325.1289086870347</v>
      </c>
      <c r="CG10" s="333"/>
      <c r="CH10" s="429">
        <v>12978.597962620315</v>
      </c>
      <c r="CI10" s="430">
        <v>187649.07282</v>
      </c>
      <c r="CJ10" s="430">
        <v>26401.512366096438</v>
      </c>
      <c r="CK10" s="430">
        <v>29933.502097620003</v>
      </c>
      <c r="CL10" s="429">
        <v>34611.961446155416</v>
      </c>
      <c r="CM10" s="429">
        <v>14971.503809765858</v>
      </c>
      <c r="CN10" s="429">
        <v>103880.86824907112</v>
      </c>
      <c r="CO10" s="428">
        <v>73267.405603465028</v>
      </c>
      <c r="CP10" s="428">
        <v>333409.09358318168</v>
      </c>
      <c r="CQ10" s="420">
        <f t="shared" si="0"/>
        <v>11361335.800285889</v>
      </c>
      <c r="CR10" s="420">
        <f t="shared" si="1"/>
        <v>11983366.015882764</v>
      </c>
    </row>
    <row r="11" spans="1:96" hidden="1">
      <c r="A11" s="434" t="s">
        <v>827</v>
      </c>
      <c r="B11" s="428">
        <v>13455540.651805999</v>
      </c>
      <c r="C11" s="428">
        <v>2667377.4875999996</v>
      </c>
      <c r="D11" s="428">
        <v>0</v>
      </c>
      <c r="E11" s="428">
        <v>135628.12857681626</v>
      </c>
      <c r="F11" s="428">
        <v>5958.0084220987901</v>
      </c>
      <c r="G11" s="428">
        <v>98004.205894597384</v>
      </c>
      <c r="H11" s="428">
        <v>100975.71400958444</v>
      </c>
      <c r="I11" s="428">
        <v>4409.7827624775109</v>
      </c>
      <c r="J11" s="428">
        <v>73025.479457252251</v>
      </c>
      <c r="K11" s="429">
        <v>327243.92168498033</v>
      </c>
      <c r="L11" s="429">
        <v>72720.871485551164</v>
      </c>
      <c r="M11" s="429">
        <v>165822.10264486886</v>
      </c>
      <c r="N11" s="429">
        <v>6679865.1215474457</v>
      </c>
      <c r="O11" s="429">
        <v>9933049.1023120731</v>
      </c>
      <c r="P11" s="429">
        <v>416711.10026942508</v>
      </c>
      <c r="Q11" s="429">
        <v>89435.8026148559</v>
      </c>
      <c r="R11" s="429">
        <v>286844.61769404018</v>
      </c>
      <c r="S11" s="429">
        <v>3619743.0471196459</v>
      </c>
      <c r="T11" s="429">
        <v>6690744.499013464</v>
      </c>
      <c r="U11" s="428">
        <v>1010573.9112890483</v>
      </c>
      <c r="V11" s="428">
        <v>50263.834903707597</v>
      </c>
      <c r="W11" s="428">
        <v>275694.77281523007</v>
      </c>
      <c r="X11" s="428">
        <v>1210585.1208040104</v>
      </c>
      <c r="Y11" s="428">
        <v>261141.52158656786</v>
      </c>
      <c r="Z11" s="428">
        <v>1193145.3662871639</v>
      </c>
      <c r="AA11" s="429"/>
      <c r="AB11" s="429"/>
      <c r="AC11" s="429">
        <v>1691.3485042503171</v>
      </c>
      <c r="AD11" s="429"/>
      <c r="AE11" s="429"/>
      <c r="AF11" s="429">
        <v>1259.0899051250758</v>
      </c>
      <c r="AG11" s="429"/>
      <c r="AH11" s="429">
        <v>193287.78878838065</v>
      </c>
      <c r="AI11" s="429">
        <v>37554.449632240779</v>
      </c>
      <c r="AJ11" s="429">
        <v>1101.083554232069</v>
      </c>
      <c r="AK11" s="429">
        <v>105049.54827558273</v>
      </c>
      <c r="AL11" s="333"/>
      <c r="AM11" s="429">
        <v>292451.15979662101</v>
      </c>
      <c r="AN11" s="430">
        <v>2378417.5091600004</v>
      </c>
      <c r="AO11" s="430">
        <v>465899.70355119364</v>
      </c>
      <c r="AP11" s="430">
        <v>202643.58914436001</v>
      </c>
      <c r="AQ11" s="429">
        <v>297681.56238236639</v>
      </c>
      <c r="AR11" s="429">
        <v>104148.92685280561</v>
      </c>
      <c r="AS11" s="429">
        <v>828685.97601401235</v>
      </c>
      <c r="AT11" s="428">
        <v>564331.67175366264</v>
      </c>
      <c r="AU11" s="428">
        <v>2203309.5216566199</v>
      </c>
      <c r="AV11" s="433"/>
      <c r="AW11" s="428">
        <v>12636653.674612116</v>
      </c>
      <c r="AX11" s="428">
        <v>2755021.0830444437</v>
      </c>
      <c r="AY11" s="428">
        <v>0</v>
      </c>
      <c r="AZ11" s="428">
        <v>819262.6001138303</v>
      </c>
      <c r="BA11" s="428">
        <v>35926.863523487635</v>
      </c>
      <c r="BB11" s="428">
        <v>591603.58915718144</v>
      </c>
      <c r="BC11" s="428">
        <v>1330996.7561114801</v>
      </c>
      <c r="BD11" s="428">
        <v>58091.993319670139</v>
      </c>
      <c r="BE11" s="428">
        <v>963056.17673847848</v>
      </c>
      <c r="BF11" s="429">
        <v>674546.89329512755</v>
      </c>
      <c r="BG11" s="429">
        <v>149899.30962113946</v>
      </c>
      <c r="BH11" s="429">
        <v>358647.34369740059</v>
      </c>
      <c r="BI11" s="429">
        <v>6723287.4850057876</v>
      </c>
      <c r="BJ11" s="429">
        <v>7754540.1305220816</v>
      </c>
      <c r="BK11" s="429">
        <v>282339.52934817254</v>
      </c>
      <c r="BL11" s="429">
        <v>88133.997856444548</v>
      </c>
      <c r="BM11" s="429">
        <v>247981.62739255704</v>
      </c>
      <c r="BN11" s="429">
        <v>3188677.8275886821</v>
      </c>
      <c r="BO11" s="429">
        <v>5364327.0730379205</v>
      </c>
      <c r="BP11" s="428">
        <v>927540.8548384459</v>
      </c>
      <c r="BQ11" s="428">
        <v>46133.944161070373</v>
      </c>
      <c r="BR11" s="428">
        <v>303399.1450863147</v>
      </c>
      <c r="BS11" s="428">
        <v>1230839.9693425337</v>
      </c>
      <c r="BT11" s="428">
        <v>276528.64827937947</v>
      </c>
      <c r="BU11" s="428">
        <v>1193145.3662871639</v>
      </c>
      <c r="BV11" s="431"/>
      <c r="BW11" s="432"/>
      <c r="BX11" s="432">
        <v>1497.3597212704847</v>
      </c>
      <c r="BY11" s="429"/>
      <c r="BZ11" s="429"/>
      <c r="CA11" s="429">
        <v>1295.2492961799494</v>
      </c>
      <c r="CB11" s="431"/>
      <c r="CC11" s="429">
        <v>175391.61441277887</v>
      </c>
      <c r="CD11" s="429">
        <v>34077.349586701137</v>
      </c>
      <c r="CE11" s="429">
        <v>953.72089538436035</v>
      </c>
      <c r="CF11" s="429">
        <v>98211.778178338704</v>
      </c>
      <c r="CG11" s="333"/>
      <c r="CH11" s="429">
        <v>271884.85474280216</v>
      </c>
      <c r="CI11" s="430">
        <v>1922199.7851000004</v>
      </c>
      <c r="CJ11" s="430">
        <v>376532.84446284873</v>
      </c>
      <c r="CK11" s="430">
        <v>188546.70645689999</v>
      </c>
      <c r="CL11" s="429">
        <v>598335.30417881545</v>
      </c>
      <c r="CM11" s="429">
        <v>94303.290167398227</v>
      </c>
      <c r="CN11" s="429">
        <v>770409.54931637819</v>
      </c>
      <c r="CO11" s="428">
        <v>605300.18433559884</v>
      </c>
      <c r="CP11" s="428">
        <v>2403332.2595566651</v>
      </c>
      <c r="CQ11" s="420">
        <f t="shared" si="0"/>
        <v>56502017.101572335</v>
      </c>
      <c r="CR11" s="420">
        <f t="shared" si="1"/>
        <v>55542853.732388996</v>
      </c>
    </row>
    <row r="12" spans="1:96" hidden="1">
      <c r="A12" s="434" t="s">
        <v>826</v>
      </c>
      <c r="B12" s="428">
        <v>543098.78380200011</v>
      </c>
      <c r="C12" s="428">
        <v>233778.83059999999</v>
      </c>
      <c r="D12" s="428">
        <v>0</v>
      </c>
      <c r="E12" s="431">
        <v>5384.010016651172</v>
      </c>
      <c r="F12" s="431">
        <v>258.43248079925633</v>
      </c>
      <c r="G12" s="431">
        <v>3876.4872119888432</v>
      </c>
      <c r="H12" s="431">
        <v>982.81602345813917</v>
      </c>
      <c r="I12" s="431">
        <v>47.175169125990706</v>
      </c>
      <c r="J12" s="429">
        <v>707.62753688986015</v>
      </c>
      <c r="K12" s="429">
        <v>0</v>
      </c>
      <c r="L12" s="429">
        <v>0</v>
      </c>
      <c r="M12" s="429">
        <v>34981.398829849473</v>
      </c>
      <c r="N12" s="429">
        <v>1680139.9509320071</v>
      </c>
      <c r="O12" s="429">
        <v>863176.60771469714</v>
      </c>
      <c r="P12" s="429">
        <v>61206.859884895763</v>
      </c>
      <c r="Q12" s="429">
        <v>3265.2106888373237</v>
      </c>
      <c r="R12" s="429">
        <v>50043.952773267512</v>
      </c>
      <c r="S12" s="429">
        <v>5230598.9747953266</v>
      </c>
      <c r="T12" s="429">
        <v>218071.80451911941</v>
      </c>
      <c r="U12" s="428">
        <v>19148.2913544617</v>
      </c>
      <c r="V12" s="428">
        <v>8465.9249008352472</v>
      </c>
      <c r="W12" s="428">
        <v>7055.2047082778054</v>
      </c>
      <c r="X12" s="428">
        <v>83796.866131975927</v>
      </c>
      <c r="Y12" s="428">
        <v>319.963392</v>
      </c>
      <c r="Z12" s="428">
        <v>0</v>
      </c>
      <c r="AA12" s="429"/>
      <c r="AB12" s="429"/>
      <c r="AC12" s="429">
        <v>377.85378895880547</v>
      </c>
      <c r="AD12" s="429"/>
      <c r="AE12" s="429"/>
      <c r="AF12" s="429">
        <v>152.8131193282162</v>
      </c>
      <c r="AG12" s="429"/>
      <c r="AH12" s="429">
        <v>8157.8766639411842</v>
      </c>
      <c r="AI12" s="429">
        <v>7613.8627980543606</v>
      </c>
      <c r="AJ12" s="429">
        <v>6.5950058561854608</v>
      </c>
      <c r="AK12" s="429">
        <v>6071.1196214841184</v>
      </c>
      <c r="AL12" s="333"/>
      <c r="AM12" s="429">
        <v>76414.693081025107</v>
      </c>
      <c r="AN12" s="430">
        <v>247102.59684000004</v>
      </c>
      <c r="AO12" s="430">
        <v>28873.196631489409</v>
      </c>
      <c r="AP12" s="430">
        <v>15477.608111160001</v>
      </c>
      <c r="AQ12" s="429">
        <v>3487.7119154862066</v>
      </c>
      <c r="AR12" s="429">
        <v>7954.7361050600448</v>
      </c>
      <c r="AS12" s="429">
        <v>106504.83220496727</v>
      </c>
      <c r="AT12" s="428">
        <v>70135.671304864329</v>
      </c>
      <c r="AU12" s="428">
        <v>346325.66537867364</v>
      </c>
      <c r="AV12" s="433"/>
      <c r="AW12" s="428">
        <v>402922.65924200014</v>
      </c>
      <c r="AX12" s="428">
        <v>221332.18004444442</v>
      </c>
      <c r="AY12" s="428">
        <v>0</v>
      </c>
      <c r="AZ12" s="431">
        <v>22114.993245132202</v>
      </c>
      <c r="BA12" s="431">
        <v>1061.5196757663466</v>
      </c>
      <c r="BB12" s="431">
        <v>15922.79513649519</v>
      </c>
      <c r="BC12" s="431">
        <v>12968.967592331357</v>
      </c>
      <c r="BD12" s="431">
        <v>622.51044443190563</v>
      </c>
      <c r="BE12" s="431">
        <v>9337.6566664785787</v>
      </c>
      <c r="BF12" s="429">
        <v>0</v>
      </c>
      <c r="BG12" s="429">
        <v>0</v>
      </c>
      <c r="BH12" s="429">
        <v>74168.207806453589</v>
      </c>
      <c r="BI12" s="429">
        <v>1422750.6673646218</v>
      </c>
      <c r="BJ12" s="429">
        <v>371033.55686925346</v>
      </c>
      <c r="BK12" s="429">
        <v>90593.867436691551</v>
      </c>
      <c r="BL12" s="429">
        <v>2970.6412658507666</v>
      </c>
      <c r="BM12" s="429">
        <v>37756.230944330207</v>
      </c>
      <c r="BN12" s="429">
        <v>5446241.4347605631</v>
      </c>
      <c r="BO12" s="429">
        <v>216841.88821818362</v>
      </c>
      <c r="BP12" s="428">
        <v>23890.172234414611</v>
      </c>
      <c r="BQ12" s="428">
        <v>10562.425662979429</v>
      </c>
      <c r="BR12" s="428">
        <v>0</v>
      </c>
      <c r="BS12" s="428">
        <v>66535.061494615889</v>
      </c>
      <c r="BT12" s="428">
        <v>305.15027199999997</v>
      </c>
      <c r="BU12" s="428">
        <v>0</v>
      </c>
      <c r="BV12" s="431"/>
      <c r="BW12" s="432"/>
      <c r="BX12" s="432">
        <v>384.85403457699778</v>
      </c>
      <c r="BY12" s="429"/>
      <c r="BZ12" s="429"/>
      <c r="CA12" s="429">
        <v>316.65169156965595</v>
      </c>
      <c r="CB12" s="431"/>
      <c r="CC12" s="429">
        <v>7611.708956592528</v>
      </c>
      <c r="CD12" s="429">
        <v>7104.1166766326651</v>
      </c>
      <c r="CE12" s="429">
        <v>5.8737686703234333</v>
      </c>
      <c r="CF12" s="429">
        <v>5836.3161080438749</v>
      </c>
      <c r="CG12" s="333"/>
      <c r="CH12" s="429">
        <v>73205.133053868034</v>
      </c>
      <c r="CI12" s="430">
        <v>205788.32568000001</v>
      </c>
      <c r="CJ12" s="430">
        <v>24045.748073100742</v>
      </c>
      <c r="CK12" s="430">
        <v>14839.624818480002</v>
      </c>
      <c r="CL12" s="429">
        <v>3255.6922441173406</v>
      </c>
      <c r="CM12" s="429">
        <v>7422.168604956988</v>
      </c>
      <c r="CN12" s="429">
        <v>102031.43005727198</v>
      </c>
      <c r="CO12" s="428">
        <v>69863.797138469541</v>
      </c>
      <c r="CP12" s="428">
        <v>344832.12288016733</v>
      </c>
      <c r="CQ12" s="420">
        <f t="shared" si="0"/>
        <v>9973062.0060368143</v>
      </c>
      <c r="CR12" s="420">
        <f t="shared" si="1"/>
        <v>9316476.1501635574</v>
      </c>
    </row>
    <row r="13" spans="1:96" hidden="1">
      <c r="A13" s="434" t="s">
        <v>825</v>
      </c>
      <c r="B13" s="428">
        <v>0</v>
      </c>
      <c r="C13" s="428">
        <v>313148.64139999996</v>
      </c>
      <c r="D13" s="428">
        <v>0</v>
      </c>
      <c r="E13" s="431">
        <v>3058.8703412453028</v>
      </c>
      <c r="F13" s="431">
        <v>132.27547421601315</v>
      </c>
      <c r="G13" s="431">
        <v>2149.4764560102126</v>
      </c>
      <c r="H13" s="431">
        <v>717.76499510829467</v>
      </c>
      <c r="I13" s="431">
        <v>31.038486274953296</v>
      </c>
      <c r="J13" s="429">
        <v>504.3754019679908</v>
      </c>
      <c r="K13" s="429">
        <v>0</v>
      </c>
      <c r="L13" s="429">
        <v>0</v>
      </c>
      <c r="M13" s="429">
        <v>0</v>
      </c>
      <c r="N13" s="429">
        <v>309312.19573497982</v>
      </c>
      <c r="O13" s="429">
        <v>170470.51356161237</v>
      </c>
      <c r="P13" s="429"/>
      <c r="Q13" s="429">
        <v>2827.5792583596326</v>
      </c>
      <c r="R13" s="429">
        <v>7119.6214875760161</v>
      </c>
      <c r="S13" s="429">
        <v>247775.47195227069</v>
      </c>
      <c r="T13" s="429">
        <v>55201.507738808039</v>
      </c>
      <c r="U13" s="428">
        <v>97774.334295888504</v>
      </c>
      <c r="V13" s="428">
        <v>10132.881305408429</v>
      </c>
      <c r="W13" s="428">
        <v>26201.451714985484</v>
      </c>
      <c r="X13" s="428">
        <v>108163.70188843925</v>
      </c>
      <c r="Y13" s="428">
        <v>19546.229622528001</v>
      </c>
      <c r="Z13" s="428">
        <v>54321.600480000001</v>
      </c>
      <c r="AA13" s="429"/>
      <c r="AB13" s="429"/>
      <c r="AC13" s="429">
        <v>41.973213605990516</v>
      </c>
      <c r="AD13" s="429"/>
      <c r="AE13" s="429"/>
      <c r="AF13" s="429"/>
      <c r="AG13" s="429"/>
      <c r="AH13" s="429">
        <v>3330.5961276396406</v>
      </c>
      <c r="AI13" s="429">
        <v>759.13700263776059</v>
      </c>
      <c r="AJ13" s="429">
        <v>8.6358229061083556</v>
      </c>
      <c r="AK13" s="429">
        <v>1650.9582846066971</v>
      </c>
      <c r="AL13" s="333"/>
      <c r="AM13" s="429">
        <v>1989.8916508895916</v>
      </c>
      <c r="AN13" s="430">
        <v>42314.787900000003</v>
      </c>
      <c r="AO13" s="430">
        <v>4663.3837232125943</v>
      </c>
      <c r="AP13" s="430">
        <v>3948.6213117000002</v>
      </c>
      <c r="AQ13" s="429">
        <v>1422.5556802083738</v>
      </c>
      <c r="AR13" s="429">
        <v>2029.3988766094583</v>
      </c>
      <c r="AS13" s="429">
        <v>29179.992636189054</v>
      </c>
      <c r="AT13" s="428">
        <v>12644.708999999924</v>
      </c>
      <c r="AU13" s="428">
        <v>50251.415999999859</v>
      </c>
      <c r="AV13" s="433"/>
      <c r="AW13" s="428">
        <v>0</v>
      </c>
      <c r="AX13" s="428">
        <v>283506.39962222218</v>
      </c>
      <c r="AY13" s="428">
        <v>0</v>
      </c>
      <c r="AZ13" s="431">
        <v>18580.149819926988</v>
      </c>
      <c r="BA13" s="431">
        <v>803.46593815900496</v>
      </c>
      <c r="BB13" s="431">
        <v>13056.321495083819</v>
      </c>
      <c r="BC13" s="431">
        <v>9131.5081517646577</v>
      </c>
      <c r="BD13" s="431">
        <v>394.87602818441775</v>
      </c>
      <c r="BE13" s="431">
        <v>6416.7354579967823</v>
      </c>
      <c r="BF13" s="429">
        <v>0</v>
      </c>
      <c r="BG13" s="429">
        <v>0</v>
      </c>
      <c r="BH13" s="429">
        <v>0</v>
      </c>
      <c r="BI13" s="429">
        <v>251631.73094021229</v>
      </c>
      <c r="BJ13" s="429">
        <v>80113.008334508646</v>
      </c>
      <c r="BK13" s="429"/>
      <c r="BL13" s="429">
        <v>5366.2817342544276</v>
      </c>
      <c r="BM13" s="429">
        <v>5038.1537596235958</v>
      </c>
      <c r="BN13" s="429">
        <v>185712.93043978841</v>
      </c>
      <c r="BO13" s="429">
        <v>36579.07160841368</v>
      </c>
      <c r="BP13" s="428">
        <v>98942.496266559523</v>
      </c>
      <c r="BQ13" s="428">
        <v>10253.944227284022</v>
      </c>
      <c r="BR13" s="428">
        <v>31347.842989121185</v>
      </c>
      <c r="BS13" s="428">
        <v>120346.23741157186</v>
      </c>
      <c r="BT13" s="428">
        <v>18641.311584448002</v>
      </c>
      <c r="BU13" s="428">
        <v>54321.600480000001</v>
      </c>
      <c r="BV13" s="431"/>
      <c r="BW13" s="432"/>
      <c r="BX13" s="432">
        <v>29.131235367644617</v>
      </c>
      <c r="BY13" s="429"/>
      <c r="BZ13" s="429"/>
      <c r="CA13" s="429"/>
      <c r="CB13" s="431"/>
      <c r="CC13" s="429">
        <v>2931.2171953370739</v>
      </c>
      <c r="CD13" s="429">
        <v>668.1072548191014</v>
      </c>
      <c r="CE13" s="429">
        <v>7.2548154388698238</v>
      </c>
      <c r="CF13" s="429">
        <v>1497.0182816273359</v>
      </c>
      <c r="CG13" s="333"/>
      <c r="CH13" s="429">
        <v>1798.1051251253512</v>
      </c>
      <c r="CI13" s="430">
        <v>33239.660580000003</v>
      </c>
      <c r="CJ13" s="430">
        <v>3663.241618514252</v>
      </c>
      <c r="CK13" s="430">
        <v>3570.9646242600011</v>
      </c>
      <c r="CL13" s="429">
        <v>1750.1294066692935</v>
      </c>
      <c r="CM13" s="429">
        <v>1786.0493002888054</v>
      </c>
      <c r="CN13" s="429">
        <v>26367.613677254805</v>
      </c>
      <c r="CO13" s="428">
        <v>15961.451916666507</v>
      </c>
      <c r="CP13" s="428">
        <v>68471.964749999723</v>
      </c>
      <c r="CQ13" s="420">
        <f t="shared" si="0"/>
        <v>1582825.5888258843</v>
      </c>
      <c r="CR13" s="420">
        <f t="shared" si="1"/>
        <v>1391925.9760704923</v>
      </c>
    </row>
    <row r="14" spans="1:96" hidden="1">
      <c r="A14" s="434" t="s">
        <v>824</v>
      </c>
      <c r="B14" s="428">
        <v>784672.53823269205</v>
      </c>
      <c r="C14" s="428">
        <v>206951.81861240842</v>
      </c>
      <c r="D14" s="428">
        <v>0</v>
      </c>
      <c r="E14" s="428">
        <v>50649.707483379912</v>
      </c>
      <c r="F14" s="428">
        <v>2374.7239902043734</v>
      </c>
      <c r="G14" s="428"/>
      <c r="H14" s="428">
        <v>80157.715840576697</v>
      </c>
      <c r="I14" s="428">
        <v>3758.2142180991755</v>
      </c>
      <c r="J14" s="428"/>
      <c r="K14" s="429">
        <v>1761.4067170131941</v>
      </c>
      <c r="L14" s="429">
        <v>440.35167925329779</v>
      </c>
      <c r="M14" s="429">
        <v>0</v>
      </c>
      <c r="N14" s="429">
        <v>240765.71666192508</v>
      </c>
      <c r="O14" s="429">
        <v>565173.87317510811</v>
      </c>
      <c r="P14" s="429">
        <v>762.23254930359167</v>
      </c>
      <c r="Q14" s="429">
        <v>669046.37905091466</v>
      </c>
      <c r="R14" s="429">
        <v>18457.929585470105</v>
      </c>
      <c r="S14" s="429">
        <v>638116.34001232602</v>
      </c>
      <c r="T14" s="429">
        <v>213221.31144247981</v>
      </c>
      <c r="U14" s="428">
        <v>8913.7432931577296</v>
      </c>
      <c r="V14" s="428">
        <v>11295.796572807829</v>
      </c>
      <c r="W14" s="428">
        <v>6554.0833674539581</v>
      </c>
      <c r="X14" s="428">
        <v>90386.880389749203</v>
      </c>
      <c r="Y14" s="428">
        <v>0</v>
      </c>
      <c r="Z14" s="428">
        <v>0</v>
      </c>
      <c r="AA14" s="429">
        <v>10.79037088616402</v>
      </c>
      <c r="AB14" s="429">
        <v>3.4670569419312463</v>
      </c>
      <c r="AC14" s="429">
        <v>153.26462669088656</v>
      </c>
      <c r="AD14" s="429">
        <v>42528.549777724227</v>
      </c>
      <c r="AE14" s="429">
        <v>84.91120017557833</v>
      </c>
      <c r="AF14" s="429">
        <v>2.0045729644408166</v>
      </c>
      <c r="AG14" s="429">
        <v>146.29997880551448</v>
      </c>
      <c r="AH14" s="429">
        <v>9902.7559501193391</v>
      </c>
      <c r="AI14" s="429">
        <v>3314.9329865468303</v>
      </c>
      <c r="AJ14" s="429">
        <v>199.6558716652074</v>
      </c>
      <c r="AK14" s="429">
        <v>15671.280182551684</v>
      </c>
      <c r="AL14" s="333"/>
      <c r="AM14" s="429">
        <v>10479.285131584269</v>
      </c>
      <c r="AN14" s="430">
        <v>183714.84560000006</v>
      </c>
      <c r="AO14" s="430">
        <v>75992.259138114736</v>
      </c>
      <c r="AP14" s="430">
        <v>24231.570600900006</v>
      </c>
      <c r="AQ14" s="429">
        <v>37148.5699902864</v>
      </c>
      <c r="AR14" s="429">
        <v>12453.846108321208</v>
      </c>
      <c r="AS14" s="429">
        <v>79439.127729987638</v>
      </c>
      <c r="AT14" s="428">
        <v>55486.975317844008</v>
      </c>
      <c r="AU14" s="428">
        <v>236841.06364857435</v>
      </c>
      <c r="AV14" s="433"/>
      <c r="AW14" s="428">
        <v>554592.76782590547</v>
      </c>
      <c r="AX14" s="428">
        <v>190614.19584886567</v>
      </c>
      <c r="AY14" s="428">
        <v>0</v>
      </c>
      <c r="AZ14" s="428">
        <v>473195.61772799341</v>
      </c>
      <c r="BA14" s="428">
        <v>22185.892896755144</v>
      </c>
      <c r="BB14" s="428"/>
      <c r="BC14" s="428">
        <v>1138166.8549370645</v>
      </c>
      <c r="BD14" s="428">
        <v>53363.232870819826</v>
      </c>
      <c r="BE14" s="428"/>
      <c r="BF14" s="429">
        <v>6177.2049639601119</v>
      </c>
      <c r="BG14" s="429">
        <v>1544.3012409900346</v>
      </c>
      <c r="BH14" s="429">
        <v>0</v>
      </c>
      <c r="BI14" s="429">
        <v>280016.67260918679</v>
      </c>
      <c r="BJ14" s="429">
        <v>187028.95318799568</v>
      </c>
      <c r="BK14" s="429">
        <v>1728.4880363445488</v>
      </c>
      <c r="BL14" s="429">
        <v>799269.96757971251</v>
      </c>
      <c r="BM14" s="429">
        <v>14860.057889579179</v>
      </c>
      <c r="BN14" s="429">
        <v>605128.39475716488</v>
      </c>
      <c r="BO14" s="429">
        <v>214736.13794944889</v>
      </c>
      <c r="BP14" s="428">
        <v>13570.42626668708</v>
      </c>
      <c r="BQ14" s="428">
        <v>17196.902521575987</v>
      </c>
      <c r="BR14" s="428">
        <v>4111.8083928695769</v>
      </c>
      <c r="BS14" s="428">
        <v>114625.85367191295</v>
      </c>
      <c r="BT14" s="428">
        <v>0</v>
      </c>
      <c r="BU14" s="428">
        <v>0</v>
      </c>
      <c r="BV14" s="431">
        <v>2.6540052172769797</v>
      </c>
      <c r="BW14" s="432">
        <v>3.3756987734599515</v>
      </c>
      <c r="BX14" s="432">
        <v>128.37942755182235</v>
      </c>
      <c r="BY14" s="429">
        <v>19669.838473032243</v>
      </c>
      <c r="BZ14" s="429">
        <v>80.856245486871913</v>
      </c>
      <c r="CA14" s="429">
        <v>7.071115445398763</v>
      </c>
      <c r="CB14" s="431">
        <v>139.14836968344494</v>
      </c>
      <c r="CC14" s="429">
        <v>8704.8111670286162</v>
      </c>
      <c r="CD14" s="429">
        <v>2913.9227326809582</v>
      </c>
      <c r="CE14" s="429">
        <v>167.52590743313084</v>
      </c>
      <c r="CF14" s="429">
        <v>14192.951893950927</v>
      </c>
      <c r="CG14" s="333"/>
      <c r="CH14" s="429">
        <v>9338.9143518007459</v>
      </c>
      <c r="CI14" s="430">
        <v>142327.14912000002</v>
      </c>
      <c r="CJ14" s="430">
        <v>58872.550898064925</v>
      </c>
      <c r="CK14" s="430">
        <v>21612.286358520003</v>
      </c>
      <c r="CL14" s="429">
        <v>69486.721656526453</v>
      </c>
      <c r="CM14" s="429">
        <v>10809.574719961005</v>
      </c>
      <c r="CN14" s="429">
        <v>70794.448355653891</v>
      </c>
      <c r="CO14" s="428">
        <v>64267.788628595779</v>
      </c>
      <c r="CP14" s="428">
        <v>285078.51858945779</v>
      </c>
      <c r="CQ14" s="420">
        <f t="shared" si="0"/>
        <v>4381266.2187150074</v>
      </c>
      <c r="CR14" s="420">
        <f t="shared" si="1"/>
        <v>5470712.2188896984</v>
      </c>
    </row>
    <row r="15" spans="1:96" hidden="1">
      <c r="A15" s="434" t="s">
        <v>823</v>
      </c>
      <c r="B15" s="428">
        <v>4879514.2842300003</v>
      </c>
      <c r="C15" s="428">
        <v>2061236.1131000002</v>
      </c>
      <c r="D15" s="428">
        <v>0</v>
      </c>
      <c r="E15" s="428">
        <v>641167.79922030238</v>
      </c>
      <c r="F15" s="428">
        <v>29221.593482273973</v>
      </c>
      <c r="G15" s="428">
        <v>238265.61870559174</v>
      </c>
      <c r="H15" s="428">
        <v>116309.52221403582</v>
      </c>
      <c r="I15" s="428">
        <v>5083.6580248737328</v>
      </c>
      <c r="J15" s="428">
        <v>40395.646383469175</v>
      </c>
      <c r="K15" s="429">
        <v>69307.806842764316</v>
      </c>
      <c r="L15" s="429">
        <v>17375.154693923028</v>
      </c>
      <c r="M15" s="429">
        <v>10889.233204641994</v>
      </c>
      <c r="N15" s="429">
        <v>3674225.2072240133</v>
      </c>
      <c r="O15" s="429">
        <v>2438462.3075931459</v>
      </c>
      <c r="P15" s="429">
        <v>54402.459159979728</v>
      </c>
      <c r="Q15" s="429">
        <v>2861976.0907036574</v>
      </c>
      <c r="R15" s="429">
        <v>114437.57597898235</v>
      </c>
      <c r="S15" s="429">
        <v>8428137.6005224884</v>
      </c>
      <c r="T15" s="429">
        <v>875013.47188181034</v>
      </c>
      <c r="U15" s="428">
        <v>72422.166811672694</v>
      </c>
      <c r="V15" s="428">
        <v>31765.971391701478</v>
      </c>
      <c r="W15" s="428">
        <v>119253.63696474307</v>
      </c>
      <c r="X15" s="428">
        <v>458521.04467313149</v>
      </c>
      <c r="Y15" s="428">
        <v>205715.06355549654</v>
      </c>
      <c r="Z15" s="428">
        <v>1390777.1511266383</v>
      </c>
      <c r="AA15" s="429">
        <v>44.320462273978343</v>
      </c>
      <c r="AB15" s="429">
        <v>22.84172533282981</v>
      </c>
      <c r="AC15" s="429">
        <v>1125.6058775780557</v>
      </c>
      <c r="AD15" s="429">
        <v>111592.28483686488</v>
      </c>
      <c r="AE15" s="429">
        <v>422.5320797125492</v>
      </c>
      <c r="AF15" s="429">
        <v>158.99552810098717</v>
      </c>
      <c r="AG15" s="429">
        <v>715.58477966235341</v>
      </c>
      <c r="AH15" s="429">
        <v>95311.73450656487</v>
      </c>
      <c r="AI15" s="429">
        <v>7428.6538285264596</v>
      </c>
      <c r="AJ15" s="429">
        <v>4531.6142873428125</v>
      </c>
      <c r="AK15" s="429">
        <v>40643.696649737634</v>
      </c>
      <c r="AL15" s="333"/>
      <c r="AM15" s="429">
        <v>216826.72764231937</v>
      </c>
      <c r="AN15" s="430">
        <v>1531720.6825800003</v>
      </c>
      <c r="AO15" s="430">
        <v>193077.06186699588</v>
      </c>
      <c r="AP15" s="430">
        <v>139146.81849198</v>
      </c>
      <c r="AQ15" s="429">
        <v>377432.85549609759</v>
      </c>
      <c r="AR15" s="429">
        <v>71514.681920670031</v>
      </c>
      <c r="AS15" s="429">
        <v>460125.96571693086</v>
      </c>
      <c r="AT15" s="428">
        <v>243662.32231759134</v>
      </c>
      <c r="AU15" s="428">
        <v>581508.64231813443</v>
      </c>
      <c r="AV15" s="433"/>
      <c r="AW15" s="428">
        <v>4951553.4149155552</v>
      </c>
      <c r="AX15" s="428">
        <v>2132860.7740999996</v>
      </c>
      <c r="AY15" s="428">
        <v>0</v>
      </c>
      <c r="AZ15" s="428">
        <v>2604726.4052003599</v>
      </c>
      <c r="BA15" s="428">
        <v>119090.89561488827</v>
      </c>
      <c r="BB15" s="428">
        <v>1000436.4752978408</v>
      </c>
      <c r="BC15" s="428">
        <v>1473407.3116649715</v>
      </c>
      <c r="BD15" s="428">
        <v>64190.75679163821</v>
      </c>
      <c r="BE15" s="428">
        <v>533650.56268949946</v>
      </c>
      <c r="BF15" s="429">
        <v>137409.50665763367</v>
      </c>
      <c r="BG15" s="429">
        <v>34421.535565730293</v>
      </c>
      <c r="BH15" s="429">
        <v>22822.108057842284</v>
      </c>
      <c r="BI15" s="429">
        <v>3618331.4218830261</v>
      </c>
      <c r="BJ15" s="429">
        <v>1194079.9499294762</v>
      </c>
      <c r="BK15" s="429">
        <v>39525.018353044215</v>
      </c>
      <c r="BL15" s="429">
        <v>2832747.1834031958</v>
      </c>
      <c r="BM15" s="429">
        <v>88594.882233025433</v>
      </c>
      <c r="BN15" s="429">
        <v>9404234.3564549927</v>
      </c>
      <c r="BO15" s="429">
        <v>809911.27812567272</v>
      </c>
      <c r="BP15" s="428">
        <v>61823.186651539378</v>
      </c>
      <c r="BQ15" s="428">
        <v>27117.023212292115</v>
      </c>
      <c r="BR15" s="428">
        <v>132993.41199360767</v>
      </c>
      <c r="BS15" s="428">
        <v>458343.73903673107</v>
      </c>
      <c r="BT15" s="428">
        <v>196191.21802051968</v>
      </c>
      <c r="BU15" s="428">
        <v>1390777.1511266383</v>
      </c>
      <c r="BV15" s="431">
        <v>9.7174257874386463</v>
      </c>
      <c r="BW15" s="432">
        <v>27.835673526916469</v>
      </c>
      <c r="BX15" s="432">
        <v>1007.0216746959151</v>
      </c>
      <c r="BY15" s="429">
        <v>21998.251529695961</v>
      </c>
      <c r="BZ15" s="429">
        <v>490.19903693574463</v>
      </c>
      <c r="CA15" s="429">
        <v>145.53448878909714</v>
      </c>
      <c r="CB15" s="431">
        <v>827.21245818524335</v>
      </c>
      <c r="CC15" s="429">
        <v>89286.122145817339</v>
      </c>
      <c r="CD15" s="429">
        <v>6959.0139823457121</v>
      </c>
      <c r="CE15" s="429">
        <v>4052.1651716264746</v>
      </c>
      <c r="CF15" s="429">
        <v>39227.963869598228</v>
      </c>
      <c r="CG15" s="333"/>
      <c r="CH15" s="429">
        <v>205903.26759484297</v>
      </c>
      <c r="CI15" s="430">
        <v>1264470.6780000001</v>
      </c>
      <c r="CJ15" s="430">
        <v>159389.55848920386</v>
      </c>
      <c r="CK15" s="430">
        <v>132244.65190200001</v>
      </c>
      <c r="CL15" s="429">
        <v>872120.07811128197</v>
      </c>
      <c r="CM15" s="429">
        <v>66143.323401152375</v>
      </c>
      <c r="CN15" s="429">
        <v>436945.39357083169</v>
      </c>
      <c r="CO15" s="428">
        <v>272624.0455879888</v>
      </c>
      <c r="CP15" s="428">
        <v>740610.05716720037</v>
      </c>
      <c r="CQ15" s="420">
        <f t="shared" si="0"/>
        <v>32910889.800601762</v>
      </c>
      <c r="CR15" s="420">
        <f t="shared" si="1"/>
        <v>37643721.658261225</v>
      </c>
    </row>
    <row r="16" spans="1:96" hidden="1">
      <c r="A16" s="434" t="s">
        <v>822</v>
      </c>
      <c r="B16" s="428">
        <v>9054713.0108670034</v>
      </c>
      <c r="C16" s="428">
        <v>2509652.5497999997</v>
      </c>
      <c r="D16" s="428">
        <v>1916097.6096999999</v>
      </c>
      <c r="E16" s="428">
        <v>0</v>
      </c>
      <c r="F16" s="428">
        <v>0</v>
      </c>
      <c r="G16" s="428">
        <v>0</v>
      </c>
      <c r="H16" s="428">
        <v>0</v>
      </c>
      <c r="I16" s="428">
        <v>0</v>
      </c>
      <c r="J16" s="428">
        <v>0</v>
      </c>
      <c r="K16" s="429">
        <v>0</v>
      </c>
      <c r="L16" s="429">
        <v>0</v>
      </c>
      <c r="M16" s="429">
        <v>0</v>
      </c>
      <c r="N16" s="429">
        <v>1107736.2112318736</v>
      </c>
      <c r="O16" s="429">
        <v>63155.632468178483</v>
      </c>
      <c r="P16" s="429">
        <v>2406.1889006473693</v>
      </c>
      <c r="Q16" s="429">
        <v>3996.1241330734083</v>
      </c>
      <c r="R16" s="429">
        <v>25199.226047680873</v>
      </c>
      <c r="S16" s="429">
        <v>1013996.5895809596</v>
      </c>
      <c r="T16" s="429">
        <v>127146.80793074385</v>
      </c>
      <c r="U16" s="428">
        <v>654645.52756737056</v>
      </c>
      <c r="V16" s="428">
        <v>3375.9938538326501</v>
      </c>
      <c r="W16" s="428">
        <v>209015.54421184395</v>
      </c>
      <c r="X16" s="428">
        <v>115308.83674444997</v>
      </c>
      <c r="Y16" s="428">
        <v>1272270.7613453171</v>
      </c>
      <c r="Z16" s="428">
        <v>5116016.3759792615</v>
      </c>
      <c r="AA16" s="429"/>
      <c r="AB16" s="429"/>
      <c r="AC16" s="429">
        <v>150.33081126624026</v>
      </c>
      <c r="AD16" s="429"/>
      <c r="AE16" s="429"/>
      <c r="AF16" s="429">
        <v>4.9102525863759228</v>
      </c>
      <c r="AG16" s="429"/>
      <c r="AH16" s="429">
        <v>11049.287349468375</v>
      </c>
      <c r="AI16" s="429">
        <v>1367.3000642059123</v>
      </c>
      <c r="AJ16" s="429">
        <v>71.788850505576136</v>
      </c>
      <c r="AK16" s="429">
        <v>5240.4050795666872</v>
      </c>
      <c r="AL16" s="333"/>
      <c r="AM16" s="429">
        <v>12077.192589989358</v>
      </c>
      <c r="AN16" s="430">
        <v>116421.89576939757</v>
      </c>
      <c r="AO16" s="430">
        <v>77614.597179598393</v>
      </c>
      <c r="AP16" s="430">
        <v>16656.247890359999</v>
      </c>
      <c r="AQ16" s="429">
        <v>4048.6185477748268</v>
      </c>
      <c r="AR16" s="429">
        <v>8560.4994981583568</v>
      </c>
      <c r="AS16" s="429">
        <v>212626.10615808502</v>
      </c>
      <c r="AT16" s="428">
        <v>73805.42392619446</v>
      </c>
      <c r="AU16" s="428">
        <v>209826.83071517228</v>
      </c>
      <c r="AV16" s="433"/>
      <c r="AW16" s="428">
        <v>8190520.8087462233</v>
      </c>
      <c r="AX16" s="428">
        <v>2760545.7860222221</v>
      </c>
      <c r="AY16" s="428">
        <v>2088328.4929222222</v>
      </c>
      <c r="AZ16" s="428">
        <v>0</v>
      </c>
      <c r="BA16" s="428">
        <v>0</v>
      </c>
      <c r="BB16" s="428">
        <v>0</v>
      </c>
      <c r="BC16" s="428">
        <v>0</v>
      </c>
      <c r="BD16" s="428">
        <v>0</v>
      </c>
      <c r="BE16" s="428">
        <v>0</v>
      </c>
      <c r="BF16" s="429">
        <v>0</v>
      </c>
      <c r="BG16" s="429">
        <v>0</v>
      </c>
      <c r="BH16" s="429">
        <v>0</v>
      </c>
      <c r="BI16" s="429">
        <v>1162500.7015635052</v>
      </c>
      <c r="BJ16" s="429">
        <v>10988.135918900156</v>
      </c>
      <c r="BK16" s="429">
        <v>1126.5697586220988</v>
      </c>
      <c r="BL16" s="429">
        <v>3907.2337229782261</v>
      </c>
      <c r="BM16" s="429">
        <v>24115.861269650159</v>
      </c>
      <c r="BN16" s="429">
        <v>985508.2393269001</v>
      </c>
      <c r="BO16" s="429">
        <v>124554.62984614691</v>
      </c>
      <c r="BP16" s="428">
        <v>550346.85239538131</v>
      </c>
      <c r="BQ16" s="428">
        <v>2838.1276781452439</v>
      </c>
      <c r="BR16" s="428">
        <v>207378.08767403819</v>
      </c>
      <c r="BS16" s="428">
        <v>106225.34228002769</v>
      </c>
      <c r="BT16" s="428">
        <v>1582882.0167160728</v>
      </c>
      <c r="BU16" s="428">
        <v>5116016.3759792615</v>
      </c>
      <c r="BV16" s="431"/>
      <c r="BW16" s="432"/>
      <c r="BX16" s="432">
        <v>179.550151589666</v>
      </c>
      <c r="BY16" s="429"/>
      <c r="BZ16" s="429"/>
      <c r="CA16" s="429">
        <v>2.9959689331802655</v>
      </c>
      <c r="CB16" s="431"/>
      <c r="CC16" s="429">
        <v>9757.8112717051044</v>
      </c>
      <c r="CD16" s="429">
        <v>1207.4856555299459</v>
      </c>
      <c r="CE16" s="429">
        <v>60.516215300919256</v>
      </c>
      <c r="CF16" s="429">
        <v>4768.1288411927817</v>
      </c>
      <c r="CG16" s="333"/>
      <c r="CH16" s="429">
        <v>10895.999758637678</v>
      </c>
      <c r="CI16" s="430">
        <v>106527.39637465496</v>
      </c>
      <c r="CJ16" s="430">
        <v>45654.598446280695</v>
      </c>
      <c r="CK16" s="430">
        <v>15039.475217580004</v>
      </c>
      <c r="CL16" s="429">
        <v>5541.5412479604292</v>
      </c>
      <c r="CM16" s="429">
        <v>7522.1255362158508</v>
      </c>
      <c r="CN16" s="429">
        <v>191830.50896272954</v>
      </c>
      <c r="CO16" s="428">
        <v>84512.14558215432</v>
      </c>
      <c r="CP16" s="428">
        <v>268644.27565635403</v>
      </c>
      <c r="CQ16" s="420">
        <f t="shared" si="0"/>
        <v>23944254.425044566</v>
      </c>
      <c r="CR16" s="420">
        <f t="shared" si="1"/>
        <v>23669927.816707119</v>
      </c>
    </row>
    <row r="17" spans="1:96" hidden="1">
      <c r="A17" s="434" t="s">
        <v>821</v>
      </c>
      <c r="B17" s="428">
        <v>13622247.062315</v>
      </c>
      <c r="C17" s="428">
        <v>4567923.1212999998</v>
      </c>
      <c r="D17" s="428">
        <v>0</v>
      </c>
      <c r="E17" s="428">
        <v>473875.64601660491</v>
      </c>
      <c r="F17" s="428">
        <v>19885.729557330811</v>
      </c>
      <c r="G17" s="428">
        <v>348784.52190948714</v>
      </c>
      <c r="H17" s="428">
        <v>76402.40361321994</v>
      </c>
      <c r="I17" s="428">
        <v>3238.1507993938499</v>
      </c>
      <c r="J17" s="428">
        <v>55459.642779482201</v>
      </c>
      <c r="K17" s="429">
        <v>223925.90483434749</v>
      </c>
      <c r="L17" s="429">
        <v>50795.623941092068</v>
      </c>
      <c r="M17" s="429">
        <v>332744.65399138117</v>
      </c>
      <c r="N17" s="429">
        <v>9383780.0263789967</v>
      </c>
      <c r="O17" s="429">
        <v>20264665.967552848</v>
      </c>
      <c r="P17" s="429">
        <v>529565.59038042033</v>
      </c>
      <c r="Q17" s="429">
        <v>392709.01837899664</v>
      </c>
      <c r="R17" s="429">
        <v>415055.28296031948</v>
      </c>
      <c r="S17" s="429">
        <v>11389686.474089539</v>
      </c>
      <c r="T17" s="429">
        <v>3009842.2855217871</v>
      </c>
      <c r="U17" s="428">
        <v>348465.27629480942</v>
      </c>
      <c r="V17" s="428">
        <v>151751.27595737204</v>
      </c>
      <c r="W17" s="428">
        <v>107774.3199887552</v>
      </c>
      <c r="X17" s="428">
        <v>599315.23179590225</v>
      </c>
      <c r="Y17" s="428">
        <v>161235.40451446589</v>
      </c>
      <c r="Z17" s="428">
        <v>928758.26369276165</v>
      </c>
      <c r="AA17" s="429">
        <v>5.1877022491348264</v>
      </c>
      <c r="AB17" s="429">
        <v>0.17306485184710182</v>
      </c>
      <c r="AC17" s="429">
        <v>1528.8084317996272</v>
      </c>
      <c r="AD17" s="429">
        <v>851840.79258114169</v>
      </c>
      <c r="AE17" s="429">
        <v>1.5753599427567915</v>
      </c>
      <c r="AF17" s="429">
        <v>1547.4310040138114</v>
      </c>
      <c r="AG17" s="429">
        <v>2.4725111658612482</v>
      </c>
      <c r="AH17" s="429">
        <v>60753.455676838428</v>
      </c>
      <c r="AI17" s="429">
        <v>31598.308978353201</v>
      </c>
      <c r="AJ17" s="429">
        <v>6510.7112506444473</v>
      </c>
      <c r="AK17" s="429">
        <v>88550.364912178513</v>
      </c>
      <c r="AL17" s="333">
        <v>160000</v>
      </c>
      <c r="AM17" s="429">
        <v>156620.07691352288</v>
      </c>
      <c r="AN17" s="430">
        <v>1638431.8196400001</v>
      </c>
      <c r="AO17" s="430">
        <v>548700.10087385483</v>
      </c>
      <c r="AP17" s="430">
        <v>178372.73859834002</v>
      </c>
      <c r="AQ17" s="429">
        <v>132074.70838276666</v>
      </c>
      <c r="AR17" s="429">
        <v>91674.89276741416</v>
      </c>
      <c r="AS17" s="429">
        <v>694158.8170460806</v>
      </c>
      <c r="AT17" s="428">
        <v>359687.32799999916</v>
      </c>
      <c r="AU17" s="428">
        <v>278309.34734999924</v>
      </c>
      <c r="AV17" s="433"/>
      <c r="AW17" s="428">
        <v>10625248.954009665</v>
      </c>
      <c r="AX17" s="428">
        <v>4462388.6045000004</v>
      </c>
      <c r="AY17" s="428">
        <v>0</v>
      </c>
      <c r="AZ17" s="428">
        <v>2079173.357992528</v>
      </c>
      <c r="BA17" s="428">
        <v>87509.498245928422</v>
      </c>
      <c r="BB17" s="428">
        <v>1537001.6637504715</v>
      </c>
      <c r="BC17" s="428">
        <v>1132129.5101728148</v>
      </c>
      <c r="BD17" s="428">
        <v>48101.587221934649</v>
      </c>
      <c r="BE17" s="428">
        <v>829546.65594252187</v>
      </c>
      <c r="BF17" s="429">
        <v>453056.25638543029</v>
      </c>
      <c r="BG17" s="429">
        <v>102629.25106146795</v>
      </c>
      <c r="BH17" s="429">
        <v>713873.65993803903</v>
      </c>
      <c r="BI17" s="429">
        <v>9082711.3223161679</v>
      </c>
      <c r="BJ17" s="429">
        <v>16928687.943313904</v>
      </c>
      <c r="BK17" s="429">
        <v>384897.93027233391</v>
      </c>
      <c r="BL17" s="429">
        <v>307079.22689330386</v>
      </c>
      <c r="BM17" s="429">
        <v>377994.77496579324</v>
      </c>
      <c r="BN17" s="429">
        <v>11289150.573500182</v>
      </c>
      <c r="BO17" s="429">
        <v>2893791.5204075621</v>
      </c>
      <c r="BP17" s="428">
        <v>402807.89834569901</v>
      </c>
      <c r="BQ17" s="428">
        <v>175416.65324482077</v>
      </c>
      <c r="BR17" s="428">
        <v>118122.87577052273</v>
      </c>
      <c r="BS17" s="428">
        <v>675365.89241081779</v>
      </c>
      <c r="BT17" s="428">
        <v>153770.80245361108</v>
      </c>
      <c r="BU17" s="428">
        <v>928758.26369276165</v>
      </c>
      <c r="BV17" s="431">
        <v>1.0409210200266379</v>
      </c>
      <c r="BW17" s="432">
        <v>0.1628614921806755</v>
      </c>
      <c r="BX17" s="432">
        <v>1648.4114122603801</v>
      </c>
      <c r="BY17" s="429">
        <v>864541.19059146673</v>
      </c>
      <c r="BZ17" s="429">
        <v>1.741870569251263</v>
      </c>
      <c r="CA17" s="429">
        <v>1574.5722235548881</v>
      </c>
      <c r="CB17" s="431">
        <v>2.7972114196487445</v>
      </c>
      <c r="CC17" s="429">
        <v>56729.287408198354</v>
      </c>
      <c r="CD17" s="429">
        <v>29505.310137106211</v>
      </c>
      <c r="CE17" s="429">
        <v>5803.1178628969856</v>
      </c>
      <c r="CF17" s="429">
        <v>85190.599591933336</v>
      </c>
      <c r="CG17" s="333">
        <v>407623.81719422515</v>
      </c>
      <c r="CH17" s="429">
        <v>149736.56666820392</v>
      </c>
      <c r="CI17" s="430">
        <v>1361719.2430800002</v>
      </c>
      <c r="CJ17" s="430">
        <v>456030.86871447368</v>
      </c>
      <c r="CK17" s="430">
        <v>170672.41423122006</v>
      </c>
      <c r="CL17" s="429">
        <v>282114.74317799823</v>
      </c>
      <c r="CM17" s="429">
        <v>85363.306022512174</v>
      </c>
      <c r="CN17" s="429">
        <v>663650.2805724747</v>
      </c>
      <c r="CO17" s="428">
        <v>375529.17966666556</v>
      </c>
      <c r="CP17" s="428">
        <v>365336.66234999924</v>
      </c>
      <c r="CQ17" s="420">
        <f t="shared" si="0"/>
        <v>72738255.98960951</v>
      </c>
      <c r="CR17" s="420">
        <f t="shared" si="1"/>
        <v>71151989.990577966</v>
      </c>
    </row>
    <row r="18" spans="1:96" hidden="1">
      <c r="A18" s="434" t="s">
        <v>820</v>
      </c>
      <c r="B18" s="428">
        <v>789301.27872099984</v>
      </c>
      <c r="C18" s="428">
        <v>188015.33569999994</v>
      </c>
      <c r="D18" s="428">
        <v>0</v>
      </c>
      <c r="E18" s="431">
        <v>52200.30673804399</v>
      </c>
      <c r="F18" s="431">
        <v>2257.3105616451462</v>
      </c>
      <c r="G18" s="431">
        <v>36681.296626733609</v>
      </c>
      <c r="H18" s="431">
        <v>5787.3078181802084</v>
      </c>
      <c r="I18" s="431">
        <v>250.26195970509019</v>
      </c>
      <c r="J18" s="429">
        <v>4066.7568452077135</v>
      </c>
      <c r="K18" s="429">
        <v>14328.222363230874</v>
      </c>
      <c r="L18" s="429">
        <v>3184.0494140513047</v>
      </c>
      <c r="M18" s="429">
        <v>14628.365715687201</v>
      </c>
      <c r="N18" s="429">
        <v>343835.40842118359</v>
      </c>
      <c r="O18" s="429">
        <v>1513548.154002615</v>
      </c>
      <c r="P18" s="429">
        <v>30493.840309023417</v>
      </c>
      <c r="Q18" s="429">
        <v>42590.044056916217</v>
      </c>
      <c r="R18" s="429">
        <v>19394.430214769596</v>
      </c>
      <c r="S18" s="429">
        <v>308909.43105448491</v>
      </c>
      <c r="T18" s="429">
        <v>202794.18587482415</v>
      </c>
      <c r="U18" s="428">
        <v>9236.696469546152</v>
      </c>
      <c r="V18" s="428">
        <v>71431.379521348135</v>
      </c>
      <c r="W18" s="428">
        <v>8052.3956303106024</v>
      </c>
      <c r="X18" s="428">
        <v>46077.455811776912</v>
      </c>
      <c r="Y18" s="428">
        <v>0</v>
      </c>
      <c r="Z18" s="428">
        <v>0</v>
      </c>
      <c r="AA18" s="429"/>
      <c r="AB18" s="429">
        <v>9.1480645394303575E-2</v>
      </c>
      <c r="AC18" s="429">
        <v>47.16592285845239</v>
      </c>
      <c r="AD18" s="429">
        <v>114992.76606726825</v>
      </c>
      <c r="AE18" s="429">
        <v>2.4742684042276109</v>
      </c>
      <c r="AF18" s="429">
        <v>54.295542240699397</v>
      </c>
      <c r="AG18" s="429">
        <v>4.2843357796121104</v>
      </c>
      <c r="AH18" s="429">
        <v>7363.2150010033329</v>
      </c>
      <c r="AI18" s="429">
        <v>520.37967613222452</v>
      </c>
      <c r="AJ18" s="429">
        <v>128.08399227588791</v>
      </c>
      <c r="AK18" s="429">
        <v>3444.5453963767336</v>
      </c>
      <c r="AL18" s="333"/>
      <c r="AM18" s="429">
        <v>4811.7872332429379</v>
      </c>
      <c r="AN18" s="430">
        <v>136433.09196000002</v>
      </c>
      <c r="AO18" s="430">
        <v>5338.578306165371</v>
      </c>
      <c r="AP18" s="430">
        <v>11552.48354598</v>
      </c>
      <c r="AQ18" s="429">
        <v>3118.4840414320001</v>
      </c>
      <c r="AR18" s="429">
        <v>5937.4134108007083</v>
      </c>
      <c r="AS18" s="429">
        <v>12102.989374992139</v>
      </c>
      <c r="AT18" s="428">
        <v>21067.200000000001</v>
      </c>
      <c r="AU18" s="428">
        <v>52807.799999999974</v>
      </c>
      <c r="AV18" s="433"/>
      <c r="AW18" s="428">
        <v>701825.15712211072</v>
      </c>
      <c r="AX18" s="428">
        <v>177928.38892222208</v>
      </c>
      <c r="AY18" s="428">
        <v>0</v>
      </c>
      <c r="AZ18" s="431">
        <v>187605.11808624415</v>
      </c>
      <c r="BA18" s="431">
        <v>8112.6537550808298</v>
      </c>
      <c r="BB18" s="431">
        <v>131830.62352006338</v>
      </c>
      <c r="BC18" s="431">
        <v>74949.98651624874</v>
      </c>
      <c r="BD18" s="431">
        <v>3241.0804979999461</v>
      </c>
      <c r="BE18" s="431">
        <v>52667.558092499079</v>
      </c>
      <c r="BF18" s="429">
        <v>40814.447279628403</v>
      </c>
      <c r="BG18" s="429">
        <v>9069.8771732507557</v>
      </c>
      <c r="BH18" s="429">
        <v>32325.76137768383</v>
      </c>
      <c r="BI18" s="429">
        <v>490231.7263293445</v>
      </c>
      <c r="BJ18" s="429">
        <v>873812.12426441861</v>
      </c>
      <c r="BK18" s="429">
        <v>21104.350245960679</v>
      </c>
      <c r="BL18" s="429">
        <v>41817.262195422954</v>
      </c>
      <c r="BM18" s="429">
        <v>17635.820486301407</v>
      </c>
      <c r="BN18" s="429">
        <v>304713.54200748418</v>
      </c>
      <c r="BO18" s="429">
        <v>198591.7725383823</v>
      </c>
      <c r="BP18" s="428">
        <v>10532.805542425303</v>
      </c>
      <c r="BQ18" s="428">
        <v>81454.753071745101</v>
      </c>
      <c r="BR18" s="428">
        <v>12052.044549322391</v>
      </c>
      <c r="BS18" s="428">
        <v>62599.58030667781</v>
      </c>
      <c r="BT18" s="428">
        <v>0</v>
      </c>
      <c r="BU18" s="428">
        <v>0</v>
      </c>
      <c r="BV18" s="431"/>
      <c r="BW18" s="432">
        <v>9.3416200609661618E-2</v>
      </c>
      <c r="BX18" s="432">
        <v>59.490093548309815</v>
      </c>
      <c r="BY18" s="429">
        <v>92728.250756830224</v>
      </c>
      <c r="BZ18" s="429">
        <v>2.9682353978276086</v>
      </c>
      <c r="CA18" s="429">
        <v>52.607929077890688</v>
      </c>
      <c r="CB18" s="431">
        <v>5.1759742570494707</v>
      </c>
      <c r="CC18" s="429">
        <v>5981.6955345621418</v>
      </c>
      <c r="CD18" s="429">
        <v>422.74370428853001</v>
      </c>
      <c r="CE18" s="429">
        <v>99.322648495778779</v>
      </c>
      <c r="CF18" s="429">
        <v>2883.0602082479409</v>
      </c>
      <c r="CG18" s="333"/>
      <c r="CH18" s="429">
        <v>4013.4962340612933</v>
      </c>
      <c r="CI18" s="430">
        <v>98927.020439999993</v>
      </c>
      <c r="CJ18" s="430">
        <v>3870.9790830614716</v>
      </c>
      <c r="CK18" s="430">
        <v>9643.7560645800004</v>
      </c>
      <c r="CL18" s="429">
        <v>4205.4677371042717</v>
      </c>
      <c r="CM18" s="429">
        <v>4823.4092419407134</v>
      </c>
      <c r="CN18" s="429">
        <v>10095.064457926403</v>
      </c>
      <c r="CO18" s="428">
        <v>26675.366666666661</v>
      </c>
      <c r="CP18" s="428">
        <v>83616.3</v>
      </c>
      <c r="CQ18" s="420">
        <f t="shared" si="0"/>
        <v>4086791.0433858805</v>
      </c>
      <c r="CR18" s="420">
        <f t="shared" si="1"/>
        <v>3883022.7023067637</v>
      </c>
    </row>
    <row r="19" spans="1:96" hidden="1">
      <c r="A19" s="434" t="s">
        <v>819</v>
      </c>
      <c r="B19" s="428">
        <v>1501781.2134229997</v>
      </c>
      <c r="C19" s="428">
        <v>765186.26909999992</v>
      </c>
      <c r="D19" s="428">
        <v>0</v>
      </c>
      <c r="E19" s="428">
        <v>58455.66851038827</v>
      </c>
      <c r="F19" s="428">
        <v>2114.3539673970222</v>
      </c>
      <c r="G19" s="428">
        <v>37312.128836418022</v>
      </c>
      <c r="H19" s="428">
        <v>35632.998559072927</v>
      </c>
      <c r="I19" s="428">
        <v>1288.8531393707228</v>
      </c>
      <c r="J19" s="428">
        <v>22744.467165365688</v>
      </c>
      <c r="K19" s="429">
        <v>58966.018948725301</v>
      </c>
      <c r="L19" s="429">
        <v>13103.559766383398</v>
      </c>
      <c r="M19" s="429">
        <v>13713.92893049331</v>
      </c>
      <c r="N19" s="429">
        <v>1673727.5100170798</v>
      </c>
      <c r="O19" s="429">
        <v>8181334.1153217228</v>
      </c>
      <c r="P19" s="429">
        <v>32487.240008165663</v>
      </c>
      <c r="Q19" s="429">
        <v>76920.20985167347</v>
      </c>
      <c r="R19" s="429">
        <v>92037.922342207341</v>
      </c>
      <c r="S19" s="429">
        <v>495401.81275896402</v>
      </c>
      <c r="T19" s="429">
        <v>319049.53142764035</v>
      </c>
      <c r="U19" s="428">
        <v>5791.0094952748177</v>
      </c>
      <c r="V19" s="428">
        <v>22231.80911531407</v>
      </c>
      <c r="W19" s="428">
        <v>39713.11415398313</v>
      </c>
      <c r="X19" s="428">
        <v>246816.28442130127</v>
      </c>
      <c r="Y19" s="428">
        <v>0</v>
      </c>
      <c r="Z19" s="428">
        <v>0</v>
      </c>
      <c r="AA19" s="429">
        <v>0.35461806223812253</v>
      </c>
      <c r="AB19" s="429"/>
      <c r="AC19" s="429">
        <v>217.49181004094066</v>
      </c>
      <c r="AD19" s="429">
        <v>581400.40540975798</v>
      </c>
      <c r="AE19" s="429"/>
      <c r="AF19" s="429">
        <v>57.624857655866556</v>
      </c>
      <c r="AG19" s="429"/>
      <c r="AH19" s="429">
        <v>13579.694824190781</v>
      </c>
      <c r="AI19" s="429">
        <v>1385.292198195001</v>
      </c>
      <c r="AJ19" s="429">
        <v>231.00658911007292</v>
      </c>
      <c r="AK19" s="429">
        <v>9022.5455518188937</v>
      </c>
      <c r="AL19" s="333"/>
      <c r="AM19" s="429">
        <v>27123.01207842166</v>
      </c>
      <c r="AN19" s="430">
        <v>160830.01440000001</v>
      </c>
      <c r="AO19" s="430">
        <v>69041.043500349537</v>
      </c>
      <c r="AP19" s="430">
        <v>29028.470936400001</v>
      </c>
      <c r="AQ19" s="429">
        <v>20930.612416507687</v>
      </c>
      <c r="AR19" s="429">
        <v>14919.219053360628</v>
      </c>
      <c r="AS19" s="429">
        <v>623523.01841818052</v>
      </c>
      <c r="AT19" s="428">
        <v>38848.6849138486</v>
      </c>
      <c r="AU19" s="428">
        <v>171338.62779633858</v>
      </c>
      <c r="AV19" s="433"/>
      <c r="AW19" s="428">
        <v>944825.66133188899</v>
      </c>
      <c r="AX19" s="428">
        <v>727858.98343333334</v>
      </c>
      <c r="AY19" s="428">
        <v>0</v>
      </c>
      <c r="AZ19" s="428">
        <v>322799.98337418144</v>
      </c>
      <c r="BA19" s="428">
        <v>11675.744079491667</v>
      </c>
      <c r="BB19" s="428">
        <v>206042.54257926467</v>
      </c>
      <c r="BC19" s="428">
        <v>465362.17348205828</v>
      </c>
      <c r="BD19" s="428">
        <v>16832.248828074444</v>
      </c>
      <c r="BE19" s="428">
        <v>297039.68520131358</v>
      </c>
      <c r="BF19" s="429">
        <v>116706.48393289672</v>
      </c>
      <c r="BG19" s="429">
        <v>25934.774207310376</v>
      </c>
      <c r="BH19" s="429">
        <v>29116.359077513422</v>
      </c>
      <c r="BI19" s="429">
        <v>1466756.3054690142</v>
      </c>
      <c r="BJ19" s="429">
        <v>6071754.4736681059</v>
      </c>
      <c r="BK19" s="429">
        <v>16336.577930407468</v>
      </c>
      <c r="BL19" s="429">
        <v>64258.821787155335</v>
      </c>
      <c r="BM19" s="429">
        <v>75493.773921100597</v>
      </c>
      <c r="BN19" s="429">
        <v>438910.22058455407</v>
      </c>
      <c r="BO19" s="429">
        <v>286836.24976074358</v>
      </c>
      <c r="BP19" s="428">
        <v>8031.8367174199338</v>
      </c>
      <c r="BQ19" s="428">
        <v>30834.392672425922</v>
      </c>
      <c r="BR19" s="428">
        <v>60752.253149547054</v>
      </c>
      <c r="BS19" s="428">
        <v>361876.32934379153</v>
      </c>
      <c r="BT19" s="428">
        <v>0</v>
      </c>
      <c r="BU19" s="428">
        <v>0</v>
      </c>
      <c r="BV19" s="431">
        <v>0.11362322774719544</v>
      </c>
      <c r="BW19" s="432"/>
      <c r="BX19" s="432">
        <v>155.35286982576716</v>
      </c>
      <c r="BY19" s="429">
        <v>579484.17478171596</v>
      </c>
      <c r="BZ19" s="429"/>
      <c r="CA19" s="429">
        <v>46.040912817826701</v>
      </c>
      <c r="CB19" s="431"/>
      <c r="CC19" s="429">
        <v>12028.235609751395</v>
      </c>
      <c r="CD19" s="429">
        <v>1227.0246985637123</v>
      </c>
      <c r="CE19" s="429">
        <v>195.31378570283181</v>
      </c>
      <c r="CF19" s="429">
        <v>8233.9073676665357</v>
      </c>
      <c r="CG19" s="333"/>
      <c r="CH19" s="429">
        <v>24602.224418089343</v>
      </c>
      <c r="CI19" s="430">
        <v>126881.28137128611</v>
      </c>
      <c r="CJ19" s="430">
        <v>54377.692016265471</v>
      </c>
      <c r="CK19" s="430">
        <v>26352.088002240002</v>
      </c>
      <c r="CL19" s="429">
        <v>47817.401405942925</v>
      </c>
      <c r="CM19" s="429">
        <v>13180.22811477813</v>
      </c>
      <c r="CN19" s="429">
        <v>565573.36569461145</v>
      </c>
      <c r="CO19" s="428">
        <v>49288.409090954898</v>
      </c>
      <c r="CP19" s="428">
        <v>228689.3203536892</v>
      </c>
      <c r="CQ19" s="420">
        <f t="shared" si="0"/>
        <v>15457287.13863218</v>
      </c>
      <c r="CR19" s="420">
        <f t="shared" si="1"/>
        <v>13784168.048648721</v>
      </c>
    </row>
    <row r="20" spans="1:96" hidden="1">
      <c r="A20" s="434" t="s">
        <v>818</v>
      </c>
      <c r="B20" s="428">
        <v>302234.09578599996</v>
      </c>
      <c r="C20" s="428">
        <v>159485.97159999996</v>
      </c>
      <c r="D20" s="428">
        <v>0</v>
      </c>
      <c r="E20" s="428">
        <v>6686.9067854873938</v>
      </c>
      <c r="F20" s="428">
        <v>275.5816129776623</v>
      </c>
      <c r="G20" s="428">
        <v>5268.4720128082472</v>
      </c>
      <c r="H20" s="428">
        <v>2469.6721351821488</v>
      </c>
      <c r="I20" s="428">
        <v>101.78042738932493</v>
      </c>
      <c r="J20" s="428">
        <v>1945.8022883253288</v>
      </c>
      <c r="K20" s="429">
        <v>0</v>
      </c>
      <c r="L20" s="429">
        <v>0</v>
      </c>
      <c r="M20" s="429">
        <v>14239.745652773567</v>
      </c>
      <c r="N20" s="429">
        <v>341539.59776144172</v>
      </c>
      <c r="O20" s="429">
        <v>53540.553488504367</v>
      </c>
      <c r="P20" s="429"/>
      <c r="Q20" s="429">
        <v>627.59724931731898</v>
      </c>
      <c r="R20" s="429">
        <v>11393.413696031932</v>
      </c>
      <c r="S20" s="429">
        <v>7107698.6421965919</v>
      </c>
      <c r="T20" s="429">
        <v>312819.1606324286</v>
      </c>
      <c r="U20" s="428">
        <v>78357.084374587765</v>
      </c>
      <c r="V20" s="428">
        <v>78.637225527557007</v>
      </c>
      <c r="W20" s="428">
        <v>14640.597081993446</v>
      </c>
      <c r="X20" s="428">
        <v>24383.223144300813</v>
      </c>
      <c r="Y20" s="428">
        <v>12.095999999999998</v>
      </c>
      <c r="Z20" s="428">
        <v>0</v>
      </c>
      <c r="AA20" s="429"/>
      <c r="AB20" s="429"/>
      <c r="AC20" s="429">
        <v>152.13880206236325</v>
      </c>
      <c r="AD20" s="429"/>
      <c r="AE20" s="429"/>
      <c r="AF20" s="429"/>
      <c r="AG20" s="429"/>
      <c r="AH20" s="333"/>
      <c r="AI20" s="429">
        <v>5034.885845520228</v>
      </c>
      <c r="AJ20" s="430"/>
      <c r="AK20" s="429">
        <v>4037.486728867555</v>
      </c>
      <c r="AL20" s="333"/>
      <c r="AM20" s="429">
        <v>25630.892439765019</v>
      </c>
      <c r="AN20" s="430">
        <v>69025.050600000017</v>
      </c>
      <c r="AO20" s="430">
        <v>42528.623848337767</v>
      </c>
      <c r="AP20" s="430">
        <v>16611.258229800002</v>
      </c>
      <c r="AQ20" s="429">
        <v>8738.1777144155949</v>
      </c>
      <c r="AR20" s="429">
        <v>8537.3770056749745</v>
      </c>
      <c r="AS20" s="429">
        <v>136985.51790631501</v>
      </c>
      <c r="AT20" s="428">
        <v>34647.86328464777</v>
      </c>
      <c r="AU20" s="428">
        <v>70545.252033045224</v>
      </c>
      <c r="AV20" s="433"/>
      <c r="AW20" s="428">
        <v>269373.28428044444</v>
      </c>
      <c r="AX20" s="428">
        <v>193207.38582222219</v>
      </c>
      <c r="AY20" s="428">
        <v>0</v>
      </c>
      <c r="AZ20" s="428">
        <v>79149.96195879436</v>
      </c>
      <c r="BA20" s="428">
        <v>3261.9378261806169</v>
      </c>
      <c r="BB20" s="428">
        <v>62360.576088747039</v>
      </c>
      <c r="BC20" s="428">
        <v>31714.932763664663</v>
      </c>
      <c r="BD20" s="428">
        <v>1307.0396532904224</v>
      </c>
      <c r="BE20" s="428">
        <v>24987.522783493354</v>
      </c>
      <c r="BF20" s="429">
        <v>0</v>
      </c>
      <c r="BG20" s="429">
        <v>0</v>
      </c>
      <c r="BH20" s="429">
        <v>30669.091883362256</v>
      </c>
      <c r="BI20" s="429">
        <v>325344.71068755863</v>
      </c>
      <c r="BJ20" s="429">
        <v>9204.2356900040686</v>
      </c>
      <c r="BK20" s="429"/>
      <c r="BL20" s="429">
        <v>572.22372039300717</v>
      </c>
      <c r="BM20" s="429">
        <v>9366.4389656478852</v>
      </c>
      <c r="BN20" s="429">
        <v>7157269.0994696133</v>
      </c>
      <c r="BO20" s="429">
        <v>318179.50843751611</v>
      </c>
      <c r="BP20" s="428">
        <v>103005.77492497872</v>
      </c>
      <c r="BQ20" s="428">
        <v>103.37403973192423</v>
      </c>
      <c r="BR20" s="428">
        <v>14929.781078944296</v>
      </c>
      <c r="BS20" s="428">
        <v>29020.422143035048</v>
      </c>
      <c r="BT20" s="428">
        <v>11.535999999999998</v>
      </c>
      <c r="BU20" s="428">
        <v>0</v>
      </c>
      <c r="BV20" s="431"/>
      <c r="BW20" s="432"/>
      <c r="BX20" s="432">
        <v>172.63488787148952</v>
      </c>
      <c r="BY20" s="429"/>
      <c r="BZ20" s="429"/>
      <c r="CA20" s="429"/>
      <c r="CB20" s="431"/>
      <c r="CC20" s="333"/>
      <c r="CD20" s="429">
        <v>5209.6006864218716</v>
      </c>
      <c r="CE20" s="430"/>
      <c r="CF20" s="429">
        <v>4304.1846338957221</v>
      </c>
      <c r="CG20" s="333"/>
      <c r="CH20" s="429">
        <v>27229.539498680962</v>
      </c>
      <c r="CI20" s="430">
        <v>72116.933482776396</v>
      </c>
      <c r="CJ20" s="430">
        <v>30907.257206904178</v>
      </c>
      <c r="CK20" s="430">
        <v>17661.741000420003</v>
      </c>
      <c r="CL20" s="429">
        <v>8780.8251271329282</v>
      </c>
      <c r="CM20" s="429">
        <v>8833.6747839441759</v>
      </c>
      <c r="CN20" s="429">
        <v>145529.56278612785</v>
      </c>
      <c r="CO20" s="428">
        <v>37348.927037348752</v>
      </c>
      <c r="CP20" s="428">
        <v>85383.56329788352</v>
      </c>
      <c r="CQ20" s="420">
        <f t="shared" si="0"/>
        <v>8860273.1555901207</v>
      </c>
      <c r="CR20" s="420">
        <f t="shared" si="1"/>
        <v>9106517.2826470304</v>
      </c>
    </row>
    <row r="21" spans="1:96" hidden="1">
      <c r="A21" s="434" t="s">
        <v>817</v>
      </c>
      <c r="B21" s="428">
        <v>6284368.9904510006</v>
      </c>
      <c r="C21" s="428">
        <v>1680226.5240000002</v>
      </c>
      <c r="D21" s="428">
        <v>0</v>
      </c>
      <c r="E21" s="428">
        <v>597988.20584470395</v>
      </c>
      <c r="F21" s="428">
        <v>28036.824077309113</v>
      </c>
      <c r="G21" s="428">
        <v>343653.23848438129</v>
      </c>
      <c r="H21" s="428">
        <v>125838.71617367899</v>
      </c>
      <c r="I21" s="428">
        <v>5899.9791517495496</v>
      </c>
      <c r="J21" s="428">
        <v>76701.101540841846</v>
      </c>
      <c r="K21" s="429">
        <v>9125.3194051389673</v>
      </c>
      <c r="L21" s="429">
        <v>2281.3298512847387</v>
      </c>
      <c r="M21" s="429">
        <v>0</v>
      </c>
      <c r="N21" s="429">
        <v>845524.7517125851</v>
      </c>
      <c r="O21" s="429">
        <v>5000224.0084216902</v>
      </c>
      <c r="P21" s="429">
        <v>43721.671084912865</v>
      </c>
      <c r="Q21" s="429">
        <v>1400986.5363087887</v>
      </c>
      <c r="R21" s="429">
        <v>100223.74505446572</v>
      </c>
      <c r="S21" s="429">
        <v>10732852.599852378</v>
      </c>
      <c r="T21" s="429">
        <v>1283390.2870605488</v>
      </c>
      <c r="U21" s="428">
        <v>31057.197045762055</v>
      </c>
      <c r="V21" s="428">
        <v>21367.571279497915</v>
      </c>
      <c r="W21" s="428">
        <v>111669.60280866359</v>
      </c>
      <c r="X21" s="428">
        <v>745783.10861338954</v>
      </c>
      <c r="Y21" s="428">
        <v>25132.610197810376</v>
      </c>
      <c r="Z21" s="428">
        <v>18749.055568016109</v>
      </c>
      <c r="AA21" s="429">
        <v>140.78635677555823</v>
      </c>
      <c r="AB21" s="429">
        <v>3.0497051105356232</v>
      </c>
      <c r="AC21" s="429">
        <v>694.63699849330214</v>
      </c>
      <c r="AD21" s="429">
        <v>388091.97367624543</v>
      </c>
      <c r="AE21" s="429">
        <v>137.99473445711425</v>
      </c>
      <c r="AF21" s="429">
        <v>89.777936274613438</v>
      </c>
      <c r="AG21" s="429">
        <v>243.50931719159502</v>
      </c>
      <c r="AH21" s="429">
        <v>40093.205291417769</v>
      </c>
      <c r="AI21" s="429">
        <v>21548.461408807256</v>
      </c>
      <c r="AJ21" s="429">
        <v>7036.7041983627059</v>
      </c>
      <c r="AK21" s="429">
        <v>68703.893357932189</v>
      </c>
      <c r="AL21" s="333"/>
      <c r="AM21" s="429">
        <v>103251.35629248423</v>
      </c>
      <c r="AN21" s="430">
        <v>721560.40730741143</v>
      </c>
      <c r="AO21" s="430">
        <v>481040.2715382743</v>
      </c>
      <c r="AP21" s="430">
        <v>180188.44621517998</v>
      </c>
      <c r="AQ21" s="429">
        <v>318939.39794540027</v>
      </c>
      <c r="AR21" s="429">
        <v>92608.07797485558</v>
      </c>
      <c r="AS21" s="429">
        <v>3024434.6589727611</v>
      </c>
      <c r="AT21" s="428">
        <v>395854.3338749992</v>
      </c>
      <c r="AU21" s="428">
        <v>1090910.4067500003</v>
      </c>
      <c r="AV21" s="433"/>
      <c r="AW21" s="428">
        <v>4783470.8994458895</v>
      </c>
      <c r="AX21" s="428">
        <v>1527397.5115555557</v>
      </c>
      <c r="AY21" s="428">
        <v>0</v>
      </c>
      <c r="AZ21" s="428">
        <v>1683483.3314072788</v>
      </c>
      <c r="BA21" s="428">
        <v>78930.529964341375</v>
      </c>
      <c r="BB21" s="428">
        <v>1037417.6795649792</v>
      </c>
      <c r="BC21" s="428">
        <v>1571988.6928012525</v>
      </c>
      <c r="BD21" s="428">
        <v>73703.076416583441</v>
      </c>
      <c r="BE21" s="428">
        <v>1011013.870361476</v>
      </c>
      <c r="BF21" s="429">
        <v>4760.0732162771565</v>
      </c>
      <c r="BG21" s="429">
        <v>1190.0183040692946</v>
      </c>
      <c r="BH21" s="429">
        <v>0</v>
      </c>
      <c r="BI21" s="429">
        <v>440405.40950510371</v>
      </c>
      <c r="BJ21" s="429">
        <v>1575687.8000488875</v>
      </c>
      <c r="BK21" s="429">
        <v>173.27709024500166</v>
      </c>
      <c r="BL21" s="429">
        <v>1360769.3345963806</v>
      </c>
      <c r="BM21" s="429">
        <v>57490.709182630555</v>
      </c>
      <c r="BN21" s="429">
        <v>10381609.630816745</v>
      </c>
      <c r="BO21" s="429">
        <v>1217152.7856898666</v>
      </c>
      <c r="BP21" s="428">
        <v>14736.349210641018</v>
      </c>
      <c r="BQ21" s="428">
        <v>10138.712508214325</v>
      </c>
      <c r="BR21" s="428">
        <v>90607.732896326255</v>
      </c>
      <c r="BS21" s="428">
        <v>493908.31384605577</v>
      </c>
      <c r="BT21" s="428">
        <v>23969.063429393231</v>
      </c>
      <c r="BU21" s="428">
        <v>18749.055568016109</v>
      </c>
      <c r="BV21" s="431">
        <v>133.70877293826263</v>
      </c>
      <c r="BW21" s="432">
        <v>3.1371243823496573</v>
      </c>
      <c r="BX21" s="432">
        <v>651.85076777377537</v>
      </c>
      <c r="BY21" s="429">
        <v>92035.239542778043</v>
      </c>
      <c r="BZ21" s="429">
        <v>140.33133988071611</v>
      </c>
      <c r="CA21" s="429">
        <v>0.70886211204332406</v>
      </c>
      <c r="CB21" s="431">
        <v>247.5529949372152</v>
      </c>
      <c r="CC21" s="429">
        <v>35772.725434436899</v>
      </c>
      <c r="CD21" s="429">
        <v>19226.379829422774</v>
      </c>
      <c r="CE21" s="429">
        <v>5993.0397793845459</v>
      </c>
      <c r="CF21" s="429">
        <v>63157.884875329757</v>
      </c>
      <c r="CG21" s="333"/>
      <c r="CH21" s="429">
        <v>94218.151087682883</v>
      </c>
      <c r="CI21" s="430">
        <v>667785.61571609182</v>
      </c>
      <c r="CJ21" s="430">
        <v>286193.83530689642</v>
      </c>
      <c r="CK21" s="430">
        <v>164558.44175496002</v>
      </c>
      <c r="CL21" s="429">
        <v>732935.87465912208</v>
      </c>
      <c r="CM21" s="429">
        <v>82305.349024276162</v>
      </c>
      <c r="CN21" s="429">
        <v>2759834.368148271</v>
      </c>
      <c r="CO21" s="428">
        <v>457656.94012499828</v>
      </c>
      <c r="CP21" s="428">
        <v>1430423.4250833332</v>
      </c>
      <c r="CQ21" s="420">
        <f t="shared" si="0"/>
        <v>36450374.323841035</v>
      </c>
      <c r="CR21" s="420">
        <f t="shared" si="1"/>
        <v>34352028.417655222</v>
      </c>
    </row>
    <row r="22" spans="1:96" hidden="1">
      <c r="A22" s="434" t="s">
        <v>815</v>
      </c>
      <c r="B22" s="428">
        <v>514246.09382300003</v>
      </c>
      <c r="C22" s="428">
        <v>424434.71749999997</v>
      </c>
      <c r="D22" s="428">
        <v>0</v>
      </c>
      <c r="E22" s="431">
        <v>18405.735645593781</v>
      </c>
      <c r="F22" s="431">
        <v>795.9237035932448</v>
      </c>
      <c r="G22" s="431">
        <v>12933.760183390221</v>
      </c>
      <c r="H22" s="431">
        <v>1117.8245934099748</v>
      </c>
      <c r="I22" s="431">
        <v>48.33836079610704</v>
      </c>
      <c r="J22" s="429">
        <v>785.498362936739</v>
      </c>
      <c r="K22" s="429">
        <v>74274.095754082737</v>
      </c>
      <c r="L22" s="429">
        <v>16505.354612018382</v>
      </c>
      <c r="M22" s="429">
        <v>7264.1627514289412</v>
      </c>
      <c r="N22" s="429">
        <v>1024961.3401580709</v>
      </c>
      <c r="O22" s="429">
        <v>1229300.0260300708</v>
      </c>
      <c r="P22" s="429">
        <v>18502.543152548918</v>
      </c>
      <c r="Q22" s="429">
        <v>5050.8967948259515</v>
      </c>
      <c r="R22" s="429">
        <v>30656.357022802949</v>
      </c>
      <c r="S22" s="429">
        <v>931576.18098043336</v>
      </c>
      <c r="T22" s="429">
        <v>106624.62206241941</v>
      </c>
      <c r="U22" s="428">
        <v>68490.870950340803</v>
      </c>
      <c r="V22" s="428">
        <v>55020.654818256036</v>
      </c>
      <c r="W22" s="428">
        <v>33682.168258107355</v>
      </c>
      <c r="X22" s="428">
        <v>219182.37553330336</v>
      </c>
      <c r="Y22" s="428">
        <v>0</v>
      </c>
      <c r="Z22" s="428">
        <v>0</v>
      </c>
      <c r="AA22" s="429"/>
      <c r="AB22" s="429"/>
      <c r="AC22" s="429">
        <v>96.469621645440768</v>
      </c>
      <c r="AD22" s="429"/>
      <c r="AE22" s="429"/>
      <c r="AF22" s="429">
        <v>34.080676233650586</v>
      </c>
      <c r="AG22" s="429"/>
      <c r="AH22" s="429">
        <v>6907.3945968899552</v>
      </c>
      <c r="AI22" s="429">
        <v>1472.5390291782051</v>
      </c>
      <c r="AJ22" s="429">
        <v>12.700049858962942</v>
      </c>
      <c r="AK22" s="429">
        <v>3259.6081355784595</v>
      </c>
      <c r="AL22" s="333"/>
      <c r="AM22" s="429">
        <v>5024.1109695294299</v>
      </c>
      <c r="AN22" s="430">
        <v>77060.545760000023</v>
      </c>
      <c r="AO22" s="430">
        <v>11951.581097921246</v>
      </c>
      <c r="AP22" s="430">
        <v>7772.5553544600007</v>
      </c>
      <c r="AQ22" s="429">
        <v>2531.412661548286</v>
      </c>
      <c r="AR22" s="429">
        <v>3994.7145749296833</v>
      </c>
      <c r="AS22" s="429">
        <v>25519.81496519535</v>
      </c>
      <c r="AT22" s="428">
        <v>21537.371625000003</v>
      </c>
      <c r="AU22" s="428">
        <v>87444.565875000029</v>
      </c>
      <c r="AV22" s="433"/>
      <c r="AW22" s="428">
        <v>0</v>
      </c>
      <c r="AX22" s="428">
        <v>403301.83650000003</v>
      </c>
      <c r="AY22" s="428">
        <v>0</v>
      </c>
      <c r="AZ22" s="431">
        <v>73280.18397544077</v>
      </c>
      <c r="BA22" s="431">
        <v>3168.8728205596012</v>
      </c>
      <c r="BB22" s="431">
        <v>51494.183334093475</v>
      </c>
      <c r="BC22" s="431">
        <v>14682.032714601999</v>
      </c>
      <c r="BD22" s="431">
        <v>634.89871198278934</v>
      </c>
      <c r="BE22" s="431">
        <v>10317.104069720317</v>
      </c>
      <c r="BF22" s="429">
        <v>161039.04995448375</v>
      </c>
      <c r="BG22" s="429">
        <v>35786.455545440833</v>
      </c>
      <c r="BH22" s="429">
        <v>16399.53913239426</v>
      </c>
      <c r="BI22" s="429">
        <v>901829.05760125932</v>
      </c>
      <c r="BJ22" s="429">
        <v>1853480.9679630962</v>
      </c>
      <c r="BK22" s="429">
        <v>27737.057633613789</v>
      </c>
      <c r="BL22" s="429">
        <v>4511.1329798117549</v>
      </c>
      <c r="BM22" s="429">
        <v>26741.730452504824</v>
      </c>
      <c r="BN22" s="429">
        <v>688539.22783317452</v>
      </c>
      <c r="BO22" s="429">
        <v>89814.955107463466</v>
      </c>
      <c r="BP22" s="428">
        <v>80269.570981218887</v>
      </c>
      <c r="BQ22" s="428">
        <v>64482.81787173231</v>
      </c>
      <c r="BR22" s="428">
        <v>44824.723126653895</v>
      </c>
      <c r="BS22" s="428">
        <v>275891.75055161829</v>
      </c>
      <c r="BT22" s="428">
        <v>0</v>
      </c>
      <c r="BU22" s="428">
        <v>0</v>
      </c>
      <c r="BV22" s="431"/>
      <c r="BW22" s="432"/>
      <c r="BX22" s="432">
        <v>84.303611674597477</v>
      </c>
      <c r="BY22" s="429"/>
      <c r="BZ22" s="429"/>
      <c r="CA22" s="429">
        <v>75.18855888052363</v>
      </c>
      <c r="CB22" s="431"/>
      <c r="CC22" s="429">
        <v>5255.9415158570937</v>
      </c>
      <c r="CD22" s="429">
        <v>1120.4773244983519</v>
      </c>
      <c r="CE22" s="429">
        <v>9.2244036168130492</v>
      </c>
      <c r="CF22" s="429">
        <v>2555.4455270188168</v>
      </c>
      <c r="CG22" s="333"/>
      <c r="CH22" s="429">
        <v>3925.1395608531111</v>
      </c>
      <c r="CI22" s="430">
        <v>52336.74672000001</v>
      </c>
      <c r="CJ22" s="430">
        <v>8117.0833486378824</v>
      </c>
      <c r="CK22" s="430">
        <v>6077.3481601800013</v>
      </c>
      <c r="CL22" s="429">
        <v>2727.5419603148925</v>
      </c>
      <c r="CM22" s="429">
        <v>3039.6390250856325</v>
      </c>
      <c r="CN22" s="429">
        <v>19937.623972290876</v>
      </c>
      <c r="CO22" s="428">
        <v>28224.500791666665</v>
      </c>
      <c r="CP22" s="428">
        <v>124180.35337499999</v>
      </c>
      <c r="CQ22" s="420">
        <f t="shared" si="0"/>
        <v>5048479.0060443981</v>
      </c>
      <c r="CR22" s="420">
        <f t="shared" si="1"/>
        <v>5085893.7067164397</v>
      </c>
    </row>
    <row r="23" spans="1:96" hidden="1">
      <c r="A23" s="434" t="s">
        <v>814</v>
      </c>
      <c r="B23" s="428">
        <v>636036.71087300044</v>
      </c>
      <c r="C23" s="428">
        <v>1027332.3987000001</v>
      </c>
      <c r="D23" s="428">
        <v>0</v>
      </c>
      <c r="E23" s="431">
        <v>3209.0032227164947</v>
      </c>
      <c r="F23" s="431">
        <v>138.76770692828089</v>
      </c>
      <c r="G23" s="431">
        <v>2254.9752375845633</v>
      </c>
      <c r="H23" s="431">
        <v>977.55506709727501</v>
      </c>
      <c r="I23" s="431">
        <v>42.272651550152453</v>
      </c>
      <c r="J23" s="429">
        <v>686.93058768997696</v>
      </c>
      <c r="K23" s="429">
        <v>66881.338114234793</v>
      </c>
      <c r="L23" s="429">
        <v>14862.519580941062</v>
      </c>
      <c r="M23" s="429">
        <v>4902.1290682544723</v>
      </c>
      <c r="N23" s="429">
        <v>741484.23032428487</v>
      </c>
      <c r="O23" s="429">
        <v>492585.87266075937</v>
      </c>
      <c r="P23" s="429"/>
      <c r="Q23" s="429">
        <v>2595.6390418700212</v>
      </c>
      <c r="R23" s="429">
        <v>16531.064139118902</v>
      </c>
      <c r="S23" s="429">
        <v>88011.24462409252</v>
      </c>
      <c r="T23" s="429">
        <v>96424.890661795303</v>
      </c>
      <c r="U23" s="428">
        <v>244477.92295876023</v>
      </c>
      <c r="V23" s="428">
        <v>79121.756161582118</v>
      </c>
      <c r="W23" s="428">
        <v>94831.734708794305</v>
      </c>
      <c r="X23" s="428">
        <v>136868.62355700231</v>
      </c>
      <c r="Y23" s="428">
        <v>0</v>
      </c>
      <c r="Z23" s="428">
        <v>0</v>
      </c>
      <c r="AA23" s="429"/>
      <c r="AB23" s="429"/>
      <c r="AC23" s="429">
        <v>74.667576874604578</v>
      </c>
      <c r="AD23" s="429"/>
      <c r="AE23" s="429"/>
      <c r="AF23" s="429"/>
      <c r="AG23" s="429"/>
      <c r="AH23" s="430"/>
      <c r="AI23" s="429">
        <v>740.38710331006246</v>
      </c>
      <c r="AJ23" s="430"/>
      <c r="AK23" s="429">
        <v>2122.5992975091949</v>
      </c>
      <c r="AL23" s="333"/>
      <c r="AM23" s="429">
        <v>1922.3443998330301</v>
      </c>
      <c r="AN23" s="430">
        <v>19332.339216811863</v>
      </c>
      <c r="AO23" s="430">
        <v>12888.226144541242</v>
      </c>
      <c r="AP23" s="430">
        <v>5168.7591337200001</v>
      </c>
      <c r="AQ23" s="429">
        <v>1814.9091549761051</v>
      </c>
      <c r="AR23" s="429">
        <v>2656.4902408735193</v>
      </c>
      <c r="AS23" s="429">
        <v>10601.491928116811</v>
      </c>
      <c r="AT23" s="428">
        <v>18461.779875</v>
      </c>
      <c r="AU23" s="428">
        <v>76956.397949999257</v>
      </c>
      <c r="AV23" s="433"/>
      <c r="AW23" s="428">
        <v>286324.11406966764</v>
      </c>
      <c r="AX23" s="428">
        <v>1061684.7487000001</v>
      </c>
      <c r="AY23" s="428">
        <v>0</v>
      </c>
      <c r="AZ23" s="431">
        <v>17543.14698976366</v>
      </c>
      <c r="BA23" s="431">
        <v>758.62257253032055</v>
      </c>
      <c r="BB23" s="431">
        <v>12327.616803617699</v>
      </c>
      <c r="BC23" s="431">
        <v>12927.350756027614</v>
      </c>
      <c r="BD23" s="431">
        <v>559.02057323362669</v>
      </c>
      <c r="BE23" s="431">
        <v>9084.0843150464261</v>
      </c>
      <c r="BF23" s="429">
        <v>141427.25822243697</v>
      </c>
      <c r="BG23" s="429">
        <v>31428.279604985994</v>
      </c>
      <c r="BH23" s="429">
        <v>11133.819481524253</v>
      </c>
      <c r="BI23" s="429">
        <v>839411.43655225169</v>
      </c>
      <c r="BJ23" s="429">
        <v>176042.36977420733</v>
      </c>
      <c r="BK23" s="429"/>
      <c r="BL23" s="429">
        <v>3126.7944683524338</v>
      </c>
      <c r="BM23" s="429">
        <v>15090.221152690669</v>
      </c>
      <c r="BN23" s="429">
        <v>73109.896813319632</v>
      </c>
      <c r="BO23" s="429">
        <v>82383.919999172314</v>
      </c>
      <c r="BP23" s="428">
        <v>316145.89651518239</v>
      </c>
      <c r="BQ23" s="428">
        <v>102316.06286911454</v>
      </c>
      <c r="BR23" s="428">
        <v>145252.55588809444</v>
      </c>
      <c r="BS23" s="428">
        <v>196102.22150591604</v>
      </c>
      <c r="BT23" s="428">
        <v>0</v>
      </c>
      <c r="BU23" s="428">
        <v>0</v>
      </c>
      <c r="BV23" s="431"/>
      <c r="BW23" s="432"/>
      <c r="BX23" s="432">
        <v>0</v>
      </c>
      <c r="BY23" s="429"/>
      <c r="BZ23" s="429"/>
      <c r="CA23" s="429"/>
      <c r="CB23" s="431"/>
      <c r="CC23" s="430"/>
      <c r="CD23" s="429">
        <v>552.79444657683371</v>
      </c>
      <c r="CE23" s="430"/>
      <c r="CF23" s="429">
        <v>1632.8181510135319</v>
      </c>
      <c r="CG23" s="333"/>
      <c r="CH23" s="429">
        <v>1473.6544001537925</v>
      </c>
      <c r="CI23" s="430">
        <v>15030.53391619821</v>
      </c>
      <c r="CJ23" s="430">
        <v>6441.657392656376</v>
      </c>
      <c r="CK23" s="430">
        <v>3965.5657621800001</v>
      </c>
      <c r="CL23" s="429">
        <v>1887.5248152424579</v>
      </c>
      <c r="CM23" s="429">
        <v>1983.4125229561907</v>
      </c>
      <c r="CN23" s="429">
        <v>8127.0219995029101</v>
      </c>
      <c r="CO23" s="428">
        <v>23621.293208333336</v>
      </c>
      <c r="CP23" s="428">
        <v>105300.21791666522</v>
      </c>
      <c r="CQ23" s="420">
        <f t="shared" si="0"/>
        <v>3902997.9716696232</v>
      </c>
      <c r="CR23" s="420">
        <f t="shared" si="1"/>
        <v>3704195.9321586145</v>
      </c>
    </row>
    <row r="24" spans="1:96" hidden="1">
      <c r="A24" s="434" t="s">
        <v>811</v>
      </c>
      <c r="B24" s="428">
        <v>0</v>
      </c>
      <c r="C24" s="428">
        <v>0</v>
      </c>
      <c r="D24" s="428">
        <v>0</v>
      </c>
      <c r="E24" s="431">
        <v>338.40872584313206</v>
      </c>
      <c r="F24" s="431">
        <v>15.866376326415724</v>
      </c>
      <c r="G24" s="431">
        <v>0</v>
      </c>
      <c r="H24" s="431">
        <v>82.360223652072293</v>
      </c>
      <c r="I24" s="431">
        <v>3.8614793384414279</v>
      </c>
      <c r="J24" s="429">
        <v>0</v>
      </c>
      <c r="K24" s="429">
        <v>0</v>
      </c>
      <c r="L24" s="429">
        <v>0</v>
      </c>
      <c r="M24" s="429">
        <v>0</v>
      </c>
      <c r="N24" s="429">
        <v>331.2634341530237</v>
      </c>
      <c r="O24" s="429"/>
      <c r="P24" s="429"/>
      <c r="Q24" s="429">
        <v>443.41370576574178</v>
      </c>
      <c r="R24" s="429">
        <v>31.922230892103101</v>
      </c>
      <c r="S24" s="429"/>
      <c r="T24" s="429"/>
      <c r="U24" s="428">
        <v>0</v>
      </c>
      <c r="V24" s="428">
        <v>0</v>
      </c>
      <c r="W24" s="428">
        <v>0</v>
      </c>
      <c r="X24" s="428">
        <v>4478.0896690200016</v>
      </c>
      <c r="Y24" s="428">
        <v>0</v>
      </c>
      <c r="Z24" s="428">
        <v>0</v>
      </c>
      <c r="AA24" s="429"/>
      <c r="AB24" s="429"/>
      <c r="AC24" s="429">
        <v>4.4771846195538103</v>
      </c>
      <c r="AD24" s="429"/>
      <c r="AE24" s="429"/>
      <c r="AF24" s="429"/>
      <c r="AG24" s="429"/>
      <c r="AH24" s="429">
        <v>2015.9675095457762</v>
      </c>
      <c r="AI24" s="333"/>
      <c r="AJ24" s="430"/>
      <c r="AK24" s="429">
        <v>934.16278966389541</v>
      </c>
      <c r="AL24" s="333"/>
      <c r="AM24" s="429">
        <v>397.26838263425464</v>
      </c>
      <c r="AN24" s="430"/>
      <c r="AO24" s="430"/>
      <c r="AP24" s="430"/>
      <c r="AQ24" s="429">
        <v>812.86517352584383</v>
      </c>
      <c r="AR24" s="429">
        <v>860.13097357638526</v>
      </c>
      <c r="AS24" s="429">
        <v>6896.9295019083393</v>
      </c>
      <c r="AT24" s="428">
        <v>1611.3116249999998</v>
      </c>
      <c r="AU24" s="428">
        <v>5933.8758749999997</v>
      </c>
      <c r="AV24" s="433"/>
      <c r="AW24" s="428">
        <v>0</v>
      </c>
      <c r="AX24" s="428">
        <v>0</v>
      </c>
      <c r="AY24" s="428">
        <v>0</v>
      </c>
      <c r="AZ24" s="431">
        <v>1035.5792352566941</v>
      </c>
      <c r="BA24" s="431">
        <v>48.553387095641803</v>
      </c>
      <c r="BB24" s="431">
        <v>0</v>
      </c>
      <c r="BC24" s="431">
        <v>52248.486229254304</v>
      </c>
      <c r="BD24" s="431">
        <v>2449.6831248470089</v>
      </c>
      <c r="BE24" s="431">
        <v>0</v>
      </c>
      <c r="BF24" s="429">
        <v>0</v>
      </c>
      <c r="BG24" s="429">
        <v>0</v>
      </c>
      <c r="BH24" s="429">
        <v>0</v>
      </c>
      <c r="BI24" s="429">
        <v>320.53187599461643</v>
      </c>
      <c r="BJ24" s="429"/>
      <c r="BK24" s="429"/>
      <c r="BL24" s="429">
        <v>239.53970150007689</v>
      </c>
      <c r="BM24" s="429">
        <v>26.761791763321977</v>
      </c>
      <c r="BN24" s="429"/>
      <c r="BO24" s="429"/>
      <c r="BP24" s="428">
        <v>0</v>
      </c>
      <c r="BQ24" s="428">
        <v>0</v>
      </c>
      <c r="BR24" s="428">
        <v>0</v>
      </c>
      <c r="BS24" s="428">
        <v>4478.0896690200016</v>
      </c>
      <c r="BT24" s="428">
        <v>0</v>
      </c>
      <c r="BU24" s="428">
        <v>0</v>
      </c>
      <c r="BV24" s="431"/>
      <c r="BW24" s="432"/>
      <c r="BX24" s="432">
        <v>5.0619568009288409</v>
      </c>
      <c r="BY24" s="429"/>
      <c r="BZ24" s="429"/>
      <c r="CA24" s="429"/>
      <c r="CB24" s="431"/>
      <c r="CC24" s="429">
        <v>1706.2984405569664</v>
      </c>
      <c r="CD24" s="333"/>
      <c r="CE24" s="430"/>
      <c r="CF24" s="429">
        <v>1015.1229882918134</v>
      </c>
      <c r="CG24" s="333"/>
      <c r="CH24" s="429">
        <v>430.20429904577878</v>
      </c>
      <c r="CI24" s="430"/>
      <c r="CJ24" s="430"/>
      <c r="CK24" s="430"/>
      <c r="CL24" s="429">
        <v>1056.8056747241044</v>
      </c>
      <c r="CM24" s="429">
        <v>907.18468224557137</v>
      </c>
      <c r="CN24" s="429">
        <v>7468.7260593508681</v>
      </c>
      <c r="CO24" s="428">
        <v>1969.746625</v>
      </c>
      <c r="CP24" s="428">
        <v>7902.9408750000002</v>
      </c>
      <c r="CQ24" s="420">
        <f t="shared" si="0"/>
        <v>25192.174860464977</v>
      </c>
      <c r="CR24" s="420">
        <f t="shared" si="1"/>
        <v>83309.31661574771</v>
      </c>
    </row>
    <row r="25" spans="1:96" hidden="1">
      <c r="A25" s="434" t="s">
        <v>810</v>
      </c>
      <c r="B25" s="428">
        <v>304963.96135500004</v>
      </c>
      <c r="C25" s="428">
        <v>24766.417300000008</v>
      </c>
      <c r="D25" s="428">
        <v>0</v>
      </c>
      <c r="E25" s="428">
        <v>16558.876108236116</v>
      </c>
      <c r="F25" s="428">
        <v>711.61060409235745</v>
      </c>
      <c r="G25" s="428">
        <v>12754.545288959765</v>
      </c>
      <c r="H25" s="428">
        <v>8954.9874557637795</v>
      </c>
      <c r="I25" s="428">
        <v>381.95109744404965</v>
      </c>
      <c r="J25" s="428">
        <v>6926.4739724760402</v>
      </c>
      <c r="K25" s="429">
        <v>0</v>
      </c>
      <c r="L25" s="429">
        <v>0</v>
      </c>
      <c r="M25" s="429">
        <v>28561.598966842888</v>
      </c>
      <c r="N25" s="429">
        <v>286029.1231516432</v>
      </c>
      <c r="O25" s="429">
        <v>82063.423743293984</v>
      </c>
      <c r="P25" s="429">
        <v>80557.749930148202</v>
      </c>
      <c r="Q25" s="429">
        <v>6657.8967883775385</v>
      </c>
      <c r="R25" s="429">
        <v>15413.935987276103</v>
      </c>
      <c r="S25" s="429">
        <v>10649721.787177866</v>
      </c>
      <c r="T25" s="429">
        <v>170610.41879790515</v>
      </c>
      <c r="U25" s="428">
        <v>8723.1102651425481</v>
      </c>
      <c r="V25" s="428">
        <v>4358.8849138758987</v>
      </c>
      <c r="W25" s="428">
        <v>376.07762467964</v>
      </c>
      <c r="X25" s="428">
        <v>174053.19471521981</v>
      </c>
      <c r="Y25" s="428">
        <v>3041.5975508802239</v>
      </c>
      <c r="Z25" s="428">
        <v>0</v>
      </c>
      <c r="AA25" s="429"/>
      <c r="AB25" s="429"/>
      <c r="AC25" s="429">
        <v>482.01031231553731</v>
      </c>
      <c r="AD25" s="429"/>
      <c r="AE25" s="429"/>
      <c r="AF25" s="429">
        <v>279.49502639999071</v>
      </c>
      <c r="AG25" s="429"/>
      <c r="AH25" s="429">
        <v>5565.5434814363516</v>
      </c>
      <c r="AI25" s="429">
        <v>16056.459870114179</v>
      </c>
      <c r="AJ25" s="429">
        <v>48.490356060109562</v>
      </c>
      <c r="AK25" s="429">
        <v>25326.164581737401</v>
      </c>
      <c r="AL25" s="333">
        <v>40000</v>
      </c>
      <c r="AM25" s="429">
        <v>72877.709276171678</v>
      </c>
      <c r="AN25" s="430">
        <v>2711773.4778200006</v>
      </c>
      <c r="AO25" s="430">
        <v>116126.99933819375</v>
      </c>
      <c r="AP25" s="430">
        <v>50748.134917740004</v>
      </c>
      <c r="AQ25" s="429">
        <v>51415.249255046117</v>
      </c>
      <c r="AR25" s="429">
        <v>26082.067603425672</v>
      </c>
      <c r="AS25" s="429">
        <v>328908.72186292527</v>
      </c>
      <c r="AT25" s="428">
        <v>68166.456613667091</v>
      </c>
      <c r="AU25" s="428">
        <v>423523.8435529524</v>
      </c>
      <c r="AV25" s="433"/>
      <c r="AW25" s="428">
        <v>262460.7832827777</v>
      </c>
      <c r="AX25" s="428">
        <v>23824.722633333335</v>
      </c>
      <c r="AY25" s="428">
        <v>0</v>
      </c>
      <c r="AZ25" s="428">
        <v>53633.430564099108</v>
      </c>
      <c r="BA25" s="428">
        <v>2301.1674109497858</v>
      </c>
      <c r="BB25" s="428">
        <v>41348.442567421072</v>
      </c>
      <c r="BC25" s="428">
        <v>210677.97503721569</v>
      </c>
      <c r="BD25" s="428">
        <v>9015.561710155609</v>
      </c>
      <c r="BE25" s="428">
        <v>162657.95294310275</v>
      </c>
      <c r="BF25" s="429">
        <v>0</v>
      </c>
      <c r="BG25" s="429">
        <v>0</v>
      </c>
      <c r="BH25" s="429">
        <v>60642.545755223626</v>
      </c>
      <c r="BI25" s="429">
        <v>258283.67399070476</v>
      </c>
      <c r="BJ25" s="429">
        <v>44082.035492871881</v>
      </c>
      <c r="BK25" s="429">
        <v>55605.125009953692</v>
      </c>
      <c r="BL25" s="429">
        <v>7959.6127912042866</v>
      </c>
      <c r="BM25" s="429">
        <v>12291.167330426595</v>
      </c>
      <c r="BN25" s="429">
        <v>10061227.749248708</v>
      </c>
      <c r="BO25" s="429">
        <v>178717.37934271523</v>
      </c>
      <c r="BP25" s="428">
        <v>9520.970369839044</v>
      </c>
      <c r="BQ25" s="428">
        <v>4757.570734418844</v>
      </c>
      <c r="BR25" s="428">
        <v>376.07762467964</v>
      </c>
      <c r="BS25" s="428">
        <v>182354.77795930856</v>
      </c>
      <c r="BT25" s="428">
        <v>2900.7828494505834</v>
      </c>
      <c r="BU25" s="428">
        <v>0</v>
      </c>
      <c r="BV25" s="431"/>
      <c r="BW25" s="432"/>
      <c r="BX25" s="432">
        <v>404.79291227765322</v>
      </c>
      <c r="BY25" s="429"/>
      <c r="BZ25" s="429"/>
      <c r="CA25" s="429">
        <v>263.58145561774256</v>
      </c>
      <c r="CB25" s="431"/>
      <c r="CC25" s="429">
        <v>4710.6305623777225</v>
      </c>
      <c r="CD25" s="429">
        <v>14897.983682847625</v>
      </c>
      <c r="CE25" s="429">
        <v>42.946688586452566</v>
      </c>
      <c r="CF25" s="429">
        <v>24210.964896938633</v>
      </c>
      <c r="CG25" s="333">
        <v>101905.95429855629</v>
      </c>
      <c r="CH25" s="429">
        <v>69256.435099048758</v>
      </c>
      <c r="CI25" s="430">
        <v>2240255.7028800007</v>
      </c>
      <c r="CJ25" s="430">
        <v>95935.067826855869</v>
      </c>
      <c r="CK25" s="430">
        <v>48265.845582240014</v>
      </c>
      <c r="CL25" s="429">
        <v>64836.997069088582</v>
      </c>
      <c r="CM25" s="429">
        <v>24140.586312268864</v>
      </c>
      <c r="CN25" s="429">
        <v>312565.33411182114</v>
      </c>
      <c r="CO25" s="428">
        <v>70005.751609988525</v>
      </c>
      <c r="CP25" s="428">
        <v>445885.79850822868</v>
      </c>
      <c r="CQ25" s="420">
        <f t="shared" si="0"/>
        <v>15823568.446663309</v>
      </c>
      <c r="CR25" s="420">
        <f t="shared" si="1"/>
        <v>15162223.878145302</v>
      </c>
    </row>
    <row r="26" spans="1:96" hidden="1">
      <c r="A26" s="434" t="s">
        <v>808</v>
      </c>
      <c r="B26" s="428">
        <v>3720215.6434160005</v>
      </c>
      <c r="C26" s="428">
        <v>1733417.0691999998</v>
      </c>
      <c r="D26" s="428">
        <v>0</v>
      </c>
      <c r="E26" s="428">
        <v>117185.59656723496</v>
      </c>
      <c r="F26" s="428">
        <v>5067.4852569615141</v>
      </c>
      <c r="G26" s="428">
        <v>82346.635425624525</v>
      </c>
      <c r="H26" s="428">
        <v>35749.905392253866</v>
      </c>
      <c r="I26" s="428">
        <v>1545.9418548001679</v>
      </c>
      <c r="J26" s="428">
        <v>25121.555140502714</v>
      </c>
      <c r="K26" s="429">
        <v>371991.7743252879</v>
      </c>
      <c r="L26" s="429">
        <v>82664.838738952851</v>
      </c>
      <c r="M26" s="429">
        <v>39314.741222848301</v>
      </c>
      <c r="N26" s="429">
        <v>5739359.7508774316</v>
      </c>
      <c r="O26" s="429">
        <v>8262370.6378235882</v>
      </c>
      <c r="P26" s="429">
        <v>336548.57979720668</v>
      </c>
      <c r="Q26" s="429">
        <v>306970.85608853085</v>
      </c>
      <c r="R26" s="429">
        <v>195763.55774686404</v>
      </c>
      <c r="S26" s="429">
        <v>6127234.6264411807</v>
      </c>
      <c r="T26" s="429">
        <v>1732372.3964653148</v>
      </c>
      <c r="U26" s="428">
        <v>404176.08896593173</v>
      </c>
      <c r="V26" s="428">
        <v>64806.224560010822</v>
      </c>
      <c r="W26" s="428">
        <v>241576.05892331453</v>
      </c>
      <c r="X26" s="428">
        <v>1468390.0271897141</v>
      </c>
      <c r="Y26" s="428">
        <v>107762.37708108732</v>
      </c>
      <c r="Z26" s="428">
        <v>661874.05837015796</v>
      </c>
      <c r="AA26" s="429"/>
      <c r="AB26" s="429"/>
      <c r="AC26" s="429">
        <v>1110.0319653952968</v>
      </c>
      <c r="AD26" s="429"/>
      <c r="AE26" s="429"/>
      <c r="AF26" s="429">
        <v>694.30376507563994</v>
      </c>
      <c r="AG26" s="429"/>
      <c r="AH26" s="429">
        <v>67015.59752093858</v>
      </c>
      <c r="AI26" s="429">
        <v>13827.054011337254</v>
      </c>
      <c r="AJ26" s="429">
        <v>181.85004700949111</v>
      </c>
      <c r="AK26" s="429">
        <v>46313.086618989626</v>
      </c>
      <c r="AL26" s="333"/>
      <c r="AM26" s="429">
        <v>126555.55471046218</v>
      </c>
      <c r="AN26" s="430">
        <v>767745.43033433217</v>
      </c>
      <c r="AO26" s="430">
        <v>511830.28688955493</v>
      </c>
      <c r="AP26" s="430">
        <v>111715.02783246002</v>
      </c>
      <c r="AQ26" s="429">
        <v>89819.217283486476</v>
      </c>
      <c r="AR26" s="429">
        <v>57416.078698613244</v>
      </c>
      <c r="AS26" s="429">
        <v>289524.67222108896</v>
      </c>
      <c r="AT26" s="428">
        <v>271312.61795737478</v>
      </c>
      <c r="AU26" s="428">
        <v>1324652.8788506866</v>
      </c>
      <c r="AV26" s="433"/>
      <c r="AW26" s="428">
        <v>2091400.6754286671</v>
      </c>
      <c r="AX26" s="428">
        <v>1586864.4732000001</v>
      </c>
      <c r="AY26" s="428">
        <v>0</v>
      </c>
      <c r="AZ26" s="428">
        <v>1126216.5788761366</v>
      </c>
      <c r="BA26" s="428">
        <v>48701.257464914037</v>
      </c>
      <c r="BB26" s="428">
        <v>791395.43380485242</v>
      </c>
      <c r="BC26" s="428">
        <v>466745.40098078648</v>
      </c>
      <c r="BD26" s="428">
        <v>20183.584907277254</v>
      </c>
      <c r="BE26" s="428">
        <v>327983.25474325509</v>
      </c>
      <c r="BF26" s="429">
        <v>759171.96313947882</v>
      </c>
      <c r="BG26" s="429">
        <v>168704.88069766198</v>
      </c>
      <c r="BH26" s="429">
        <v>83468.186775910275</v>
      </c>
      <c r="BI26" s="429">
        <v>5184607.9023422543</v>
      </c>
      <c r="BJ26" s="429">
        <v>7831342.1559360176</v>
      </c>
      <c r="BK26" s="429">
        <v>267278.58338210412</v>
      </c>
      <c r="BL26" s="429">
        <v>392391.35416756745</v>
      </c>
      <c r="BM26" s="429">
        <v>160614.30898129553</v>
      </c>
      <c r="BN26" s="429">
        <v>5273509.7105664723</v>
      </c>
      <c r="BO26" s="429">
        <v>1579921.0959292627</v>
      </c>
      <c r="BP26" s="428">
        <v>605141.89240950882</v>
      </c>
      <c r="BQ26" s="428">
        <v>97029.394961229729</v>
      </c>
      <c r="BR26" s="428">
        <v>285822.07335627289</v>
      </c>
      <c r="BS26" s="428">
        <v>2014890.6210401524</v>
      </c>
      <c r="BT26" s="428">
        <v>102773.37814214799</v>
      </c>
      <c r="BU26" s="428">
        <v>661874.05837015796</v>
      </c>
      <c r="BV26" s="431"/>
      <c r="BW26" s="432"/>
      <c r="BX26" s="432">
        <v>840.97918741609158</v>
      </c>
      <c r="BY26" s="429"/>
      <c r="BZ26" s="429"/>
      <c r="CA26" s="429">
        <v>873.78829994466764</v>
      </c>
      <c r="CB26" s="431"/>
      <c r="CC26" s="429">
        <v>62180.411276182931</v>
      </c>
      <c r="CD26" s="429">
        <v>11716.411330484993</v>
      </c>
      <c r="CE26" s="429">
        <v>147.0872344606891</v>
      </c>
      <c r="CF26" s="429">
        <v>40432.784800213311</v>
      </c>
      <c r="CG26" s="333"/>
      <c r="CH26" s="429">
        <v>109727.74531268225</v>
      </c>
      <c r="CI26" s="430">
        <v>675115.43375888374</v>
      </c>
      <c r="CJ26" s="430">
        <v>289335.18589666451</v>
      </c>
      <c r="CK26" s="430">
        <v>96939.607134480029</v>
      </c>
      <c r="CL26" s="429">
        <v>186254.32473939235</v>
      </c>
      <c r="CM26" s="429">
        <v>48485.195377338343</v>
      </c>
      <c r="CN26" s="429">
        <v>251027.2233241389</v>
      </c>
      <c r="CO26" s="428">
        <v>362206.3694422539</v>
      </c>
      <c r="CP26" s="428">
        <v>1823978.2928520278</v>
      </c>
      <c r="CQ26" s="420">
        <f t="shared" si="0"/>
        <v>35543540.115577608</v>
      </c>
      <c r="CR26" s="420">
        <f t="shared" si="1"/>
        <v>35887293.059569955</v>
      </c>
    </row>
    <row r="27" spans="1:96" hidden="1">
      <c r="A27" s="434" t="s">
        <v>807</v>
      </c>
      <c r="B27" s="428">
        <v>4109205.6625339999</v>
      </c>
      <c r="C27" s="428">
        <v>2254773.0001000003</v>
      </c>
      <c r="D27" s="428">
        <v>0</v>
      </c>
      <c r="E27" s="428">
        <v>38409.277260335162</v>
      </c>
      <c r="F27" s="428">
        <v>1465.5443972646606</v>
      </c>
      <c r="G27" s="428">
        <v>17464.653661639517</v>
      </c>
      <c r="H27" s="428">
        <v>30598.446780716949</v>
      </c>
      <c r="I27" s="428">
        <v>1235.5174288879655</v>
      </c>
      <c r="J27" s="428">
        <v>9519.1698143310241</v>
      </c>
      <c r="K27" s="429">
        <v>0</v>
      </c>
      <c r="L27" s="429">
        <v>0</v>
      </c>
      <c r="M27" s="429">
        <v>1198.9200137211565</v>
      </c>
      <c r="N27" s="429">
        <v>48072.750779049697</v>
      </c>
      <c r="O27" s="429">
        <v>284318.9180983972</v>
      </c>
      <c r="P27" s="429">
        <v>467.70572141278456</v>
      </c>
      <c r="Q27" s="429">
        <v>571402.75292948773</v>
      </c>
      <c r="R27" s="429">
        <v>5790.837392797509</v>
      </c>
      <c r="S27" s="429">
        <v>727749.08139493759</v>
      </c>
      <c r="T27" s="429">
        <v>217943.93961491645</v>
      </c>
      <c r="U27" s="428">
        <v>36748.19170747172</v>
      </c>
      <c r="V27" s="428">
        <v>6807.4915415843316</v>
      </c>
      <c r="W27" s="428">
        <v>31770.765198431109</v>
      </c>
      <c r="X27" s="428">
        <v>190616.43513106008</v>
      </c>
      <c r="Y27" s="428">
        <v>259611.44194944002</v>
      </c>
      <c r="Z27" s="428">
        <v>1802857.2357600001</v>
      </c>
      <c r="AA27" s="429">
        <v>10.304359132396316</v>
      </c>
      <c r="AB27" s="429">
        <v>0.60581588296080502</v>
      </c>
      <c r="AC27" s="429">
        <v>113.20456694309435</v>
      </c>
      <c r="AD27" s="429">
        <v>19869.795957618342</v>
      </c>
      <c r="AE27" s="429">
        <v>30.686785122461828</v>
      </c>
      <c r="AF27" s="429">
        <v>0.5323969439932591</v>
      </c>
      <c r="AG27" s="429">
        <v>54.311663790453402</v>
      </c>
      <c r="AH27" s="429">
        <v>9795.2180120780431</v>
      </c>
      <c r="AI27" s="429">
        <v>1354.0864712484863</v>
      </c>
      <c r="AJ27" s="429">
        <v>773.6677349955778</v>
      </c>
      <c r="AK27" s="429">
        <v>8463.6052372450285</v>
      </c>
      <c r="AL27" s="333"/>
      <c r="AM27" s="429">
        <v>23806.160819331901</v>
      </c>
      <c r="AN27" s="430">
        <v>50732.177760000006</v>
      </c>
      <c r="AO27" s="430">
        <v>32937.496084117462</v>
      </c>
      <c r="AP27" s="430">
        <v>28996.32209994</v>
      </c>
      <c r="AQ27" s="429">
        <v>27288.347879553778</v>
      </c>
      <c r="AR27" s="429">
        <v>14902.696118531978</v>
      </c>
      <c r="AS27" s="429">
        <v>486999.4609129586</v>
      </c>
      <c r="AT27" s="428">
        <v>44767.493869124053</v>
      </c>
      <c r="AU27" s="428">
        <v>195785.24231022623</v>
      </c>
      <c r="AV27" s="433"/>
      <c r="AW27" s="428">
        <v>3689077.4042017781</v>
      </c>
      <c r="AX27" s="428">
        <v>2047168.4905444444</v>
      </c>
      <c r="AY27" s="428">
        <v>0</v>
      </c>
      <c r="AZ27" s="428">
        <v>135332.2878599003</v>
      </c>
      <c r="BA27" s="428">
        <v>5213.6250262636167</v>
      </c>
      <c r="BB27" s="428">
        <v>59819.013573996825</v>
      </c>
      <c r="BC27" s="428">
        <v>441500.69260115811</v>
      </c>
      <c r="BD27" s="428">
        <v>18062.922554580891</v>
      </c>
      <c r="BE27" s="428">
        <v>158804.81460141696</v>
      </c>
      <c r="BF27" s="429">
        <v>0</v>
      </c>
      <c r="BG27" s="429">
        <v>0</v>
      </c>
      <c r="BH27" s="429">
        <v>2525.9523798142218</v>
      </c>
      <c r="BI27" s="429">
        <v>94065.438661877182</v>
      </c>
      <c r="BJ27" s="429">
        <v>50669.06802067034</v>
      </c>
      <c r="BK27" s="429">
        <v>1.4594159856878925</v>
      </c>
      <c r="BL27" s="429">
        <v>571129.72491172026</v>
      </c>
      <c r="BM27" s="429">
        <v>3865.6897142093808</v>
      </c>
      <c r="BN27" s="429">
        <v>769778.45687552704</v>
      </c>
      <c r="BO27" s="429">
        <v>215574.99118143014</v>
      </c>
      <c r="BP27" s="428">
        <v>28621.173380930319</v>
      </c>
      <c r="BQ27" s="428">
        <v>5301.985938570333</v>
      </c>
      <c r="BR27" s="428">
        <v>28328.141796865009</v>
      </c>
      <c r="BS27" s="428">
        <v>159686.39714267282</v>
      </c>
      <c r="BT27" s="428">
        <v>247592.39371103994</v>
      </c>
      <c r="BU27" s="428">
        <v>1802857.2357600001</v>
      </c>
      <c r="BV27" s="431">
        <v>2.3645635256817941</v>
      </c>
      <c r="BW27" s="432">
        <v>0.56716167103311599</v>
      </c>
      <c r="BX27" s="432">
        <v>93.927674419620317</v>
      </c>
      <c r="BY27" s="429">
        <v>3488.0053874042806</v>
      </c>
      <c r="BZ27" s="429">
        <v>36.992472645194539</v>
      </c>
      <c r="CA27" s="429">
        <v>2.7703237679545969E-3</v>
      </c>
      <c r="CB27" s="431">
        <v>65.834681177583661</v>
      </c>
      <c r="CC27" s="429">
        <v>9907.1918424501982</v>
      </c>
      <c r="CD27" s="429">
        <v>1165.527298036817</v>
      </c>
      <c r="CE27" s="429">
        <v>635.66331725816895</v>
      </c>
      <c r="CF27" s="429">
        <v>7505.7902943659119</v>
      </c>
      <c r="CG27" s="333"/>
      <c r="CH27" s="429">
        <v>20854.538303012727</v>
      </c>
      <c r="CI27" s="430">
        <v>44602.1809667903</v>
      </c>
      <c r="CJ27" s="430">
        <v>19115.220414338703</v>
      </c>
      <c r="CK27" s="430">
        <v>25421.931571080007</v>
      </c>
      <c r="CL27" s="429">
        <v>44539.357850328946</v>
      </c>
      <c r="CM27" s="429">
        <v>12715.002211461679</v>
      </c>
      <c r="CN27" s="429">
        <v>426618.51225118589</v>
      </c>
      <c r="CO27" s="428">
        <v>52275.088890905696</v>
      </c>
      <c r="CP27" s="428">
        <v>237028.2643129997</v>
      </c>
      <c r="CQ27" s="420">
        <f t="shared" si="0"/>
        <v>11594709.156064665</v>
      </c>
      <c r="CR27" s="420">
        <f t="shared" si="1"/>
        <v>11441049.324090229</v>
      </c>
    </row>
    <row r="28" spans="1:96" hidden="1">
      <c r="A28" s="434" t="s">
        <v>806</v>
      </c>
      <c r="B28" s="428">
        <v>1672589.1595400001</v>
      </c>
      <c r="C28" s="428">
        <v>1805169.3952000004</v>
      </c>
      <c r="D28" s="428">
        <v>0</v>
      </c>
      <c r="E28" s="428">
        <v>108086.87333705738</v>
      </c>
      <c r="F28" s="428">
        <v>4674.0269551159954</v>
      </c>
      <c r="G28" s="428">
        <v>75952.938020634901</v>
      </c>
      <c r="H28" s="428">
        <v>35940.229160514216</v>
      </c>
      <c r="I28" s="428">
        <v>1554.172071806021</v>
      </c>
      <c r="J28" s="428">
        <v>25255.296166847824</v>
      </c>
      <c r="K28" s="429">
        <v>45355.584707825474</v>
      </c>
      <c r="L28" s="429">
        <v>10079.018823961213</v>
      </c>
      <c r="M28" s="429">
        <v>11350.464171260723</v>
      </c>
      <c r="N28" s="429">
        <v>2959947.0936937118</v>
      </c>
      <c r="O28" s="429">
        <v>13038763.773173084</v>
      </c>
      <c r="P28" s="429">
        <v>48883.465309675572</v>
      </c>
      <c r="Q28" s="429">
        <v>132885.38549096099</v>
      </c>
      <c r="R28" s="429">
        <v>117247.24481592611</v>
      </c>
      <c r="S28" s="429">
        <v>2475534.9640736869</v>
      </c>
      <c r="T28" s="429">
        <v>468849.84185471799</v>
      </c>
      <c r="U28" s="428">
        <v>297035.16865370935</v>
      </c>
      <c r="V28" s="428">
        <v>177697.68532428029</v>
      </c>
      <c r="W28" s="428">
        <v>269674.4836237444</v>
      </c>
      <c r="X28" s="428">
        <v>682589.42544601462</v>
      </c>
      <c r="Y28" s="428">
        <v>0</v>
      </c>
      <c r="Z28" s="428">
        <v>0</v>
      </c>
      <c r="AA28" s="429">
        <v>3.5589864620387957</v>
      </c>
      <c r="AB28" s="429"/>
      <c r="AC28" s="429">
        <v>315.57781071787269</v>
      </c>
      <c r="AD28" s="429">
        <v>1127771.1259795132</v>
      </c>
      <c r="AE28" s="429"/>
      <c r="AF28" s="429">
        <v>63.068485739060144</v>
      </c>
      <c r="AG28" s="429"/>
      <c r="AH28" s="429">
        <v>92446.110532541468</v>
      </c>
      <c r="AI28" s="429">
        <v>1453.1916016535686</v>
      </c>
      <c r="AJ28" s="429">
        <v>313.40609721703277</v>
      </c>
      <c r="AK28" s="429">
        <v>37598.282486844175</v>
      </c>
      <c r="AL28" s="333"/>
      <c r="AM28" s="429">
        <v>20943.713977831863</v>
      </c>
      <c r="AN28" s="430">
        <v>202133.97798000003</v>
      </c>
      <c r="AO28" s="430">
        <v>24921.753792093805</v>
      </c>
      <c r="AP28" s="430">
        <v>48644.654021340008</v>
      </c>
      <c r="AQ28" s="429">
        <v>48747.794019901492</v>
      </c>
      <c r="AR28" s="429">
        <v>25000.980957948967</v>
      </c>
      <c r="AS28" s="429">
        <v>92629.886421341827</v>
      </c>
      <c r="AT28" s="428">
        <v>128715.65450371492</v>
      </c>
      <c r="AU28" s="428">
        <v>571161.6586961617</v>
      </c>
      <c r="AV28" s="433"/>
      <c r="AW28" s="428">
        <v>191256.98840877783</v>
      </c>
      <c r="AX28" s="428">
        <v>1649291.0136444448</v>
      </c>
      <c r="AY28" s="428">
        <v>0</v>
      </c>
      <c r="AZ28" s="428">
        <v>776204.69039368606</v>
      </c>
      <c r="BA28" s="428">
        <v>33565.608233240484</v>
      </c>
      <c r="BB28" s="428">
        <v>545441.13379015739</v>
      </c>
      <c r="BC28" s="428">
        <v>512653.61059083464</v>
      </c>
      <c r="BD28" s="428">
        <v>22168.804782306368</v>
      </c>
      <c r="BE28" s="428">
        <v>360243.07771247817</v>
      </c>
      <c r="BF28" s="429">
        <v>79746.344658595102</v>
      </c>
      <c r="BG28" s="429">
        <v>17721.409924132244</v>
      </c>
      <c r="BH28" s="429">
        <v>24097.710973033907</v>
      </c>
      <c r="BI28" s="429">
        <v>2613655.1163447844</v>
      </c>
      <c r="BJ28" s="429">
        <v>10780524.753371596</v>
      </c>
      <c r="BK28" s="429">
        <v>41889.067068209297</v>
      </c>
      <c r="BL28" s="429">
        <v>110465.85422838613</v>
      </c>
      <c r="BM28" s="429">
        <v>102350.7242205927</v>
      </c>
      <c r="BN28" s="429">
        <v>2301786.7236384056</v>
      </c>
      <c r="BO28" s="429">
        <v>526172.33162664319</v>
      </c>
      <c r="BP28" s="428">
        <v>417852.34618807712</v>
      </c>
      <c r="BQ28" s="428">
        <v>249975.0957486963</v>
      </c>
      <c r="BR28" s="428">
        <v>412311.64016651578</v>
      </c>
      <c r="BS28" s="428">
        <v>1005887.7090136532</v>
      </c>
      <c r="BT28" s="428">
        <v>0</v>
      </c>
      <c r="BU28" s="428">
        <v>0</v>
      </c>
      <c r="BV28" s="431">
        <v>1.5676029312547772</v>
      </c>
      <c r="BW28" s="432"/>
      <c r="BX28" s="432">
        <v>277.82828659324502</v>
      </c>
      <c r="BY28" s="429">
        <v>1027744.6118920706</v>
      </c>
      <c r="BZ28" s="429"/>
      <c r="CA28" s="429">
        <v>83.950368282365062</v>
      </c>
      <c r="CB28" s="431"/>
      <c r="CC28" s="429">
        <v>78334.593617312668</v>
      </c>
      <c r="CD28" s="429">
        <v>1168.9866987447506</v>
      </c>
      <c r="CE28" s="429">
        <v>240.65270380919861</v>
      </c>
      <c r="CF28" s="429">
        <v>31161.594651464049</v>
      </c>
      <c r="CG28" s="333"/>
      <c r="CH28" s="429">
        <v>17235.093147993008</v>
      </c>
      <c r="CI28" s="430">
        <v>144603.23958000002</v>
      </c>
      <c r="CJ28" s="430">
        <v>17828.602446583649</v>
      </c>
      <c r="CK28" s="430">
        <v>40063.55369346001</v>
      </c>
      <c r="CL28" s="429">
        <v>98048.962200782684</v>
      </c>
      <c r="CM28" s="429">
        <v>20038.138030033115</v>
      </c>
      <c r="CN28" s="429">
        <v>76227.393214482334</v>
      </c>
      <c r="CO28" s="428">
        <v>166002.64787433448</v>
      </c>
      <c r="CP28" s="428">
        <v>775997.99890099873</v>
      </c>
      <c r="CQ28" s="420">
        <f t="shared" si="0"/>
        <v>26887980.085965563</v>
      </c>
      <c r="CR28" s="420">
        <f t="shared" si="1"/>
        <v>25270321.169637114</v>
      </c>
    </row>
    <row r="29" spans="1:96" hidden="1">
      <c r="A29" s="434" t="s">
        <v>805</v>
      </c>
      <c r="B29" s="428">
        <v>11148609.415992003</v>
      </c>
      <c r="C29" s="428">
        <v>4330274.2754999995</v>
      </c>
      <c r="D29" s="428">
        <v>3098897.4855999998</v>
      </c>
      <c r="E29" s="428">
        <v>7279.4609320486588</v>
      </c>
      <c r="F29" s="428">
        <v>161.57120770406249</v>
      </c>
      <c r="G29" s="428">
        <v>2423.5681155609382</v>
      </c>
      <c r="H29" s="428">
        <v>4571.8127027401806</v>
      </c>
      <c r="I29" s="428">
        <v>158.16724203965236</v>
      </c>
      <c r="J29" s="428">
        <v>2434.6861972553284</v>
      </c>
      <c r="K29" s="429">
        <v>29553.602287216894</v>
      </c>
      <c r="L29" s="429">
        <v>6567.4671749370855</v>
      </c>
      <c r="M29" s="429">
        <v>1560.2219649885992</v>
      </c>
      <c r="N29" s="429">
        <v>1087311.9495053985</v>
      </c>
      <c r="O29" s="429">
        <v>498845.42293893907</v>
      </c>
      <c r="P29" s="429">
        <v>48397.165171580884</v>
      </c>
      <c r="Q29" s="429">
        <v>4581.9998421731216</v>
      </c>
      <c r="R29" s="429">
        <v>30964.262566700145</v>
      </c>
      <c r="S29" s="429">
        <v>1190919.542909595</v>
      </c>
      <c r="T29" s="429">
        <v>255345.73314239594</v>
      </c>
      <c r="U29" s="428">
        <v>1319043.551105005</v>
      </c>
      <c r="V29" s="428">
        <v>8950.2019038159942</v>
      </c>
      <c r="W29" s="428">
        <v>35307.115739221343</v>
      </c>
      <c r="X29" s="428">
        <v>268812.02200254588</v>
      </c>
      <c r="Y29" s="428">
        <v>1426203.9266995005</v>
      </c>
      <c r="Z29" s="428">
        <v>5875316.7351776306</v>
      </c>
      <c r="AA29" s="429"/>
      <c r="AB29" s="429"/>
      <c r="AC29" s="429">
        <v>182.17761853543979</v>
      </c>
      <c r="AD29" s="429"/>
      <c r="AE29" s="429"/>
      <c r="AF29" s="429">
        <v>107.83424428930499</v>
      </c>
      <c r="AG29" s="429"/>
      <c r="AH29" s="429">
        <v>18777.680415630661</v>
      </c>
      <c r="AI29" s="429">
        <v>1434.3156786966788</v>
      </c>
      <c r="AJ29" s="430"/>
      <c r="AK29" s="429">
        <v>10626.596343420359</v>
      </c>
      <c r="AL29" s="333"/>
      <c r="AM29" s="429">
        <v>16697.84199231923</v>
      </c>
      <c r="AN29" s="430">
        <v>454172.43036000011</v>
      </c>
      <c r="AO29" s="430">
        <v>57568.540588143725</v>
      </c>
      <c r="AP29" s="430">
        <v>33494.883768059997</v>
      </c>
      <c r="AQ29" s="429">
        <v>7969.5594546670172</v>
      </c>
      <c r="AR29" s="429">
        <v>17214.737531211947</v>
      </c>
      <c r="AS29" s="429">
        <v>246754.26913751196</v>
      </c>
      <c r="AT29" s="428">
        <v>60718.523310718498</v>
      </c>
      <c r="AU29" s="428">
        <v>321682.85207168217</v>
      </c>
      <c r="AV29" s="433"/>
      <c r="AW29" s="428">
        <v>11522036.786939779</v>
      </c>
      <c r="AX29" s="428">
        <v>4830353.4767222228</v>
      </c>
      <c r="AY29" s="428">
        <v>3432420.0597111112</v>
      </c>
      <c r="AZ29" s="428">
        <v>39753.821254171162</v>
      </c>
      <c r="BA29" s="428">
        <v>1316.4177413604762</v>
      </c>
      <c r="BB29" s="428">
        <v>19998.003435863116</v>
      </c>
      <c r="BC29" s="428">
        <v>62579.527099969433</v>
      </c>
      <c r="BD29" s="428">
        <v>2161.5978342848202</v>
      </c>
      <c r="BE29" s="428">
        <v>33242.754572713464</v>
      </c>
      <c r="BF29" s="429">
        <v>70408.647701844719</v>
      </c>
      <c r="BG29" s="429">
        <v>15646.366155965492</v>
      </c>
      <c r="BH29" s="429">
        <v>3472.7178506810683</v>
      </c>
      <c r="BI29" s="429">
        <v>1285934.0548997419</v>
      </c>
      <c r="BJ29" s="429">
        <v>50896.226595721302</v>
      </c>
      <c r="BK29" s="429">
        <v>40704.504684397762</v>
      </c>
      <c r="BL29" s="429">
        <v>4915.8224007453719</v>
      </c>
      <c r="BM29" s="429">
        <v>31575.745855357523</v>
      </c>
      <c r="BN29" s="429">
        <v>1254828.1452849235</v>
      </c>
      <c r="BO29" s="429">
        <v>263536.54742542055</v>
      </c>
      <c r="BP29" s="428">
        <v>1295100.1142214816</v>
      </c>
      <c r="BQ29" s="428">
        <v>8787.7367644357964</v>
      </c>
      <c r="BR29" s="428">
        <v>53652.826781893964</v>
      </c>
      <c r="BS29" s="428">
        <v>358797.53308634134</v>
      </c>
      <c r="BT29" s="428">
        <v>1774396.3127434892</v>
      </c>
      <c r="BU29" s="428">
        <v>5875316.7351776306</v>
      </c>
      <c r="BV29" s="431"/>
      <c r="BW29" s="432"/>
      <c r="BX29" s="432">
        <v>201.56333400718378</v>
      </c>
      <c r="BY29" s="429"/>
      <c r="BZ29" s="429"/>
      <c r="CA29" s="429">
        <v>137.99496443685422</v>
      </c>
      <c r="CB29" s="431"/>
      <c r="CC29" s="429">
        <v>16162.851917462674</v>
      </c>
      <c r="CD29" s="429">
        <v>1455.4324176059788</v>
      </c>
      <c r="CE29" s="430"/>
      <c r="CF29" s="429">
        <v>11109.805591132957</v>
      </c>
      <c r="CG29" s="333"/>
      <c r="CH29" s="429">
        <v>17351.075915788326</v>
      </c>
      <c r="CI29" s="430">
        <v>410266.06272000005</v>
      </c>
      <c r="CJ29" s="430">
        <v>52003.197254648607</v>
      </c>
      <c r="CK29" s="430">
        <v>34833.647407680008</v>
      </c>
      <c r="CL29" s="429">
        <v>10759.173454894775</v>
      </c>
      <c r="CM29" s="429">
        <v>17422.354496689077</v>
      </c>
      <c r="CN29" s="429">
        <v>256407.50812705269</v>
      </c>
      <c r="CO29" s="428">
        <v>65917.049982583703</v>
      </c>
      <c r="CP29" s="428">
        <v>350240.99210024031</v>
      </c>
      <c r="CQ29" s="420">
        <f t="shared" si="0"/>
        <v>31929893.606135894</v>
      </c>
      <c r="CR29" s="420">
        <f t="shared" si="1"/>
        <v>33576101.192625768</v>
      </c>
    </row>
    <row r="30" spans="1:96" hidden="1">
      <c r="A30" s="434" t="s">
        <v>804</v>
      </c>
      <c r="B30" s="428">
        <v>954729.64082400023</v>
      </c>
      <c r="C30" s="428">
        <v>350421.3933</v>
      </c>
      <c r="D30" s="428">
        <v>0</v>
      </c>
      <c r="E30" s="431">
        <v>6671.1143542443724</v>
      </c>
      <c r="F30" s="431">
        <v>288.48062072408106</v>
      </c>
      <c r="G30" s="431">
        <v>4687.8100867663152</v>
      </c>
      <c r="H30" s="431">
        <v>5695.5951846970665</v>
      </c>
      <c r="I30" s="431">
        <v>246.29600798690029</v>
      </c>
      <c r="J30" s="429">
        <v>4002.3101297871276</v>
      </c>
      <c r="K30" s="429"/>
      <c r="L30" s="429"/>
      <c r="M30" s="429"/>
      <c r="N30" s="429">
        <v>72883.894302908448</v>
      </c>
      <c r="O30" s="429">
        <v>145397.86179329315</v>
      </c>
      <c r="P30" s="429"/>
      <c r="Q30" s="429">
        <v>12107.773453116713</v>
      </c>
      <c r="R30" s="429">
        <v>2946.5628992980296</v>
      </c>
      <c r="S30" s="429">
        <v>592309.79503476969</v>
      </c>
      <c r="T30" s="429">
        <v>91936.405691066888</v>
      </c>
      <c r="U30" s="428">
        <v>63486.49314297067</v>
      </c>
      <c r="V30" s="428">
        <v>10944.434427848706</v>
      </c>
      <c r="W30" s="428">
        <v>40214.283735299156</v>
      </c>
      <c r="X30" s="428">
        <v>107668.48532985085</v>
      </c>
      <c r="Y30" s="428">
        <v>3727.8287907839981</v>
      </c>
      <c r="Z30" s="428">
        <v>1670.6679360000001</v>
      </c>
      <c r="AA30" s="429"/>
      <c r="AB30" s="429"/>
      <c r="AC30" s="429">
        <v>28.571978690486894</v>
      </c>
      <c r="AD30" s="429">
        <v>10009.461977736513</v>
      </c>
      <c r="AE30" s="429">
        <v>0.18233489141063375</v>
      </c>
      <c r="AF30" s="429"/>
      <c r="AG30" s="429">
        <v>0.33071351436400975</v>
      </c>
      <c r="AH30" s="429">
        <v>38527.086684505848</v>
      </c>
      <c r="AI30" s="429">
        <v>259.35469719574252</v>
      </c>
      <c r="AJ30" s="429">
        <v>39.737964814056511</v>
      </c>
      <c r="AK30" s="429">
        <v>2001.7408687631541</v>
      </c>
      <c r="AL30" s="333"/>
      <c r="AM30" s="429">
        <v>2567.5144435433649</v>
      </c>
      <c r="AN30" s="430">
        <v>36607.77208000001</v>
      </c>
      <c r="AO30" s="430">
        <v>20669.374324392051</v>
      </c>
      <c r="AP30" s="430">
        <v>6356.4825511200006</v>
      </c>
      <c r="AQ30" s="429">
        <v>2531.3416509410999</v>
      </c>
      <c r="AR30" s="429">
        <v>3266.9221812199521</v>
      </c>
      <c r="AS30" s="429">
        <v>17551.014879602772</v>
      </c>
      <c r="AT30" s="428">
        <v>9850.5618651494442</v>
      </c>
      <c r="AU30" s="428">
        <v>47863.202127136748</v>
      </c>
      <c r="AV30" s="433"/>
      <c r="AW30" s="428">
        <v>0</v>
      </c>
      <c r="AX30" s="428">
        <v>329945.0738555555</v>
      </c>
      <c r="AY30" s="428">
        <v>0</v>
      </c>
      <c r="AZ30" s="431">
        <v>31786.378327422983</v>
      </c>
      <c r="BA30" s="431">
        <v>1374.5460898345077</v>
      </c>
      <c r="BB30" s="431">
        <v>22336.373959810731</v>
      </c>
      <c r="BC30" s="431">
        <v>73804.071767792004</v>
      </c>
      <c r="BD30" s="431">
        <v>3191.5274277964118</v>
      </c>
      <c r="BE30" s="431">
        <v>51862.320701691642</v>
      </c>
      <c r="BF30" s="429"/>
      <c r="BG30" s="429"/>
      <c r="BH30" s="429"/>
      <c r="BI30" s="429">
        <v>99488.41644936509</v>
      </c>
      <c r="BJ30" s="429">
        <v>18488.224376683971</v>
      </c>
      <c r="BK30" s="429"/>
      <c r="BL30" s="429">
        <v>12753.87088252755</v>
      </c>
      <c r="BM30" s="429">
        <v>2276.6871953785635</v>
      </c>
      <c r="BN30" s="429">
        <v>505249.94270722562</v>
      </c>
      <c r="BO30" s="429">
        <v>80225.434277492619</v>
      </c>
      <c r="BP30" s="428">
        <v>95851.406188438094</v>
      </c>
      <c r="BQ30" s="428">
        <v>16523.820704413934</v>
      </c>
      <c r="BR30" s="428">
        <v>58563.210232298232</v>
      </c>
      <c r="BS30" s="428">
        <v>159798.90962817398</v>
      </c>
      <c r="BT30" s="428">
        <v>3555.2441245439986</v>
      </c>
      <c r="BU30" s="428">
        <v>1670.6679360000001</v>
      </c>
      <c r="BV30" s="431"/>
      <c r="BW30" s="432"/>
      <c r="BX30" s="432">
        <v>27.927468319522834</v>
      </c>
      <c r="BY30" s="429">
        <v>1495.3739014359844</v>
      </c>
      <c r="BZ30" s="429">
        <v>0.21986349084114407</v>
      </c>
      <c r="CA30" s="429"/>
      <c r="CB30" s="431">
        <v>0.398781753584731</v>
      </c>
      <c r="CC30" s="429">
        <v>30992.232424358601</v>
      </c>
      <c r="CD30" s="429">
        <v>230.68003721637902</v>
      </c>
      <c r="CE30" s="429">
        <v>33.737906449391353</v>
      </c>
      <c r="CF30" s="429">
        <v>1834.3775561661164</v>
      </c>
      <c r="CG30" s="333"/>
      <c r="CH30" s="429">
        <v>2344.7060952727588</v>
      </c>
      <c r="CI30" s="430">
        <v>31829.784109881155</v>
      </c>
      <c r="CJ30" s="430">
        <v>13641.336047091922</v>
      </c>
      <c r="CK30" s="430">
        <v>5809.6074676199996</v>
      </c>
      <c r="CL30" s="429">
        <v>2655.7043001669435</v>
      </c>
      <c r="CM30" s="429">
        <v>2905.7261676585658</v>
      </c>
      <c r="CN30" s="429">
        <v>16027.941603177373</v>
      </c>
      <c r="CO30" s="428">
        <v>12795.458945537885</v>
      </c>
      <c r="CP30" s="428">
        <v>64041.013360958968</v>
      </c>
      <c r="CQ30" s="420">
        <f t="shared" si="0"/>
        <v>2670167.7803686294</v>
      </c>
      <c r="CR30" s="420">
        <f t="shared" si="1"/>
        <v>1755412.3528690017</v>
      </c>
    </row>
    <row r="31" spans="1:96" hidden="1">
      <c r="A31" s="434" t="s">
        <v>803</v>
      </c>
      <c r="B31" s="428">
        <v>584663.04122699995</v>
      </c>
      <c r="C31" s="428">
        <v>605550.92790000001</v>
      </c>
      <c r="D31" s="428">
        <v>0</v>
      </c>
      <c r="E31" s="431">
        <v>22498.665211516571</v>
      </c>
      <c r="F31" s="431">
        <v>904.81876274598028</v>
      </c>
      <c r="G31" s="431">
        <v>15189.807254578267</v>
      </c>
      <c r="H31" s="431">
        <v>17126.015811921679</v>
      </c>
      <c r="I31" s="431">
        <v>676.02653297324548</v>
      </c>
      <c r="J31" s="429">
        <v>11446.652990106166</v>
      </c>
      <c r="K31" s="432">
        <v>39623.089757329763</v>
      </c>
      <c r="L31" s="432">
        <v>8805.1310571843896</v>
      </c>
      <c r="M31" s="432">
        <v>3224.8861461757824</v>
      </c>
      <c r="N31" s="429">
        <v>591204.93500701303</v>
      </c>
      <c r="O31" s="429">
        <v>1949008.0221480092</v>
      </c>
      <c r="P31" s="429">
        <v>28929.022323279201</v>
      </c>
      <c r="Q31" s="429">
        <v>10123.297154711014</v>
      </c>
      <c r="R31" s="429">
        <v>25428.219563824165</v>
      </c>
      <c r="S31" s="429">
        <v>338350.10903951922</v>
      </c>
      <c r="T31" s="429">
        <v>66431.34169189044</v>
      </c>
      <c r="U31" s="428">
        <v>69190.336925245065</v>
      </c>
      <c r="V31" s="428">
        <v>25738.293208503845</v>
      </c>
      <c r="W31" s="428">
        <v>12892.077969796857</v>
      </c>
      <c r="X31" s="428">
        <v>107772.86310507245</v>
      </c>
      <c r="Y31" s="428">
        <v>74713.113054719928</v>
      </c>
      <c r="Z31" s="428">
        <v>509660.83391999977</v>
      </c>
      <c r="AA31" s="429"/>
      <c r="AB31" s="429"/>
      <c r="AC31" s="429">
        <v>76.542576437061925</v>
      </c>
      <c r="AD31" s="429"/>
      <c r="AE31" s="429"/>
      <c r="AF31" s="429">
        <v>66.289077406221537</v>
      </c>
      <c r="AG31" s="429"/>
      <c r="AH31" s="429">
        <v>13144.164414554067</v>
      </c>
      <c r="AI31" s="429">
        <v>705.4058415713705</v>
      </c>
      <c r="AJ31" s="429">
        <v>51.645927404690553</v>
      </c>
      <c r="AK31" s="429">
        <v>5125.6728614048361</v>
      </c>
      <c r="AL31" s="333"/>
      <c r="AM31" s="429">
        <v>2135.1726332687422</v>
      </c>
      <c r="AN31" s="430">
        <v>203483.30200000003</v>
      </c>
      <c r="AO31" s="430">
        <v>14039.344536093093</v>
      </c>
      <c r="AP31" s="430">
        <v>16419.143808600002</v>
      </c>
      <c r="AQ31" s="429">
        <v>6294.6742674627912</v>
      </c>
      <c r="AR31" s="429">
        <v>8438.6395578957909</v>
      </c>
      <c r="AS31" s="429">
        <v>208208.11861835403</v>
      </c>
      <c r="AT31" s="428">
        <v>16928.921641928926</v>
      </c>
      <c r="AU31" s="428">
        <v>53055.265928055174</v>
      </c>
      <c r="AV31" s="433"/>
      <c r="AW31" s="428">
        <v>567194.91569666669</v>
      </c>
      <c r="AX31" s="428">
        <v>625832.2964555556</v>
      </c>
      <c r="AY31" s="428">
        <v>0</v>
      </c>
      <c r="AZ31" s="431">
        <v>110572.61685563052</v>
      </c>
      <c r="BA31" s="431">
        <v>4445.8573625413137</v>
      </c>
      <c r="BB31" s="431">
        <v>74643.249484229469</v>
      </c>
      <c r="BC31" s="431">
        <v>226526.05343504471</v>
      </c>
      <c r="BD31" s="431">
        <v>8941.6966648834641</v>
      </c>
      <c r="BE31" s="431">
        <v>151403.98613984691</v>
      </c>
      <c r="BF31" s="429">
        <v>83577.636049933557</v>
      </c>
      <c r="BG31" s="429">
        <v>18572.808011096342</v>
      </c>
      <c r="BH31" s="429">
        <v>6891.3593438486141</v>
      </c>
      <c r="BI31" s="429">
        <v>574426.52845599246</v>
      </c>
      <c r="BJ31" s="429">
        <v>1544887.9572200589</v>
      </c>
      <c r="BK31" s="429">
        <v>17310.089442823624</v>
      </c>
      <c r="BL31" s="429">
        <v>8904.5699990186022</v>
      </c>
      <c r="BM31" s="429">
        <v>21764.539514219425</v>
      </c>
      <c r="BN31" s="429">
        <v>306073.93700425368</v>
      </c>
      <c r="BO31" s="429">
        <v>58528.813554800559</v>
      </c>
      <c r="BP31" s="428">
        <v>68655.517624807035</v>
      </c>
      <c r="BQ31" s="428">
        <v>25539.344387324993</v>
      </c>
      <c r="BR31" s="428">
        <v>16957.991981099931</v>
      </c>
      <c r="BS31" s="428">
        <v>127289.47879690856</v>
      </c>
      <c r="BT31" s="428">
        <v>71254.172635519921</v>
      </c>
      <c r="BU31" s="428">
        <v>509660.83391999977</v>
      </c>
      <c r="BV31" s="431"/>
      <c r="BW31" s="432"/>
      <c r="BX31" s="432">
        <v>67.341823706795807</v>
      </c>
      <c r="BY31" s="429"/>
      <c r="BZ31" s="429"/>
      <c r="CA31" s="429">
        <v>66.039187334410713</v>
      </c>
      <c r="CB31" s="431"/>
      <c r="CC31" s="429">
        <v>13337.679616434352</v>
      </c>
      <c r="CD31" s="429">
        <v>616.88880329557583</v>
      </c>
      <c r="CE31" s="429">
        <v>43.112234247294374</v>
      </c>
      <c r="CF31" s="429">
        <v>4618.316555209396</v>
      </c>
      <c r="CG31" s="333"/>
      <c r="CH31" s="429">
        <v>1901.1622866006619</v>
      </c>
      <c r="CI31" s="430">
        <v>157504.77900000001</v>
      </c>
      <c r="CJ31" s="430">
        <v>10867.053152411492</v>
      </c>
      <c r="CK31" s="430">
        <v>14631.576303300002</v>
      </c>
      <c r="CL31" s="429">
        <v>11142.305614161207</v>
      </c>
      <c r="CM31" s="429">
        <v>7318.1113139833005</v>
      </c>
      <c r="CN31" s="429">
        <v>185388.95483842125</v>
      </c>
      <c r="CO31" s="428">
        <v>22594.389147594404</v>
      </c>
      <c r="CP31" s="428">
        <v>84178.548459178463</v>
      </c>
      <c r="CQ31" s="420">
        <f t="shared" si="0"/>
        <v>5667323.8314535525</v>
      </c>
      <c r="CR31" s="420">
        <f t="shared" si="1"/>
        <v>5744132.5083719827</v>
      </c>
    </row>
    <row r="32" spans="1:96">
      <c r="A32" s="474" t="s">
        <v>949</v>
      </c>
      <c r="B32" s="475">
        <f>SUM(B6:B31)</f>
        <v>81727025.398673996</v>
      </c>
      <c r="C32" s="475">
        <f t="shared" ref="C32:BN32" si="2">SUM(C6:C31)</f>
        <v>32401704.332869101</v>
      </c>
      <c r="D32" s="475">
        <f t="shared" si="2"/>
        <v>5014995.0953000002</v>
      </c>
      <c r="E32" s="475">
        <f t="shared" si="2"/>
        <v>2488328.1916076224</v>
      </c>
      <c r="F32" s="475">
        <f t="shared" si="2"/>
        <v>110120.80300905973</v>
      </c>
      <c r="G32" s="475">
        <f t="shared" si="2"/>
        <v>1425781.2932359721</v>
      </c>
      <c r="H32" s="475">
        <f t="shared" si="2"/>
        <v>784317.21613324201</v>
      </c>
      <c r="I32" s="475">
        <f t="shared" si="2"/>
        <v>34242.138891632501</v>
      </c>
      <c r="J32" s="475">
        <f t="shared" si="2"/>
        <v>424659.80133872729</v>
      </c>
      <c r="K32" s="475">
        <f t="shared" si="2"/>
        <v>1566243.1358087324</v>
      </c>
      <c r="L32" s="475">
        <f t="shared" si="2"/>
        <v>351364.1708343238</v>
      </c>
      <c r="M32" s="475">
        <f t="shared" si="2"/>
        <v>766135.31512281345</v>
      </c>
      <c r="N32" s="475">
        <f t="shared" si="2"/>
        <v>43388140.949091457</v>
      </c>
      <c r="O32" s="475">
        <f t="shared" si="2"/>
        <v>85551140.904349416</v>
      </c>
      <c r="P32" s="475">
        <f t="shared" si="2"/>
        <v>1953353.8869780465</v>
      </c>
      <c r="Q32" s="475">
        <f t="shared" si="2"/>
        <v>6741396.5722886268</v>
      </c>
      <c r="R32" s="475">
        <f t="shared" si="2"/>
        <v>1753887.953623717</v>
      </c>
      <c r="S32" s="475">
        <f t="shared" si="2"/>
        <v>78859011.240170628</v>
      </c>
      <c r="T32" s="475">
        <f t="shared" si="2"/>
        <v>17607856.333901506</v>
      </c>
      <c r="U32" s="475">
        <f t="shared" si="2"/>
        <v>5490665.3018861962</v>
      </c>
      <c r="V32" s="475">
        <f t="shared" si="2"/>
        <v>859782.65511249809</v>
      </c>
      <c r="W32" s="475">
        <f t="shared" si="2"/>
        <v>1863464.4578675674</v>
      </c>
      <c r="X32" s="475">
        <f t="shared" si="2"/>
        <v>7755258.5563837551</v>
      </c>
      <c r="Y32" s="475">
        <f t="shared" si="2"/>
        <v>4080763.5383239686</v>
      </c>
      <c r="Z32" s="475">
        <f t="shared" si="2"/>
        <v>19231888.769479431</v>
      </c>
      <c r="AA32" s="475">
        <f t="shared" si="2"/>
        <v>219.86891762073228</v>
      </c>
      <c r="AB32" s="475">
        <f t="shared" si="2"/>
        <v>30.344632139632498</v>
      </c>
      <c r="AC32" s="475">
        <f t="shared" si="2"/>
        <v>9493.8622697693645</v>
      </c>
      <c r="AD32" s="475">
        <f t="shared" si="2"/>
        <v>3453538.8863652335</v>
      </c>
      <c r="AE32" s="475">
        <f t="shared" si="2"/>
        <v>681.07353092873893</v>
      </c>
      <c r="AF32" s="475">
        <f t="shared" si="2"/>
        <v>5119.9445559137375</v>
      </c>
      <c r="AG32" s="475">
        <f t="shared" si="2"/>
        <v>1167.8358951475082</v>
      </c>
      <c r="AH32" s="475">
        <f t="shared" si="2"/>
        <v>833500.46049213072</v>
      </c>
      <c r="AI32" s="475">
        <f t="shared" si="2"/>
        <v>165085.57545440199</v>
      </c>
      <c r="AJ32" s="475">
        <f t="shared" si="2"/>
        <v>21638.506316581166</v>
      </c>
      <c r="AK32" s="475">
        <f t="shared" si="2"/>
        <v>541293.93089785159</v>
      </c>
      <c r="AL32" s="475">
        <f t="shared" si="2"/>
        <v>200000</v>
      </c>
      <c r="AM32" s="475">
        <f t="shared" si="2"/>
        <v>1313645.0754352526</v>
      </c>
      <c r="AN32" s="475">
        <f t="shared" si="2"/>
        <v>14043067.390580807</v>
      </c>
      <c r="AO32" s="475">
        <f t="shared" si="2"/>
        <v>3008841.11839084</v>
      </c>
      <c r="AP32" s="475">
        <f t="shared" si="2"/>
        <v>1243029.7823228999</v>
      </c>
      <c r="AQ32" s="475">
        <f t="shared" si="2"/>
        <v>1530310.1353435924</v>
      </c>
      <c r="AR32" s="475">
        <f t="shared" si="2"/>
        <v>639716.84695278876</v>
      </c>
      <c r="AS32" s="475">
        <f t="shared" si="2"/>
        <v>8817161.6070517972</v>
      </c>
      <c r="AT32" s="475">
        <f t="shared" si="2"/>
        <v>2761499.069873936</v>
      </c>
      <c r="AU32" s="475">
        <f t="shared" si="2"/>
        <v>9005336.6023284849</v>
      </c>
      <c r="AV32" s="475">
        <f t="shared" si="2"/>
        <v>0</v>
      </c>
      <c r="AW32" s="475">
        <f t="shared" si="2"/>
        <v>68412493.223028645</v>
      </c>
      <c r="AX32" s="475">
        <f t="shared" si="2"/>
        <v>32611032.23372658</v>
      </c>
      <c r="AY32" s="475">
        <f t="shared" si="2"/>
        <v>5520748.552633334</v>
      </c>
      <c r="AZ32" s="475">
        <f t="shared" si="2"/>
        <v>11541288.300264796</v>
      </c>
      <c r="BA32" s="475">
        <f t="shared" si="2"/>
        <v>507710.67892252782</v>
      </c>
      <c r="BB32" s="475">
        <f t="shared" si="2"/>
        <v>6826693.4714990119</v>
      </c>
      <c r="BC32" s="475">
        <f t="shared" si="2"/>
        <v>10735405.731143411</v>
      </c>
      <c r="BD32" s="475">
        <f t="shared" si="2"/>
        <v>468279.24271359836</v>
      </c>
      <c r="BE32" s="475">
        <f t="shared" si="2"/>
        <v>5925250.2995835198</v>
      </c>
      <c r="BF32" s="475">
        <f t="shared" si="2"/>
        <v>3195319.3073048578</v>
      </c>
      <c r="BG32" s="475">
        <f t="shared" si="2"/>
        <v>716210.94307927031</v>
      </c>
      <c r="BH32" s="475">
        <f t="shared" si="2"/>
        <v>1647143.2977965672</v>
      </c>
      <c r="BI32" s="475">
        <f t="shared" si="2"/>
        <v>41452025.945608914</v>
      </c>
      <c r="BJ32" s="475">
        <f t="shared" si="2"/>
        <v>67853210.627717793</v>
      </c>
      <c r="BK32" s="475">
        <f t="shared" si="2"/>
        <v>1477976.8145891316</v>
      </c>
      <c r="BL32" s="475">
        <f t="shared" si="2"/>
        <v>6754034.562508218</v>
      </c>
      <c r="BM32" s="475">
        <f t="shared" si="2"/>
        <v>1489115.8654679121</v>
      </c>
      <c r="BN32" s="475">
        <f t="shared" si="2"/>
        <v>76501391.013797268</v>
      </c>
      <c r="BO32" s="475">
        <f t="shared" ref="BO32:CP32" si="3">SUM(BO6:BO31)</f>
        <v>15706751.789463779</v>
      </c>
      <c r="BP32" s="475">
        <f t="shared" si="3"/>
        <v>5687972.7698632861</v>
      </c>
      <c r="BQ32" s="475">
        <f t="shared" si="3"/>
        <v>1028045.6595222049</v>
      </c>
      <c r="BR32" s="475">
        <f t="shared" si="3"/>
        <v>2212311.5493905097</v>
      </c>
      <c r="BS32" s="475">
        <f t="shared" si="3"/>
        <v>8886629.9500350226</v>
      </c>
      <c r="BT32" s="475">
        <f t="shared" si="3"/>
        <v>4683588.7148125311</v>
      </c>
      <c r="BU32" s="475">
        <f t="shared" si="3"/>
        <v>19231888.769479431</v>
      </c>
      <c r="BV32" s="475">
        <f t="shared" si="3"/>
        <v>153.11344898272489</v>
      </c>
      <c r="BW32" s="475">
        <f t="shared" si="3"/>
        <v>35.287752562074495</v>
      </c>
      <c r="BX32" s="475">
        <f t="shared" si="3"/>
        <v>8757.0692010948223</v>
      </c>
      <c r="BY32" s="475">
        <f t="shared" si="3"/>
        <v>2965370.4291002713</v>
      </c>
      <c r="BZ32" s="475">
        <f t="shared" si="3"/>
        <v>753.97176152366751</v>
      </c>
      <c r="CA32" s="475">
        <f t="shared" si="3"/>
        <v>5668.4447267645637</v>
      </c>
      <c r="CB32" s="475">
        <f t="shared" si="3"/>
        <v>1289.0649204213971</v>
      </c>
      <c r="CC32" s="475">
        <f t="shared" si="3"/>
        <v>751562.00175913482</v>
      </c>
      <c r="CD32" s="475">
        <f t="shared" si="3"/>
        <v>150252.50784091614</v>
      </c>
      <c r="CE32" s="475">
        <f t="shared" si="3"/>
        <v>18824.763581736061</v>
      </c>
      <c r="CF32" s="475">
        <f t="shared" si="3"/>
        <v>501114.67816690111</v>
      </c>
      <c r="CG32" s="475">
        <f t="shared" si="3"/>
        <v>509529.77149278147</v>
      </c>
      <c r="CH32" s="475">
        <f t="shared" si="3"/>
        <v>1224502.7105174325</v>
      </c>
      <c r="CI32" s="475">
        <f t="shared" si="3"/>
        <v>11639872.363482609</v>
      </c>
      <c r="CJ32" s="475">
        <f t="shared" si="3"/>
        <v>2185097.2580233887</v>
      </c>
      <c r="CK32" s="475">
        <f t="shared" si="3"/>
        <v>1148163.9461199604</v>
      </c>
      <c r="CL32" s="475">
        <f t="shared" si="3"/>
        <v>3198914.2568215705</v>
      </c>
      <c r="CM32" s="475">
        <f t="shared" si="3"/>
        <v>575171.46012556332</v>
      </c>
      <c r="CN32" s="475">
        <f t="shared" si="3"/>
        <v>8142871.3605175894</v>
      </c>
      <c r="CO32" s="475">
        <f t="shared" si="3"/>
        <v>3149398.8388608568</v>
      </c>
      <c r="CP32" s="475">
        <f t="shared" si="3"/>
        <v>11123486.225589195</v>
      </c>
      <c r="CQ32" s="40"/>
      <c r="CR32" s="40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6408-81B3-4FE3-96C2-6D64C45D5A6C}">
  <sheetPr codeName="Tabelle12">
    <tabColor theme="9" tint="-0.249977111117893"/>
  </sheetPr>
  <dimension ref="A2:DB58"/>
  <sheetViews>
    <sheetView workbookViewId="0">
      <pane xSplit="1" ySplit="6" topLeftCell="AS18" activePane="bottomRight" state="frozen"/>
      <selection pane="topRight" activeCell="B1" sqref="B1"/>
      <selection pane="bottomLeft" activeCell="A5" sqref="A5"/>
      <selection pane="bottomRight" activeCell="AW3" sqref="AW3"/>
    </sheetView>
  </sheetViews>
  <sheetFormatPr baseColWidth="10" defaultColWidth="9.1796875" defaultRowHeight="14.5"/>
  <cols>
    <col min="1" max="1" width="17.7265625" customWidth="1"/>
    <col min="2" max="2" width="10.453125" customWidth="1"/>
    <col min="77" max="78" width="9.54296875" bestFit="1" customWidth="1"/>
    <col min="95" max="95" width="13.26953125" customWidth="1"/>
    <col min="96" max="96" width="12.7265625" customWidth="1"/>
    <col min="98" max="106" width="12.26953125" customWidth="1"/>
  </cols>
  <sheetData>
    <row r="2" spans="1:106">
      <c r="A2" s="449" t="s">
        <v>945</v>
      </c>
      <c r="B2" s="449" t="s">
        <v>944</v>
      </c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  <c r="CH2" s="449"/>
      <c r="CI2" s="449"/>
      <c r="CJ2" s="449"/>
      <c r="CK2" s="449"/>
      <c r="CL2" s="449"/>
      <c r="CM2" s="449"/>
      <c r="CN2" s="449"/>
      <c r="CO2" s="449"/>
      <c r="CP2" s="449"/>
    </row>
    <row r="3" spans="1:106" ht="15" thickBot="1">
      <c r="A3" s="449"/>
      <c r="B3" s="449" t="s">
        <v>943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58" t="s">
        <v>942</v>
      </c>
      <c r="AW3" s="449" t="s">
        <v>941</v>
      </c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  <c r="BJ3" s="449"/>
      <c r="BK3" s="449"/>
      <c r="BL3" s="449"/>
      <c r="BM3" s="449"/>
      <c r="BN3" s="449"/>
      <c r="BO3" s="449"/>
      <c r="BP3" s="449"/>
      <c r="BQ3" s="449"/>
      <c r="BR3" s="449"/>
      <c r="BS3" s="449"/>
      <c r="BT3" s="449"/>
      <c r="BU3" s="449"/>
      <c r="BV3" s="449"/>
      <c r="BW3" s="449"/>
      <c r="BX3" s="449"/>
      <c r="BY3" s="449"/>
      <c r="BZ3" s="449"/>
      <c r="CA3" s="449"/>
      <c r="CB3" s="449"/>
      <c r="CC3" s="449"/>
      <c r="CD3" s="449"/>
      <c r="CE3" s="449"/>
      <c r="CF3" s="449"/>
      <c r="CG3" s="449"/>
      <c r="CH3" s="449"/>
      <c r="CI3" s="449"/>
      <c r="CJ3" s="449"/>
      <c r="CK3" s="449"/>
      <c r="CL3" s="449"/>
      <c r="CM3" s="449"/>
      <c r="CN3" s="449"/>
      <c r="CO3" s="449"/>
      <c r="CP3" s="449"/>
    </row>
    <row r="4" spans="1:106" ht="36.5" thickBot="1">
      <c r="A4" s="449"/>
      <c r="B4" s="464" t="s">
        <v>794</v>
      </c>
      <c r="C4" s="464" t="s">
        <v>940</v>
      </c>
      <c r="D4" s="464" t="s">
        <v>939</v>
      </c>
      <c r="E4" s="463" t="s">
        <v>938</v>
      </c>
      <c r="F4" s="463" t="s">
        <v>937</v>
      </c>
      <c r="G4" s="463" t="s">
        <v>936</v>
      </c>
      <c r="H4" s="463" t="s">
        <v>935</v>
      </c>
      <c r="I4" s="463" t="s">
        <v>934</v>
      </c>
      <c r="J4" s="463" t="s">
        <v>933</v>
      </c>
      <c r="K4" s="462" t="s">
        <v>932</v>
      </c>
      <c r="L4" s="460" t="s">
        <v>931</v>
      </c>
      <c r="M4" s="460" t="s">
        <v>930</v>
      </c>
      <c r="N4" s="460" t="s">
        <v>929</v>
      </c>
      <c r="O4" s="460" t="s">
        <v>928</v>
      </c>
      <c r="P4" s="460" t="s">
        <v>927</v>
      </c>
      <c r="Q4" s="460" t="s">
        <v>926</v>
      </c>
      <c r="R4" s="460" t="s">
        <v>925</v>
      </c>
      <c r="S4" s="460" t="s">
        <v>924</v>
      </c>
      <c r="T4" s="460" t="s">
        <v>923</v>
      </c>
      <c r="U4" s="461" t="s">
        <v>922</v>
      </c>
      <c r="V4" s="461" t="s">
        <v>921</v>
      </c>
      <c r="W4" s="461" t="s">
        <v>920</v>
      </c>
      <c r="X4" s="461" t="s">
        <v>919</v>
      </c>
      <c r="Y4" s="460" t="s">
        <v>918</v>
      </c>
      <c r="Z4" s="460" t="s">
        <v>917</v>
      </c>
      <c r="AA4" s="460" t="s">
        <v>916</v>
      </c>
      <c r="AB4" s="460" t="s">
        <v>915</v>
      </c>
      <c r="AC4" s="460" t="s">
        <v>914</v>
      </c>
      <c r="AD4" s="460" t="s">
        <v>913</v>
      </c>
      <c r="AE4" s="460" t="s">
        <v>912</v>
      </c>
      <c r="AF4" s="460" t="s">
        <v>911</v>
      </c>
      <c r="AG4" s="460" t="s">
        <v>910</v>
      </c>
      <c r="AH4" s="460" t="s">
        <v>909</v>
      </c>
      <c r="AI4" s="460" t="s">
        <v>908</v>
      </c>
      <c r="AJ4" s="460" t="s">
        <v>907</v>
      </c>
      <c r="AK4" s="460" t="s">
        <v>906</v>
      </c>
      <c r="AL4" s="460" t="s">
        <v>905</v>
      </c>
      <c r="AM4" s="460" t="s">
        <v>904</v>
      </c>
      <c r="AN4" s="460" t="s">
        <v>903</v>
      </c>
      <c r="AO4" s="460" t="s">
        <v>902</v>
      </c>
      <c r="AP4" s="460" t="s">
        <v>901</v>
      </c>
      <c r="AQ4" s="460" t="s">
        <v>900</v>
      </c>
      <c r="AR4" s="460" t="s">
        <v>899</v>
      </c>
      <c r="AS4" s="460" t="s">
        <v>898</v>
      </c>
      <c r="AT4" s="459" t="s">
        <v>897</v>
      </c>
      <c r="AU4" s="459" t="s">
        <v>896</v>
      </c>
      <c r="AV4" s="458"/>
      <c r="AW4" s="464" t="s">
        <v>794</v>
      </c>
      <c r="AX4" s="464" t="s">
        <v>940</v>
      </c>
      <c r="AY4" s="464" t="s">
        <v>939</v>
      </c>
      <c r="AZ4" s="463" t="s">
        <v>938</v>
      </c>
      <c r="BA4" s="463" t="s">
        <v>937</v>
      </c>
      <c r="BB4" s="463" t="s">
        <v>936</v>
      </c>
      <c r="BC4" s="463" t="s">
        <v>935</v>
      </c>
      <c r="BD4" s="463" t="s">
        <v>934</v>
      </c>
      <c r="BE4" s="463" t="s">
        <v>933</v>
      </c>
      <c r="BF4" s="462" t="s">
        <v>932</v>
      </c>
      <c r="BG4" s="460" t="s">
        <v>931</v>
      </c>
      <c r="BH4" s="460" t="s">
        <v>930</v>
      </c>
      <c r="BI4" s="460" t="s">
        <v>929</v>
      </c>
      <c r="BJ4" s="460" t="s">
        <v>928</v>
      </c>
      <c r="BK4" s="460" t="s">
        <v>927</v>
      </c>
      <c r="BL4" s="460" t="s">
        <v>926</v>
      </c>
      <c r="BM4" s="460" t="s">
        <v>925</v>
      </c>
      <c r="BN4" s="460" t="s">
        <v>924</v>
      </c>
      <c r="BO4" s="460" t="s">
        <v>923</v>
      </c>
      <c r="BP4" s="461" t="s">
        <v>922</v>
      </c>
      <c r="BQ4" s="461" t="s">
        <v>921</v>
      </c>
      <c r="BR4" s="461" t="s">
        <v>920</v>
      </c>
      <c r="BS4" s="461" t="s">
        <v>919</v>
      </c>
      <c r="BT4" s="460" t="s">
        <v>918</v>
      </c>
      <c r="BU4" s="460" t="s">
        <v>917</v>
      </c>
      <c r="BV4" s="460" t="s">
        <v>916</v>
      </c>
      <c r="BW4" s="460" t="s">
        <v>915</v>
      </c>
      <c r="BX4" s="460" t="s">
        <v>914</v>
      </c>
      <c r="BY4" s="460" t="s">
        <v>913</v>
      </c>
      <c r="BZ4" s="460" t="s">
        <v>912</v>
      </c>
      <c r="CA4" s="460" t="s">
        <v>911</v>
      </c>
      <c r="CB4" s="460" t="s">
        <v>910</v>
      </c>
      <c r="CC4" s="460" t="s">
        <v>909</v>
      </c>
      <c r="CD4" s="460" t="s">
        <v>908</v>
      </c>
      <c r="CE4" s="460" t="s">
        <v>907</v>
      </c>
      <c r="CF4" s="460" t="s">
        <v>906</v>
      </c>
      <c r="CG4" s="460" t="s">
        <v>905</v>
      </c>
      <c r="CH4" s="460" t="s">
        <v>904</v>
      </c>
      <c r="CI4" s="460" t="s">
        <v>903</v>
      </c>
      <c r="CJ4" s="460" t="s">
        <v>902</v>
      </c>
      <c r="CK4" s="460" t="s">
        <v>901</v>
      </c>
      <c r="CL4" s="460" t="s">
        <v>900</v>
      </c>
      <c r="CM4" s="460" t="s">
        <v>899</v>
      </c>
      <c r="CN4" s="460" t="s">
        <v>898</v>
      </c>
      <c r="CO4" s="459" t="s">
        <v>897</v>
      </c>
      <c r="CP4" s="459" t="s">
        <v>896</v>
      </c>
      <c r="CT4" s="107" t="s">
        <v>895</v>
      </c>
      <c r="CU4" s="107" t="s">
        <v>894</v>
      </c>
      <c r="CV4" s="107" t="s">
        <v>893</v>
      </c>
      <c r="CY4" s="107" t="s">
        <v>839</v>
      </c>
      <c r="CZ4" s="107" t="s">
        <v>838</v>
      </c>
      <c r="DA4" s="107" t="s">
        <v>837</v>
      </c>
    </row>
    <row r="5" spans="1:106">
      <c r="A5" s="449"/>
      <c r="B5" s="457">
        <v>2</v>
      </c>
      <c r="C5" s="457">
        <v>2</v>
      </c>
      <c r="D5" s="457">
        <v>2</v>
      </c>
      <c r="E5" s="454">
        <v>1</v>
      </c>
      <c r="F5" s="454">
        <v>1</v>
      </c>
      <c r="G5" s="454">
        <v>1</v>
      </c>
      <c r="H5" s="454">
        <v>1</v>
      </c>
      <c r="I5" s="454">
        <v>1</v>
      </c>
      <c r="J5" s="454">
        <v>1</v>
      </c>
      <c r="K5" s="456">
        <v>1</v>
      </c>
      <c r="L5" s="454">
        <v>1</v>
      </c>
      <c r="M5" s="454">
        <v>1</v>
      </c>
      <c r="N5" s="454">
        <v>1</v>
      </c>
      <c r="O5" s="454">
        <v>1</v>
      </c>
      <c r="P5" s="454">
        <v>1</v>
      </c>
      <c r="Q5" s="454">
        <v>1</v>
      </c>
      <c r="R5" s="454">
        <v>1</v>
      </c>
      <c r="S5" s="454">
        <v>1</v>
      </c>
      <c r="T5" s="454">
        <v>1</v>
      </c>
      <c r="U5" s="455">
        <v>2</v>
      </c>
      <c r="V5" s="455">
        <v>2</v>
      </c>
      <c r="W5" s="455">
        <v>2</v>
      </c>
      <c r="X5" s="455">
        <v>2</v>
      </c>
      <c r="Y5" s="454">
        <v>2</v>
      </c>
      <c r="Z5" s="454">
        <v>2</v>
      </c>
      <c r="AA5" s="454">
        <v>4</v>
      </c>
      <c r="AB5" s="454">
        <v>4</v>
      </c>
      <c r="AC5" s="454">
        <v>4</v>
      </c>
      <c r="AD5" s="454">
        <v>4</v>
      </c>
      <c r="AE5" s="454">
        <v>4</v>
      </c>
      <c r="AF5" s="454">
        <v>4</v>
      </c>
      <c r="AG5" s="454">
        <v>4</v>
      </c>
      <c r="AH5" s="454">
        <v>4</v>
      </c>
      <c r="AI5" s="454">
        <v>4</v>
      </c>
      <c r="AJ5" s="454">
        <v>4</v>
      </c>
      <c r="AK5" s="454">
        <v>4</v>
      </c>
      <c r="AL5" s="454">
        <v>4</v>
      </c>
      <c r="AM5" s="454">
        <v>4</v>
      </c>
      <c r="AN5" s="454">
        <v>3</v>
      </c>
      <c r="AO5" s="454">
        <v>3</v>
      </c>
      <c r="AP5" s="454">
        <v>3</v>
      </c>
      <c r="AQ5" s="454">
        <v>3</v>
      </c>
      <c r="AR5" s="454">
        <v>3</v>
      </c>
      <c r="AS5" s="454">
        <v>3</v>
      </c>
      <c r="AT5" s="453">
        <v>3</v>
      </c>
      <c r="AU5" s="453">
        <v>3</v>
      </c>
      <c r="AV5" s="458"/>
      <c r="AW5" s="457">
        <v>2</v>
      </c>
      <c r="AX5" s="457">
        <v>2</v>
      </c>
      <c r="AY5" s="457">
        <v>2</v>
      </c>
      <c r="AZ5" s="454">
        <v>1</v>
      </c>
      <c r="BA5" s="454">
        <v>1</v>
      </c>
      <c r="BB5" s="454">
        <v>1</v>
      </c>
      <c r="BC5" s="454">
        <v>1</v>
      </c>
      <c r="BD5" s="454">
        <v>1</v>
      </c>
      <c r="BE5" s="454">
        <v>1</v>
      </c>
      <c r="BF5" s="456">
        <v>1</v>
      </c>
      <c r="BG5" s="454">
        <v>1</v>
      </c>
      <c r="BH5" s="454">
        <v>1</v>
      </c>
      <c r="BI5" s="454">
        <v>1</v>
      </c>
      <c r="BJ5" s="454">
        <v>1</v>
      </c>
      <c r="BK5" s="454">
        <v>1</v>
      </c>
      <c r="BL5" s="454">
        <v>1</v>
      </c>
      <c r="BM5" s="454">
        <v>1</v>
      </c>
      <c r="BN5" s="454">
        <v>1</v>
      </c>
      <c r="BO5" s="454">
        <v>1</v>
      </c>
      <c r="BP5" s="455">
        <v>2</v>
      </c>
      <c r="BQ5" s="455">
        <v>2</v>
      </c>
      <c r="BR5" s="455">
        <v>2</v>
      </c>
      <c r="BS5" s="455">
        <v>2</v>
      </c>
      <c r="BT5" s="454">
        <v>2</v>
      </c>
      <c r="BU5" s="454">
        <v>2</v>
      </c>
      <c r="BV5" s="454">
        <v>4</v>
      </c>
      <c r="BW5" s="454">
        <v>4</v>
      </c>
      <c r="BX5" s="454">
        <v>4</v>
      </c>
      <c r="BY5" s="454">
        <v>4</v>
      </c>
      <c r="BZ5" s="454">
        <v>4</v>
      </c>
      <c r="CA5" s="454">
        <v>4</v>
      </c>
      <c r="CB5" s="454">
        <v>4</v>
      </c>
      <c r="CC5" s="454">
        <v>4</v>
      </c>
      <c r="CD5" s="454">
        <v>4</v>
      </c>
      <c r="CE5" s="454">
        <v>4</v>
      </c>
      <c r="CF5" s="454">
        <v>4</v>
      </c>
      <c r="CG5" s="454">
        <v>4</v>
      </c>
      <c r="CH5" s="454">
        <v>4</v>
      </c>
      <c r="CI5" s="454">
        <v>3</v>
      </c>
      <c r="CJ5" s="454">
        <v>3</v>
      </c>
      <c r="CK5" s="454">
        <v>3</v>
      </c>
      <c r="CL5" s="454">
        <v>3</v>
      </c>
      <c r="CM5" s="454">
        <v>3</v>
      </c>
      <c r="CN5" s="454">
        <v>3</v>
      </c>
      <c r="CO5" s="453">
        <v>3</v>
      </c>
      <c r="CP5" s="453">
        <v>3</v>
      </c>
      <c r="CT5" s="107"/>
      <c r="CU5" s="107"/>
      <c r="CV5" s="107"/>
      <c r="CX5" s="452"/>
      <c r="CY5" s="107"/>
      <c r="CZ5" s="107"/>
      <c r="DA5" s="107"/>
    </row>
    <row r="6" spans="1:106" ht="43.5">
      <c r="A6" s="450" t="s">
        <v>892</v>
      </c>
      <c r="B6" s="450" t="s">
        <v>891</v>
      </c>
      <c r="C6" s="450" t="s">
        <v>890</v>
      </c>
      <c r="D6" s="450" t="s">
        <v>889</v>
      </c>
      <c r="E6" s="450" t="s">
        <v>888</v>
      </c>
      <c r="F6" s="450" t="s">
        <v>887</v>
      </c>
      <c r="G6" s="450" t="s">
        <v>886</v>
      </c>
      <c r="H6" s="450" t="s">
        <v>885</v>
      </c>
      <c r="I6" s="450" t="s">
        <v>884</v>
      </c>
      <c r="J6" s="450" t="s">
        <v>883</v>
      </c>
      <c r="K6" s="450" t="s">
        <v>882</v>
      </c>
      <c r="L6" s="450" t="s">
        <v>881</v>
      </c>
      <c r="M6" s="450" t="s">
        <v>880</v>
      </c>
      <c r="N6" s="450" t="s">
        <v>879</v>
      </c>
      <c r="O6" s="450" t="s">
        <v>878</v>
      </c>
      <c r="P6" s="450" t="s">
        <v>877</v>
      </c>
      <c r="Q6" s="450" t="s">
        <v>876</v>
      </c>
      <c r="R6" s="450" t="s">
        <v>875</v>
      </c>
      <c r="S6" s="450" t="s">
        <v>874</v>
      </c>
      <c r="T6" s="450" t="s">
        <v>873</v>
      </c>
      <c r="U6" s="450" t="s">
        <v>872</v>
      </c>
      <c r="V6" s="450" t="s">
        <v>871</v>
      </c>
      <c r="W6" s="450" t="s">
        <v>870</v>
      </c>
      <c r="X6" s="450" t="s">
        <v>869</v>
      </c>
      <c r="Y6" s="450" t="s">
        <v>868</v>
      </c>
      <c r="Z6" s="450" t="s">
        <v>867</v>
      </c>
      <c r="AA6" s="450" t="s">
        <v>866</v>
      </c>
      <c r="AB6" s="450" t="s">
        <v>865</v>
      </c>
      <c r="AC6" s="450" t="s">
        <v>864</v>
      </c>
      <c r="AD6" s="450" t="s">
        <v>863</v>
      </c>
      <c r="AE6" s="450" t="s">
        <v>862</v>
      </c>
      <c r="AF6" s="450" t="s">
        <v>861</v>
      </c>
      <c r="AG6" s="450" t="s">
        <v>860</v>
      </c>
      <c r="AH6" s="450" t="s">
        <v>859</v>
      </c>
      <c r="AI6" s="450" t="s">
        <v>858</v>
      </c>
      <c r="AJ6" s="450" t="s">
        <v>857</v>
      </c>
      <c r="AK6" s="450" t="s">
        <v>856</v>
      </c>
      <c r="AL6" s="450" t="s">
        <v>855</v>
      </c>
      <c r="AM6" s="450" t="s">
        <v>854</v>
      </c>
      <c r="AN6" s="450" t="s">
        <v>853</v>
      </c>
      <c r="AO6" s="450" t="s">
        <v>852</v>
      </c>
      <c r="AP6" s="450" t="s">
        <v>851</v>
      </c>
      <c r="AQ6" s="450" t="s">
        <v>850</v>
      </c>
      <c r="AR6" s="450" t="s">
        <v>849</v>
      </c>
      <c r="AS6" s="450" t="s">
        <v>848</v>
      </c>
      <c r="AT6" s="450" t="s">
        <v>847</v>
      </c>
      <c r="AU6" s="450" t="s">
        <v>846</v>
      </c>
      <c r="AV6" s="451"/>
      <c r="AW6" s="450" t="s">
        <v>891</v>
      </c>
      <c r="AX6" s="450" t="s">
        <v>890</v>
      </c>
      <c r="AY6" s="450" t="s">
        <v>889</v>
      </c>
      <c r="AZ6" s="450" t="s">
        <v>888</v>
      </c>
      <c r="BA6" s="450" t="s">
        <v>887</v>
      </c>
      <c r="BB6" s="450" t="s">
        <v>886</v>
      </c>
      <c r="BC6" s="450" t="s">
        <v>885</v>
      </c>
      <c r="BD6" s="450" t="s">
        <v>884</v>
      </c>
      <c r="BE6" s="450" t="s">
        <v>883</v>
      </c>
      <c r="BF6" s="450" t="s">
        <v>882</v>
      </c>
      <c r="BG6" s="450" t="s">
        <v>881</v>
      </c>
      <c r="BH6" s="450" t="s">
        <v>880</v>
      </c>
      <c r="BI6" s="450" t="s">
        <v>879</v>
      </c>
      <c r="BJ6" s="450" t="s">
        <v>878</v>
      </c>
      <c r="BK6" s="450" t="s">
        <v>877</v>
      </c>
      <c r="BL6" s="450" t="s">
        <v>876</v>
      </c>
      <c r="BM6" s="450" t="s">
        <v>875</v>
      </c>
      <c r="BN6" s="450" t="s">
        <v>874</v>
      </c>
      <c r="BO6" s="450" t="s">
        <v>873</v>
      </c>
      <c r="BP6" s="450" t="s">
        <v>872</v>
      </c>
      <c r="BQ6" s="450" t="s">
        <v>871</v>
      </c>
      <c r="BR6" s="450" t="s">
        <v>870</v>
      </c>
      <c r="BS6" s="450" t="s">
        <v>869</v>
      </c>
      <c r="BT6" s="450" t="s">
        <v>868</v>
      </c>
      <c r="BU6" s="450" t="s">
        <v>867</v>
      </c>
      <c r="BV6" s="450" t="s">
        <v>866</v>
      </c>
      <c r="BW6" s="450" t="s">
        <v>865</v>
      </c>
      <c r="BX6" s="450" t="s">
        <v>864</v>
      </c>
      <c r="BY6" s="450" t="s">
        <v>863</v>
      </c>
      <c r="BZ6" s="450" t="s">
        <v>862</v>
      </c>
      <c r="CA6" s="450" t="s">
        <v>861</v>
      </c>
      <c r="CB6" s="450" t="s">
        <v>860</v>
      </c>
      <c r="CC6" s="450" t="s">
        <v>859</v>
      </c>
      <c r="CD6" s="450" t="s">
        <v>858</v>
      </c>
      <c r="CE6" s="450" t="s">
        <v>857</v>
      </c>
      <c r="CF6" s="450" t="s">
        <v>856</v>
      </c>
      <c r="CG6" s="450" t="s">
        <v>855</v>
      </c>
      <c r="CH6" s="450" t="s">
        <v>854</v>
      </c>
      <c r="CI6" s="450" t="s">
        <v>853</v>
      </c>
      <c r="CJ6" s="450" t="s">
        <v>852</v>
      </c>
      <c r="CK6" s="450" t="s">
        <v>851</v>
      </c>
      <c r="CL6" s="450" t="s">
        <v>850</v>
      </c>
      <c r="CM6" s="450" t="s">
        <v>849</v>
      </c>
      <c r="CN6" s="450" t="s">
        <v>848</v>
      </c>
      <c r="CO6" s="450" t="s">
        <v>847</v>
      </c>
      <c r="CP6" s="450" t="s">
        <v>846</v>
      </c>
      <c r="CQ6" s="449" t="s">
        <v>845</v>
      </c>
      <c r="CR6" s="449" t="s">
        <v>844</v>
      </c>
      <c r="CT6" s="447" t="s">
        <v>843</v>
      </c>
      <c r="CU6" s="447" t="s">
        <v>842</v>
      </c>
      <c r="CV6" s="447" t="s">
        <v>841</v>
      </c>
      <c r="CW6" s="447" t="s">
        <v>840</v>
      </c>
      <c r="CX6" s="448"/>
      <c r="CY6" s="447" t="s">
        <v>839</v>
      </c>
      <c r="CZ6" s="447" t="s">
        <v>838</v>
      </c>
      <c r="DA6" s="447" t="s">
        <v>837</v>
      </c>
      <c r="DB6" s="447" t="s">
        <v>836</v>
      </c>
    </row>
    <row r="7" spans="1:106" hidden="1">
      <c r="A7" s="434" t="s">
        <v>835</v>
      </c>
      <c r="B7" s="428">
        <v>409099.46024500002</v>
      </c>
      <c r="C7" s="428">
        <v>121946.62380000002</v>
      </c>
      <c r="D7" s="428">
        <v>0</v>
      </c>
      <c r="E7" s="428"/>
      <c r="F7" s="428"/>
      <c r="G7" s="428"/>
      <c r="H7" s="428"/>
      <c r="I7" s="428"/>
      <c r="J7" s="428"/>
      <c r="K7" s="429">
        <v>3261.0435303857548</v>
      </c>
      <c r="L7" s="429">
        <v>724.67634008572315</v>
      </c>
      <c r="M7" s="429">
        <v>1040.3108237162492</v>
      </c>
      <c r="N7" s="429">
        <v>96933.702762936184</v>
      </c>
      <c r="O7" s="429">
        <v>272402.17991884926</v>
      </c>
      <c r="P7" s="429"/>
      <c r="Q7" s="429">
        <v>57782.636386634964</v>
      </c>
      <c r="R7" s="429">
        <v>4519.3697053426531</v>
      </c>
      <c r="S7" s="429">
        <v>510465.46661318862</v>
      </c>
      <c r="T7" s="429">
        <v>91921.962096084288</v>
      </c>
      <c r="U7" s="428">
        <v>1078.230440655045</v>
      </c>
      <c r="V7" s="428">
        <v>5379.6524932771499</v>
      </c>
      <c r="W7" s="428">
        <v>221.28235129203549</v>
      </c>
      <c r="X7" s="428">
        <v>13298.280955708799</v>
      </c>
      <c r="Y7" s="428">
        <v>0</v>
      </c>
      <c r="Z7" s="428">
        <v>0</v>
      </c>
      <c r="AA7" s="429"/>
      <c r="AB7" s="429">
        <v>0.14398913509477249</v>
      </c>
      <c r="AC7" s="429">
        <v>33.698024124641599</v>
      </c>
      <c r="AD7" s="429">
        <v>26551.134486077783</v>
      </c>
      <c r="AE7" s="429">
        <v>2.3487512290960337</v>
      </c>
      <c r="AF7" s="429"/>
      <c r="AG7" s="429">
        <v>3.9399180147967909</v>
      </c>
      <c r="AH7" s="429">
        <v>987.15470608920907</v>
      </c>
      <c r="AI7" s="429">
        <v>215.96097669673725</v>
      </c>
      <c r="AJ7" s="446"/>
      <c r="AK7" s="429">
        <v>4152.5793748890192</v>
      </c>
      <c r="AL7" s="333"/>
      <c r="AM7" s="429">
        <v>680.36345427645506</v>
      </c>
      <c r="AN7" s="429">
        <v>10023.715850865137</v>
      </c>
      <c r="AO7" s="429">
        <v>3378.9733802183264</v>
      </c>
      <c r="AP7" s="430"/>
      <c r="AQ7" s="429">
        <v>4125.5494474832267</v>
      </c>
      <c r="AR7" s="429">
        <v>4333.3324285027684</v>
      </c>
      <c r="AS7" s="429"/>
      <c r="AT7" s="428">
        <v>12211.295249999999</v>
      </c>
      <c r="AU7" s="428">
        <v>34553.836335</v>
      </c>
      <c r="AV7" s="433"/>
      <c r="AW7" s="428">
        <v>305043.81808944448</v>
      </c>
      <c r="AX7" s="428">
        <v>100578.13746666667</v>
      </c>
      <c r="AY7" s="428">
        <v>0</v>
      </c>
      <c r="AZ7" s="428"/>
      <c r="BA7" s="428"/>
      <c r="BB7" s="428"/>
      <c r="BC7" s="428"/>
      <c r="BD7" s="428"/>
      <c r="BE7" s="428"/>
      <c r="BF7" s="429">
        <v>10245.630019607404</v>
      </c>
      <c r="BG7" s="429">
        <v>2276.8066710238677</v>
      </c>
      <c r="BH7" s="429">
        <v>2298.8578689206643</v>
      </c>
      <c r="BI7" s="429">
        <v>135358.1656880728</v>
      </c>
      <c r="BJ7" s="429">
        <v>278890.9408621281</v>
      </c>
      <c r="BK7" s="429"/>
      <c r="BL7" s="429">
        <v>64663.860407741638</v>
      </c>
      <c r="BM7" s="429">
        <v>5341.6063334076234</v>
      </c>
      <c r="BN7" s="429">
        <v>487777.50378560595</v>
      </c>
      <c r="BO7" s="429">
        <v>96065.671037974316</v>
      </c>
      <c r="BP7" s="428">
        <v>1331.2442919859836</v>
      </c>
      <c r="BQ7" s="428">
        <v>6642.0232674868221</v>
      </c>
      <c r="BR7" s="428">
        <v>250.16780828318602</v>
      </c>
      <c r="BS7" s="428">
        <v>15765.31827312241</v>
      </c>
      <c r="BT7" s="428">
        <v>0</v>
      </c>
      <c r="BU7" s="428">
        <v>0</v>
      </c>
      <c r="BV7" s="431"/>
      <c r="BW7" s="432">
        <v>0.18403362607057916</v>
      </c>
      <c r="BX7" s="432">
        <v>32.456681880356875</v>
      </c>
      <c r="BY7" s="429">
        <v>36109.119043722414</v>
      </c>
      <c r="BZ7" s="429">
        <v>3.7639692360536894</v>
      </c>
      <c r="CA7" s="429"/>
      <c r="CB7" s="431">
        <v>6.4177542463052033</v>
      </c>
      <c r="CC7" s="429">
        <v>795.42387078579304</v>
      </c>
      <c r="CD7" s="429">
        <v>174.01580012046804</v>
      </c>
      <c r="CE7" s="430"/>
      <c r="CF7" s="429">
        <v>3447.4368500033079</v>
      </c>
      <c r="CG7" s="333"/>
      <c r="CH7" s="429">
        <v>562.87764325334911</v>
      </c>
      <c r="CI7" s="429">
        <v>4252.7965215593576</v>
      </c>
      <c r="CJ7" s="429">
        <v>1822.6270806682962</v>
      </c>
      <c r="CK7" s="430"/>
      <c r="CL7" s="429">
        <v>3871.1877723153202</v>
      </c>
      <c r="CM7" s="429">
        <v>3491.6878098434381</v>
      </c>
      <c r="CN7" s="429"/>
      <c r="CO7" s="428">
        <v>15858.432333333418</v>
      </c>
      <c r="CP7" s="428">
        <v>54589.407585000001</v>
      </c>
      <c r="CQ7" s="420">
        <f t="shared" ref="CQ7:CQ41" si="0">SUM(B7:AU7)</f>
        <v>1691328.9048357587</v>
      </c>
      <c r="CR7" s="420">
        <f t="shared" ref="CR7:CR41" si="1">SUM(AW7:CP7)</f>
        <v>1637547.5866210656</v>
      </c>
      <c r="CT7" s="420">
        <f t="shared" ref="CT7:CT42" si="2">E7+F7+G7+H7+I7+J7+K7+L7+M7+N7+O7+P7+Q7+R7+R7+S7+T7</f>
        <v>1043570.7178825663</v>
      </c>
      <c r="CU7" s="420">
        <f t="shared" ref="CU7:CU42" si="3">B7+C7+D7+U7+V7+W7+X7+Y7+Z7</f>
        <v>551023.53028593305</v>
      </c>
      <c r="CV7" s="420">
        <f t="shared" ref="CV7:CV42" si="4">AN7+AO7+AP7+AQ7+AR7+AS7+AT7+AU7</f>
        <v>68626.702692069463</v>
      </c>
      <c r="CW7" s="420">
        <f t="shared" ref="CW7:CW42" si="5">AA7+AB7+AC7+AD7+AE7+AF7+AG7+AH7+AI7+AJ7+AK7+AL7+AM7</f>
        <v>32627.323680532827</v>
      </c>
      <c r="CX7" s="427"/>
      <c r="CY7" s="420">
        <f t="shared" ref="CY7:CY42" si="6">AZ7+BA7+BB7+BC7+BD7+BE7+BF7+BG7+BH7+BI7+BJ7+BK7+BL7+BM7+BN7+BO7</f>
        <v>1082919.0426744823</v>
      </c>
      <c r="CZ7" s="420">
        <f t="shared" ref="CZ7:CZ42" si="7">AW7+AX7+AY7+BP7+BQ7+BR7+BS7+BT7+BU7</f>
        <v>429610.7091969896</v>
      </c>
      <c r="DA7" s="420">
        <f t="shared" ref="DA7:DA42" si="8">CI7+CJ7+CK7+CL7+CM7+CN7+CO7+CP7</f>
        <v>83886.139102719826</v>
      </c>
      <c r="DB7" s="420">
        <f t="shared" ref="DB7:DB42" si="9">BV7+BW7+BX7+BY7+BZ7+CA7+CB7+CC7+CD7+CE7+CF7+CG7+CH7</f>
        <v>41131.695646874126</v>
      </c>
    </row>
    <row r="8" spans="1:106" s="71" customFormat="1">
      <c r="A8" s="445" t="s">
        <v>834</v>
      </c>
      <c r="B8" s="439">
        <v>3192146.2166699995</v>
      </c>
      <c r="C8" s="439">
        <v>1461293.7622</v>
      </c>
      <c r="D8" s="439">
        <v>0</v>
      </c>
      <c r="E8" s="439">
        <v>10843.983904097924</v>
      </c>
      <c r="F8" s="439">
        <v>461.10912576770397</v>
      </c>
      <c r="G8" s="439">
        <v>7548.8911318337305</v>
      </c>
      <c r="H8" s="439">
        <v>14692.056031333103</v>
      </c>
      <c r="I8" s="439">
        <v>598.77603727529095</v>
      </c>
      <c r="J8" s="439">
        <v>9991.2787881218119</v>
      </c>
      <c r="K8" s="440">
        <v>23087.910170319392</v>
      </c>
      <c r="L8" s="440">
        <v>5130.6467045154204</v>
      </c>
      <c r="M8" s="440">
        <v>28325.72906804712</v>
      </c>
      <c r="N8" s="440">
        <v>645064.18898980354</v>
      </c>
      <c r="O8" s="440">
        <v>1347896.52381187</v>
      </c>
      <c r="P8" s="440">
        <v>73226.686856418906</v>
      </c>
      <c r="Q8" s="440">
        <v>22072.553094896128</v>
      </c>
      <c r="R8" s="440">
        <v>30683.8880756217</v>
      </c>
      <c r="S8" s="440">
        <v>1848215.6180712678</v>
      </c>
      <c r="T8" s="440">
        <v>323834.8145576574</v>
      </c>
      <c r="U8" s="439">
        <v>330190.9497180325</v>
      </c>
      <c r="V8" s="439">
        <v>6286.1326542319739</v>
      </c>
      <c r="W8" s="439">
        <v>82070.224969716059</v>
      </c>
      <c r="X8" s="439">
        <v>233108.55880845711</v>
      </c>
      <c r="Y8" s="439">
        <v>143319.14590418807</v>
      </c>
      <c r="Z8" s="439">
        <v>955341.54271247378</v>
      </c>
      <c r="AA8" s="440"/>
      <c r="AB8" s="440"/>
      <c r="AC8" s="440">
        <v>168.72459357572419</v>
      </c>
      <c r="AD8" s="440"/>
      <c r="AE8" s="440"/>
      <c r="AF8" s="440">
        <v>183.8828673014257</v>
      </c>
      <c r="AG8" s="440"/>
      <c r="AH8" s="440">
        <v>20452.846367825372</v>
      </c>
      <c r="AI8" s="440">
        <v>3446.4552204201145</v>
      </c>
      <c r="AJ8" s="440">
        <v>131.31267771171372</v>
      </c>
      <c r="AK8" s="440">
        <v>11627.393664719877</v>
      </c>
      <c r="AL8" s="442"/>
      <c r="AM8" s="440">
        <v>27887.8131368045</v>
      </c>
      <c r="AN8" s="441">
        <v>291853.13190000004</v>
      </c>
      <c r="AO8" s="441">
        <v>20983.204102248568</v>
      </c>
      <c r="AP8" s="441">
        <v>27610.038197819998</v>
      </c>
      <c r="AQ8" s="440">
        <v>15659.72527658</v>
      </c>
      <c r="AR8" s="440">
        <v>14190.213767973801</v>
      </c>
      <c r="AS8" s="440">
        <v>224375.97641824104</v>
      </c>
      <c r="AT8" s="439">
        <v>66145.521818425404</v>
      </c>
      <c r="AU8" s="439">
        <v>166404.28142213993</v>
      </c>
      <c r="AV8" s="465"/>
      <c r="AW8" s="439">
        <v>2279720.5262585552</v>
      </c>
      <c r="AX8" s="439">
        <v>1461831.4138666668</v>
      </c>
      <c r="AY8" s="439">
        <v>0</v>
      </c>
      <c r="AZ8" s="439">
        <v>83531.475687287762</v>
      </c>
      <c r="BA8" s="439">
        <v>3548.6239610611669</v>
      </c>
      <c r="BB8" s="439">
        <v>58119.145630125495</v>
      </c>
      <c r="BC8" s="439">
        <v>190900.49302559096</v>
      </c>
      <c r="BD8" s="439">
        <v>7779.7545952827659</v>
      </c>
      <c r="BE8" s="439">
        <v>129817.42993243205</v>
      </c>
      <c r="BF8" s="440">
        <v>48781.824167417988</v>
      </c>
      <c r="BG8" s="440">
        <v>10840.40537053733</v>
      </c>
      <c r="BH8" s="440">
        <v>60687.384584312749</v>
      </c>
      <c r="BI8" s="440">
        <v>603200.57288229477</v>
      </c>
      <c r="BJ8" s="440">
        <v>586629.94146861939</v>
      </c>
      <c r="BK8" s="440">
        <v>64323.175923088944</v>
      </c>
      <c r="BL8" s="440">
        <v>21026.025535529945</v>
      </c>
      <c r="BM8" s="440">
        <v>21154.786932423118</v>
      </c>
      <c r="BN8" s="440">
        <v>1645464.3668263012</v>
      </c>
      <c r="BO8" s="440">
        <v>276467.24399760715</v>
      </c>
      <c r="BP8" s="439">
        <v>233058.61064801292</v>
      </c>
      <c r="BQ8" s="439">
        <v>4436.9397283465314</v>
      </c>
      <c r="BR8" s="439">
        <v>89870.202123262847</v>
      </c>
      <c r="BS8" s="439">
        <v>217190.99089622087</v>
      </c>
      <c r="BT8" s="439">
        <v>117223.37756243639</v>
      </c>
      <c r="BU8" s="439">
        <v>955341.54271247378</v>
      </c>
      <c r="BV8" s="443"/>
      <c r="BW8" s="444"/>
      <c r="BX8" s="444">
        <v>172.96809564020845</v>
      </c>
      <c r="BY8" s="440"/>
      <c r="BZ8" s="440"/>
      <c r="CA8" s="440">
        <v>249.273533273053</v>
      </c>
      <c r="CB8" s="443"/>
      <c r="CC8" s="440">
        <v>19183.250460952368</v>
      </c>
      <c r="CD8" s="440">
        <v>3232.5189612620838</v>
      </c>
      <c r="CE8" s="440">
        <v>117.5632848774197</v>
      </c>
      <c r="CF8" s="440">
        <v>11236.10514478257</v>
      </c>
      <c r="CG8" s="442"/>
      <c r="CH8" s="440">
        <v>26812.028755080704</v>
      </c>
      <c r="CI8" s="441">
        <v>243926.13690000001</v>
      </c>
      <c r="CJ8" s="441">
        <v>17537.423303031293</v>
      </c>
      <c r="CK8" s="441">
        <v>26566.640431979999</v>
      </c>
      <c r="CL8" s="440">
        <v>22692.836525064784</v>
      </c>
      <c r="CM8" s="440">
        <v>13287.538395705877</v>
      </c>
      <c r="CN8" s="440">
        <v>215720.57666062383</v>
      </c>
      <c r="CO8" s="439">
        <v>70186.449739272313</v>
      </c>
      <c r="CP8" s="439">
        <v>188603.14519510479</v>
      </c>
      <c r="CQ8" s="437">
        <f t="shared" si="0"/>
        <v>11686551.709487734</v>
      </c>
      <c r="CR8" s="437">
        <f t="shared" si="1"/>
        <v>10030470.709702536</v>
      </c>
      <c r="CT8" s="437">
        <f t="shared" si="2"/>
        <v>4422358.5424944684</v>
      </c>
      <c r="CU8" s="437">
        <f t="shared" si="3"/>
        <v>6403756.533637099</v>
      </c>
      <c r="CV8" s="437">
        <f t="shared" si="4"/>
        <v>827222.09290342894</v>
      </c>
      <c r="CW8" s="437">
        <f t="shared" si="5"/>
        <v>63898.428528358723</v>
      </c>
      <c r="CX8" s="438"/>
      <c r="CY8" s="437">
        <f t="shared" si="6"/>
        <v>3812272.6505199131</v>
      </c>
      <c r="CZ8" s="437">
        <f t="shared" si="7"/>
        <v>5358673.6037959754</v>
      </c>
      <c r="DA8" s="437">
        <f t="shared" si="8"/>
        <v>798520.74715078296</v>
      </c>
      <c r="DB8" s="437">
        <f t="shared" si="9"/>
        <v>61003.708235868406</v>
      </c>
    </row>
    <row r="9" spans="1:106" hidden="1">
      <c r="A9" s="434" t="s">
        <v>833</v>
      </c>
      <c r="B9" s="428">
        <v>92456.667400000049</v>
      </c>
      <c r="C9" s="428">
        <v>206558.19108480899</v>
      </c>
      <c r="D9" s="428">
        <v>0</v>
      </c>
      <c r="E9" s="428"/>
      <c r="F9" s="428"/>
      <c r="G9" s="428"/>
      <c r="H9" s="428"/>
      <c r="I9" s="428"/>
      <c r="J9" s="428"/>
      <c r="K9" s="429">
        <v>3809.7086086749623</v>
      </c>
      <c r="L9" s="429">
        <v>846.60191303888041</v>
      </c>
      <c r="M9" s="429">
        <v>1849.0212714657832</v>
      </c>
      <c r="N9" s="429">
        <v>95345.198661456467</v>
      </c>
      <c r="O9" s="429">
        <v>839401.4350380759</v>
      </c>
      <c r="P9" s="429"/>
      <c r="Q9" s="429">
        <v>82679.379359287734</v>
      </c>
      <c r="R9" s="429">
        <v>7337.1511384995529</v>
      </c>
      <c r="S9" s="429"/>
      <c r="T9" s="429"/>
      <c r="U9" s="428">
        <v>69130.63538160699</v>
      </c>
      <c r="V9" s="428">
        <v>41929.360979818397</v>
      </c>
      <c r="W9" s="428">
        <v>6004.3655426265495</v>
      </c>
      <c r="X9" s="428">
        <v>42282.954062009405</v>
      </c>
      <c r="Y9" s="428">
        <v>8146.6559999999999</v>
      </c>
      <c r="Z9" s="428">
        <v>56574</v>
      </c>
      <c r="AA9" s="429"/>
      <c r="AB9" s="429"/>
      <c r="AC9" s="429">
        <v>42.002510811803091</v>
      </c>
      <c r="AD9" s="429"/>
      <c r="AE9" s="429">
        <v>4.7812499968055379E-3</v>
      </c>
      <c r="AF9" s="429"/>
      <c r="AG9" s="429">
        <v>8.6720867150731906E-3</v>
      </c>
      <c r="AH9" s="429">
        <v>2011.0458397461337</v>
      </c>
      <c r="AI9" s="333"/>
      <c r="AJ9" s="429">
        <v>8.2892667826807394</v>
      </c>
      <c r="AK9" s="429">
        <v>2852.6625870779003</v>
      </c>
      <c r="AL9" s="333"/>
      <c r="AM9" s="429">
        <v>1601.4040358930638</v>
      </c>
      <c r="AN9" s="430">
        <v>4943.3524536988853</v>
      </c>
      <c r="AO9" s="430">
        <v>17148.774326576629</v>
      </c>
      <c r="AP9" s="430"/>
      <c r="AQ9" s="429">
        <v>4546.6910326150401</v>
      </c>
      <c r="AR9" s="429">
        <v>4736.2878159774709</v>
      </c>
      <c r="AS9" s="429">
        <v>363.27623920449543</v>
      </c>
      <c r="AT9" s="428">
        <v>23542.047374999998</v>
      </c>
      <c r="AU9" s="428">
        <v>80230.583025</v>
      </c>
      <c r="AV9" s="433"/>
      <c r="AW9" s="428">
        <v>0</v>
      </c>
      <c r="AX9" s="428">
        <v>169832.76825868175</v>
      </c>
      <c r="AY9" s="428">
        <v>0</v>
      </c>
      <c r="AZ9" s="428"/>
      <c r="BA9" s="428"/>
      <c r="BB9" s="428"/>
      <c r="BC9" s="428"/>
      <c r="BD9" s="428"/>
      <c r="BE9" s="428"/>
      <c r="BF9" s="429">
        <v>10387.144346360266</v>
      </c>
      <c r="BG9" s="429">
        <v>2308.2542991911705</v>
      </c>
      <c r="BH9" s="429">
        <v>4085.8353687203789</v>
      </c>
      <c r="BI9" s="429">
        <v>128958.80221900964</v>
      </c>
      <c r="BJ9" s="429">
        <v>1002368.1338522859</v>
      </c>
      <c r="BK9" s="429"/>
      <c r="BL9" s="429">
        <v>84153.344072690234</v>
      </c>
      <c r="BM9" s="429">
        <v>11686.12867866092</v>
      </c>
      <c r="BN9" s="429"/>
      <c r="BO9" s="429"/>
      <c r="BP9" s="428">
        <v>70975.972486877537</v>
      </c>
      <c r="BQ9" s="428">
        <v>43048.601461107617</v>
      </c>
      <c r="BR9" s="428">
        <v>6788.1553099893836</v>
      </c>
      <c r="BS9" s="428">
        <v>45717.432173697343</v>
      </c>
      <c r="BT9" s="428">
        <v>7769.496000000001</v>
      </c>
      <c r="BU9" s="428">
        <v>56574</v>
      </c>
      <c r="BV9" s="431"/>
      <c r="BW9" s="432"/>
      <c r="BX9" s="432">
        <v>39.455027366683524</v>
      </c>
      <c r="BY9" s="429"/>
      <c r="BZ9" s="429">
        <v>1.0080281793030318E-2</v>
      </c>
      <c r="CA9" s="429"/>
      <c r="CB9" s="431">
        <v>1.8283310406261487E-2</v>
      </c>
      <c r="CC9" s="429">
        <v>1618.8628862271901</v>
      </c>
      <c r="CD9" s="333"/>
      <c r="CE9" s="429">
        <v>6.369433793857719</v>
      </c>
      <c r="CF9" s="429">
        <v>2365.9386563020248</v>
      </c>
      <c r="CG9" s="333"/>
      <c r="CH9" s="429">
        <v>1323.5752497779763</v>
      </c>
      <c r="CI9" s="430">
        <v>21562.425686198101</v>
      </c>
      <c r="CJ9" s="430">
        <v>9241.0395797991841</v>
      </c>
      <c r="CK9" s="430"/>
      <c r="CL9" s="429">
        <v>4298.0305488758668</v>
      </c>
      <c r="CM9" s="429">
        <v>3812.6433581165238</v>
      </c>
      <c r="CN9" s="429">
        <v>300.25117226293895</v>
      </c>
      <c r="CO9" s="428">
        <v>30280.381541666666</v>
      </c>
      <c r="CP9" s="428">
        <v>117247.66553333342</v>
      </c>
      <c r="CQ9" s="420">
        <f t="shared" si="0"/>
        <v>1696377.7564030909</v>
      </c>
      <c r="CR9" s="420">
        <f t="shared" si="1"/>
        <v>1836750.7355645844</v>
      </c>
      <c r="CT9" s="420">
        <f t="shared" si="2"/>
        <v>1038605.6471289988</v>
      </c>
      <c r="CU9" s="420">
        <f t="shared" si="3"/>
        <v>523082.83045087039</v>
      </c>
      <c r="CV9" s="420">
        <f t="shared" si="4"/>
        <v>135511.01226807252</v>
      </c>
      <c r="CW9" s="420">
        <f t="shared" si="5"/>
        <v>6515.4176936482927</v>
      </c>
      <c r="CX9" s="427"/>
      <c r="CY9" s="420">
        <f t="shared" si="6"/>
        <v>1243947.6428369184</v>
      </c>
      <c r="CZ9" s="420">
        <f t="shared" si="7"/>
        <v>400706.42569035362</v>
      </c>
      <c r="DA9" s="420">
        <f t="shared" si="8"/>
        <v>186742.43742025271</v>
      </c>
      <c r="DB9" s="420">
        <f t="shared" si="9"/>
        <v>5354.2296170599311</v>
      </c>
    </row>
    <row r="10" spans="1:106">
      <c r="A10" s="434" t="s">
        <v>832</v>
      </c>
      <c r="B10" s="428">
        <v>1394689.2094159997</v>
      </c>
      <c r="C10" s="428">
        <v>776484.66369999992</v>
      </c>
      <c r="D10" s="428">
        <v>0</v>
      </c>
      <c r="E10" s="428">
        <v>60257.973879322533</v>
      </c>
      <c r="F10" s="428">
        <v>2605.7502218085428</v>
      </c>
      <c r="G10" s="428">
        <v>42343.441104388803</v>
      </c>
      <c r="H10" s="428">
        <v>37638.971734989711</v>
      </c>
      <c r="I10" s="428">
        <v>1627.6312101617179</v>
      </c>
      <c r="J10" s="428">
        <v>26449.007165127903</v>
      </c>
      <c r="K10" s="429">
        <v>51312.460832950826</v>
      </c>
      <c r="L10" s="429">
        <v>11402.769073989068</v>
      </c>
      <c r="M10" s="429">
        <v>4205.8832567086529</v>
      </c>
      <c r="N10" s="429">
        <v>1796136.414289101</v>
      </c>
      <c r="O10" s="429">
        <v>5716329.4217471946</v>
      </c>
      <c r="P10" s="429"/>
      <c r="Q10" s="429">
        <v>82889.008341630455</v>
      </c>
      <c r="R10" s="429">
        <v>66551.547823665067</v>
      </c>
      <c r="S10" s="429">
        <v>229072.76878705143</v>
      </c>
      <c r="T10" s="429">
        <v>131660.33410231682</v>
      </c>
      <c r="U10" s="428">
        <v>40938.505524806067</v>
      </c>
      <c r="V10" s="428">
        <v>10327.827871171126</v>
      </c>
      <c r="W10" s="428">
        <v>15057.436852802446</v>
      </c>
      <c r="X10" s="428">
        <v>73293.698834876428</v>
      </c>
      <c r="Y10" s="428">
        <v>14404.062788882811</v>
      </c>
      <c r="Z10" s="428">
        <v>97314.725885176798</v>
      </c>
      <c r="AA10" s="429">
        <v>4.5660617792236353</v>
      </c>
      <c r="AB10" s="429"/>
      <c r="AC10" s="429">
        <v>134.18883657783596</v>
      </c>
      <c r="AD10" s="429">
        <v>205441.73010136263</v>
      </c>
      <c r="AE10" s="429"/>
      <c r="AF10" s="429"/>
      <c r="AG10" s="429"/>
      <c r="AH10" s="429">
        <v>10723.297821982058</v>
      </c>
      <c r="AI10" s="429">
        <v>1516.3263724926949</v>
      </c>
      <c r="AJ10" s="429">
        <v>87.300394956601608</v>
      </c>
      <c r="AK10" s="429">
        <v>13587.105478330242</v>
      </c>
      <c r="AL10" s="333"/>
      <c r="AM10" s="429">
        <v>4345.7332866924171</v>
      </c>
      <c r="AN10" s="430">
        <v>232726.67968000009</v>
      </c>
      <c r="AO10" s="430">
        <v>17380.203971203315</v>
      </c>
      <c r="AP10" s="430">
        <v>19465.83227472</v>
      </c>
      <c r="AQ10" s="429">
        <v>18595.28131002111</v>
      </c>
      <c r="AR10" s="429">
        <v>10004.488917063883</v>
      </c>
      <c r="AS10" s="429">
        <v>98594.633961795218</v>
      </c>
      <c r="AT10" s="428">
        <v>5603.7841103319042</v>
      </c>
      <c r="AU10" s="428">
        <v>21549.733232683713</v>
      </c>
      <c r="AV10" s="433"/>
      <c r="AW10" s="428">
        <v>1358591.1291582219</v>
      </c>
      <c r="AX10" s="428">
        <v>769948.81425555551</v>
      </c>
      <c r="AY10" s="428">
        <v>0</v>
      </c>
      <c r="AZ10" s="428">
        <v>379109.52017622435</v>
      </c>
      <c r="BA10" s="428">
        <v>16393.925196809709</v>
      </c>
      <c r="BB10" s="428">
        <v>266401.28444815747</v>
      </c>
      <c r="BC10" s="428">
        <v>498007.38771212194</v>
      </c>
      <c r="BD10" s="428">
        <v>21535.454603767437</v>
      </c>
      <c r="BE10" s="428">
        <v>349951.13731122058</v>
      </c>
      <c r="BF10" s="429">
        <v>109626.29616642516</v>
      </c>
      <c r="BG10" s="429">
        <v>24361.399148094479</v>
      </c>
      <c r="BH10" s="429">
        <v>9605.3220948077924</v>
      </c>
      <c r="BI10" s="429">
        <v>1745430.6500385166</v>
      </c>
      <c r="BJ10" s="429">
        <v>6871807.8056150591</v>
      </c>
      <c r="BK10" s="429"/>
      <c r="BL10" s="429">
        <v>69912.684812393563</v>
      </c>
      <c r="BM10" s="429">
        <v>70072.370159777696</v>
      </c>
      <c r="BN10" s="429">
        <v>212311.01900366723</v>
      </c>
      <c r="BO10" s="429">
        <v>106225.28763740594</v>
      </c>
      <c r="BP10" s="428">
        <v>45044.286929116366</v>
      </c>
      <c r="BQ10" s="428">
        <v>11363.620533281819</v>
      </c>
      <c r="BR10" s="428">
        <v>15965.746917867378</v>
      </c>
      <c r="BS10" s="428">
        <v>79208.109002229015</v>
      </c>
      <c r="BT10" s="428">
        <v>13737.208030138227</v>
      </c>
      <c r="BU10" s="428">
        <v>97314.725885176798</v>
      </c>
      <c r="BV10" s="431">
        <v>1.9465343350362272</v>
      </c>
      <c r="BW10" s="432"/>
      <c r="BX10" s="432">
        <v>132.82663444454064</v>
      </c>
      <c r="BY10" s="429">
        <v>262185.49224384112</v>
      </c>
      <c r="BZ10" s="429"/>
      <c r="CA10" s="429"/>
      <c r="CB10" s="431"/>
      <c r="CC10" s="429">
        <v>8679.0163984042792</v>
      </c>
      <c r="CD10" s="429">
        <v>1227.255054431052</v>
      </c>
      <c r="CE10" s="429">
        <v>67.445808233582255</v>
      </c>
      <c r="CF10" s="429">
        <v>11330.108401609552</v>
      </c>
      <c r="CG10" s="333"/>
      <c r="CH10" s="429">
        <v>3585.8250044099868</v>
      </c>
      <c r="CI10" s="430">
        <v>166936.36752000003</v>
      </c>
      <c r="CJ10" s="430">
        <v>12466.933837146556</v>
      </c>
      <c r="CK10" s="430">
        <v>16075.090008120002</v>
      </c>
      <c r="CL10" s="429">
        <v>39404.373730951753</v>
      </c>
      <c r="CM10" s="429">
        <v>8040.0973636169711</v>
      </c>
      <c r="CN10" s="429">
        <v>81354.073164932008</v>
      </c>
      <c r="CO10" s="428">
        <v>7211.3366595284042</v>
      </c>
      <c r="CP10" s="428">
        <v>30380.833600347611</v>
      </c>
      <c r="CQ10" s="420">
        <f t="shared" si="0"/>
        <v>11342754.400256118</v>
      </c>
      <c r="CR10" s="420">
        <f t="shared" si="1"/>
        <v>13791004.206800388</v>
      </c>
      <c r="CT10" s="420">
        <f t="shared" si="2"/>
        <v>8327034.9313940722</v>
      </c>
      <c r="CU10" s="420">
        <f t="shared" si="3"/>
        <v>2422510.1308737155</v>
      </c>
      <c r="CV10" s="420">
        <f t="shared" si="4"/>
        <v>423920.63745781931</v>
      </c>
      <c r="CW10" s="420">
        <f t="shared" si="5"/>
        <v>235840.24835417373</v>
      </c>
      <c r="CX10" s="427"/>
      <c r="CY10" s="420">
        <f t="shared" si="6"/>
        <v>10750751.544124447</v>
      </c>
      <c r="CZ10" s="420">
        <f t="shared" si="7"/>
        <v>2391173.6407115869</v>
      </c>
      <c r="DA10" s="420">
        <f t="shared" si="8"/>
        <v>361869.10588464339</v>
      </c>
      <c r="DB10" s="420">
        <f t="shared" si="9"/>
        <v>287209.91607970907</v>
      </c>
    </row>
    <row r="11" spans="1:106">
      <c r="A11" s="434" t="s">
        <v>831</v>
      </c>
      <c r="B11" s="428">
        <v>589079.36214500014</v>
      </c>
      <c r="C11" s="428">
        <v>253394.02420000001</v>
      </c>
      <c r="D11" s="428">
        <v>0</v>
      </c>
      <c r="E11" s="428">
        <v>8364.8737107348879</v>
      </c>
      <c r="F11" s="428">
        <v>353.04013941169535</v>
      </c>
      <c r="G11" s="428">
        <v>6242.1925226489457</v>
      </c>
      <c r="H11" s="428">
        <v>11218.578969321254</v>
      </c>
      <c r="I11" s="428">
        <v>484.74798785245935</v>
      </c>
      <c r="J11" s="428">
        <v>7899.2508193180893</v>
      </c>
      <c r="K11" s="429">
        <v>5569.0476499515407</v>
      </c>
      <c r="L11" s="429">
        <v>1237.5661444336754</v>
      </c>
      <c r="M11" s="429">
        <v>36682.325757244827</v>
      </c>
      <c r="N11" s="429">
        <v>440198.13766253868</v>
      </c>
      <c r="O11" s="429">
        <v>761397.52876561123</v>
      </c>
      <c r="P11" s="429">
        <v>74009.165265729695</v>
      </c>
      <c r="Q11" s="429">
        <v>9598.9620054990592</v>
      </c>
      <c r="R11" s="429">
        <v>24316.401855507629</v>
      </c>
      <c r="S11" s="429">
        <v>3556230.3317255606</v>
      </c>
      <c r="T11" s="429">
        <v>373667.01902777801</v>
      </c>
      <c r="U11" s="428">
        <v>47604.025440651487</v>
      </c>
      <c r="V11" s="428">
        <v>11901.724001887555</v>
      </c>
      <c r="W11" s="428">
        <v>30313.413994028182</v>
      </c>
      <c r="X11" s="428">
        <v>69470.399266351669</v>
      </c>
      <c r="Y11" s="428">
        <v>37488.478232700305</v>
      </c>
      <c r="Z11" s="428">
        <v>175213.00618415209</v>
      </c>
      <c r="AA11" s="429"/>
      <c r="AB11" s="429"/>
      <c r="AC11" s="429">
        <v>302.65304157639923</v>
      </c>
      <c r="AD11" s="429"/>
      <c r="AE11" s="429"/>
      <c r="AF11" s="429">
        <v>216.26053828310546</v>
      </c>
      <c r="AG11" s="429"/>
      <c r="AH11" s="429">
        <v>56312.364437013915</v>
      </c>
      <c r="AI11" s="429">
        <v>1917.0721887281345</v>
      </c>
      <c r="AJ11" s="429">
        <v>25.949613514943572</v>
      </c>
      <c r="AK11" s="429">
        <v>14704.108148283134</v>
      </c>
      <c r="AL11" s="333"/>
      <c r="AM11" s="429">
        <v>63852.360892973855</v>
      </c>
      <c r="AN11" s="430">
        <v>1524682.3332400003</v>
      </c>
      <c r="AO11" s="430">
        <v>134868.78193007631</v>
      </c>
      <c r="AP11" s="430">
        <v>33396.071287800005</v>
      </c>
      <c r="AQ11" s="429">
        <v>32265.686301288602</v>
      </c>
      <c r="AR11" s="429">
        <v>17163.952733024173</v>
      </c>
      <c r="AS11" s="429">
        <v>452863.07891730737</v>
      </c>
      <c r="AT11" s="428">
        <v>115072.26522681711</v>
      </c>
      <c r="AU11" s="428">
        <v>158380.68370212623</v>
      </c>
      <c r="AV11" s="433"/>
      <c r="AW11" s="428">
        <v>660594.7045205558</v>
      </c>
      <c r="AX11" s="428">
        <v>260472.03520000004</v>
      </c>
      <c r="AY11" s="428">
        <v>0</v>
      </c>
      <c r="AZ11" s="428">
        <v>40103.88082554804</v>
      </c>
      <c r="BA11" s="428">
        <v>1688.2162045035511</v>
      </c>
      <c r="BB11" s="428">
        <v>30110.37543671389</v>
      </c>
      <c r="BC11" s="428">
        <v>266003.2036527404</v>
      </c>
      <c r="BD11" s="428">
        <v>11248.546936202392</v>
      </c>
      <c r="BE11" s="428">
        <v>197585.12476937543</v>
      </c>
      <c r="BF11" s="429">
        <v>11942.887282360591</v>
      </c>
      <c r="BG11" s="429">
        <v>2653.9749516356865</v>
      </c>
      <c r="BH11" s="429">
        <v>80005.264737149031</v>
      </c>
      <c r="BI11" s="429">
        <v>469520.37235804298</v>
      </c>
      <c r="BJ11" s="429">
        <v>643252.59751920949</v>
      </c>
      <c r="BK11" s="429">
        <v>59413.706700310948</v>
      </c>
      <c r="BL11" s="429">
        <v>10803.103985454754</v>
      </c>
      <c r="BM11" s="429">
        <v>23953.96595805859</v>
      </c>
      <c r="BN11" s="429">
        <v>3243023.8207642878</v>
      </c>
      <c r="BO11" s="429">
        <v>361933.42098230758</v>
      </c>
      <c r="BP11" s="428">
        <v>33789.188132230862</v>
      </c>
      <c r="BQ11" s="428">
        <v>8447.8064129057966</v>
      </c>
      <c r="BR11" s="428">
        <v>26468.232708671418</v>
      </c>
      <c r="BS11" s="428">
        <v>55335.261010378723</v>
      </c>
      <c r="BT11" s="428">
        <v>35752.900536741974</v>
      </c>
      <c r="BU11" s="428">
        <v>175213.00618415209</v>
      </c>
      <c r="BV11" s="431"/>
      <c r="BW11" s="432"/>
      <c r="BX11" s="432">
        <v>349.90656978906151</v>
      </c>
      <c r="BY11" s="429"/>
      <c r="BZ11" s="429"/>
      <c r="CA11" s="429">
        <v>243.05568776146285</v>
      </c>
      <c r="CB11" s="431"/>
      <c r="CC11" s="429">
        <v>52414.820959969453</v>
      </c>
      <c r="CD11" s="429">
        <v>1784.3860144056537</v>
      </c>
      <c r="CE11" s="429">
        <v>23.05567553999111</v>
      </c>
      <c r="CF11" s="429">
        <v>14101.133014736683</v>
      </c>
      <c r="CG11" s="333"/>
      <c r="CH11" s="429">
        <v>60873.15111667489</v>
      </c>
      <c r="CI11" s="430">
        <v>1257055.8422400004</v>
      </c>
      <c r="CJ11" s="430">
        <v>111248.92839044951</v>
      </c>
      <c r="CK11" s="430">
        <v>31863.877015080005</v>
      </c>
      <c r="CL11" s="429">
        <v>50522.030214133367</v>
      </c>
      <c r="CM11" s="429">
        <v>15936.997768233439</v>
      </c>
      <c r="CN11" s="429">
        <v>431733.49039204186</v>
      </c>
      <c r="CO11" s="428">
        <v>127642.38181428474</v>
      </c>
      <c r="CP11" s="428">
        <v>227434.70079951439</v>
      </c>
      <c r="CQ11" s="420">
        <f t="shared" si="0"/>
        <v>9137957.2256727275</v>
      </c>
      <c r="CR11" s="420">
        <f t="shared" si="1"/>
        <v>9092543.3554421533</v>
      </c>
      <c r="CT11" s="420">
        <f t="shared" si="2"/>
        <v>5341785.5718646497</v>
      </c>
      <c r="CU11" s="420">
        <f t="shared" si="3"/>
        <v>1214464.4334647716</v>
      </c>
      <c r="CV11" s="420">
        <f t="shared" si="4"/>
        <v>2468692.8533384404</v>
      </c>
      <c r="CW11" s="420">
        <f t="shared" si="5"/>
        <v>137330.76886037347</v>
      </c>
      <c r="CX11" s="427"/>
      <c r="CY11" s="420">
        <f t="shared" si="6"/>
        <v>5453242.4630639013</v>
      </c>
      <c r="CZ11" s="420">
        <f t="shared" si="7"/>
        <v>1256073.1347056367</v>
      </c>
      <c r="DA11" s="420">
        <f t="shared" si="8"/>
        <v>2253438.2486337381</v>
      </c>
      <c r="DB11" s="420">
        <f t="shared" si="9"/>
        <v>129789.50903887718</v>
      </c>
    </row>
    <row r="12" spans="1:106" hidden="1">
      <c r="A12" s="434" t="s">
        <v>830</v>
      </c>
      <c r="B12" s="428">
        <v>1063179.9477472072</v>
      </c>
      <c r="C12" s="428">
        <v>315003.09291141952</v>
      </c>
      <c r="D12" s="428">
        <v>0</v>
      </c>
      <c r="E12" s="431">
        <v>11700.713822805459</v>
      </c>
      <c r="F12" s="431">
        <v>505.97681395915515</v>
      </c>
      <c r="G12" s="431">
        <v>8222.1232268362673</v>
      </c>
      <c r="H12" s="431">
        <v>56.845789733282459</v>
      </c>
      <c r="I12" s="431">
        <v>2.4581963127905939</v>
      </c>
      <c r="J12" s="429">
        <v>39.945690082847129</v>
      </c>
      <c r="K12" s="429">
        <v>25647.619560467992</v>
      </c>
      <c r="L12" s="429">
        <v>5699.4710134373308</v>
      </c>
      <c r="M12" s="429">
        <v>3670.1147769442359</v>
      </c>
      <c r="N12" s="429">
        <v>704227.22505978809</v>
      </c>
      <c r="O12" s="429">
        <v>6186773.4442003109</v>
      </c>
      <c r="P12" s="429">
        <v>77004.50114326214</v>
      </c>
      <c r="Q12" s="429">
        <v>170380.58215047658</v>
      </c>
      <c r="R12" s="429">
        <v>53384.31369525363</v>
      </c>
      <c r="S12" s="429">
        <v>742812.18417715759</v>
      </c>
      <c r="T12" s="429">
        <v>318408.24267012818</v>
      </c>
      <c r="U12" s="428">
        <v>9903.134085572301</v>
      </c>
      <c r="V12" s="428">
        <v>40673.453617004183</v>
      </c>
      <c r="W12" s="428">
        <v>10381.833318315048</v>
      </c>
      <c r="X12" s="428">
        <v>41616.726068255899</v>
      </c>
      <c r="Y12" s="428">
        <v>0</v>
      </c>
      <c r="Z12" s="428">
        <v>0</v>
      </c>
      <c r="AA12" s="429"/>
      <c r="AB12" s="429"/>
      <c r="AC12" s="429">
        <v>99.611008053877711</v>
      </c>
      <c r="AD12" s="429"/>
      <c r="AE12" s="429"/>
      <c r="AF12" s="429">
        <v>130.90723964213842</v>
      </c>
      <c r="AG12" s="429"/>
      <c r="AH12" s="429">
        <v>12983.106389626219</v>
      </c>
      <c r="AI12" s="429">
        <v>804.56457204767071</v>
      </c>
      <c r="AJ12" s="429">
        <v>41.014963488624055</v>
      </c>
      <c r="AK12" s="429">
        <v>5871.6200338976168</v>
      </c>
      <c r="AL12" s="333"/>
      <c r="AM12" s="429">
        <v>8502.1455577296674</v>
      </c>
      <c r="AN12" s="430">
        <v>3520.3200809258219</v>
      </c>
      <c r="AO12" s="430">
        <v>7795.4682472474942</v>
      </c>
      <c r="AP12" s="430"/>
      <c r="AQ12" s="429">
        <v>3646.5516711809319</v>
      </c>
      <c r="AR12" s="429">
        <v>9976.6426410009663</v>
      </c>
      <c r="AS12" s="429">
        <v>63558.205327735646</v>
      </c>
      <c r="AT12" s="428">
        <v>26515.594901515611</v>
      </c>
      <c r="AU12" s="428">
        <v>72356.597539856491</v>
      </c>
      <c r="AV12" s="433"/>
      <c r="AW12" s="428">
        <v>637117.74777146452</v>
      </c>
      <c r="AX12" s="428">
        <v>250990.09648416826</v>
      </c>
      <c r="AY12" s="428">
        <v>0</v>
      </c>
      <c r="AZ12" s="431">
        <v>0</v>
      </c>
      <c r="BA12" s="431">
        <v>0</v>
      </c>
      <c r="BB12" s="431">
        <v>0</v>
      </c>
      <c r="BC12" s="431">
        <v>38065.855550297376</v>
      </c>
      <c r="BD12" s="431">
        <v>1646.0910508236709</v>
      </c>
      <c r="BE12" s="431">
        <v>26748.979575884627</v>
      </c>
      <c r="BF12" s="429">
        <v>75434.732028333965</v>
      </c>
      <c r="BG12" s="429">
        <v>16763.273784074212</v>
      </c>
      <c r="BH12" s="429">
        <v>8235.4903170462203</v>
      </c>
      <c r="BI12" s="429">
        <v>971165.41999929911</v>
      </c>
      <c r="BJ12" s="429">
        <v>6622099.6586325699</v>
      </c>
      <c r="BK12" s="429">
        <v>48761.704882378173</v>
      </c>
      <c r="BL12" s="429">
        <v>173297.9436163803</v>
      </c>
      <c r="BM12" s="429">
        <v>83912.123116689967</v>
      </c>
      <c r="BN12" s="429">
        <v>607495.311250436</v>
      </c>
      <c r="BO12" s="429">
        <v>297054.0489034105</v>
      </c>
      <c r="BP12" s="428">
        <v>12226.969511434632</v>
      </c>
      <c r="BQ12" s="428">
        <v>50217.746523738118</v>
      </c>
      <c r="BR12" s="428">
        <v>11737.04306755399</v>
      </c>
      <c r="BS12" s="428">
        <v>49337.274053436828</v>
      </c>
      <c r="BT12" s="428">
        <v>0</v>
      </c>
      <c r="BU12" s="428">
        <v>0</v>
      </c>
      <c r="BV12" s="431"/>
      <c r="BW12" s="432"/>
      <c r="BX12" s="432">
        <v>0</v>
      </c>
      <c r="BY12" s="429"/>
      <c r="BZ12" s="429"/>
      <c r="CA12" s="429">
        <v>123.55419528690976</v>
      </c>
      <c r="CB12" s="431"/>
      <c r="CC12" s="429">
        <v>10073.567696505959</v>
      </c>
      <c r="CD12" s="429">
        <v>624.26013001083425</v>
      </c>
      <c r="CE12" s="429">
        <v>30.376912946912242</v>
      </c>
      <c r="CF12" s="429">
        <v>4693.8327864842913</v>
      </c>
      <c r="CG12" s="333"/>
      <c r="CH12" s="429">
        <v>6773.18365151119</v>
      </c>
      <c r="CI12" s="430">
        <v>16660.339004496211</v>
      </c>
      <c r="CJ12" s="430">
        <v>5398.6514028560068</v>
      </c>
      <c r="CK12" s="430"/>
      <c r="CL12" s="429">
        <v>5909.8963163596964</v>
      </c>
      <c r="CM12" s="429">
        <v>7740.8581592055043</v>
      </c>
      <c r="CN12" s="429">
        <v>50633.265958829899</v>
      </c>
      <c r="CO12" s="428">
        <v>33620.288658620397</v>
      </c>
      <c r="CP12" s="428">
        <v>111386.27882888608</v>
      </c>
      <c r="CQ12" s="420">
        <f t="shared" si="0"/>
        <v>10005096.299908683</v>
      </c>
      <c r="CR12" s="420">
        <f t="shared" si="1"/>
        <v>10235975.863821419</v>
      </c>
      <c r="CT12" s="420">
        <f t="shared" si="2"/>
        <v>8361920.0756822098</v>
      </c>
      <c r="CU12" s="420">
        <f t="shared" si="3"/>
        <v>1480758.1877477742</v>
      </c>
      <c r="CV12" s="420">
        <f t="shared" si="4"/>
        <v>187369.38040946296</v>
      </c>
      <c r="CW12" s="420">
        <f t="shared" si="5"/>
        <v>28432.969764485817</v>
      </c>
      <c r="CX12" s="427"/>
      <c r="CY12" s="420">
        <f t="shared" si="6"/>
        <v>8970680.6327076238</v>
      </c>
      <c r="CZ12" s="420">
        <f t="shared" si="7"/>
        <v>1011626.8774117964</v>
      </c>
      <c r="DA12" s="420">
        <f t="shared" si="8"/>
        <v>231349.57832925377</v>
      </c>
      <c r="DB12" s="420">
        <f t="shared" si="9"/>
        <v>22318.775372746099</v>
      </c>
    </row>
    <row r="13" spans="1:106">
      <c r="A13" s="434" t="s">
        <v>829</v>
      </c>
      <c r="B13" s="428">
        <v>6858.9028402985314</v>
      </c>
      <c r="C13" s="428">
        <v>3185.9970566922502</v>
      </c>
      <c r="D13" s="428">
        <v>0</v>
      </c>
      <c r="E13" s="431">
        <v>2939.35785421849</v>
      </c>
      <c r="F13" s="431">
        <v>137.81251578794908</v>
      </c>
      <c r="G13" s="431">
        <v>0</v>
      </c>
      <c r="H13" s="431">
        <v>8222.118842705966</v>
      </c>
      <c r="I13" s="431">
        <v>385.49606377277206</v>
      </c>
      <c r="J13" s="429">
        <v>0</v>
      </c>
      <c r="K13" s="429">
        <v>0</v>
      </c>
      <c r="L13" s="429">
        <v>0</v>
      </c>
      <c r="M13" s="429">
        <v>0</v>
      </c>
      <c r="N13" s="429">
        <v>8388.6456173103634</v>
      </c>
      <c r="O13" s="429"/>
      <c r="P13" s="429"/>
      <c r="Q13" s="429">
        <v>24855.637988991504</v>
      </c>
      <c r="R13" s="429">
        <v>344.58100330457643</v>
      </c>
      <c r="S13" s="429">
        <v>149037.74565854744</v>
      </c>
      <c r="T13" s="429">
        <v>21934.202656007783</v>
      </c>
      <c r="U13" s="428">
        <v>323.06456603223</v>
      </c>
      <c r="V13" s="428">
        <v>44.232956409518003</v>
      </c>
      <c r="W13" s="428">
        <v>68.009110365729995</v>
      </c>
      <c r="X13" s="428">
        <v>25153.6490863</v>
      </c>
      <c r="Y13" s="428">
        <v>0</v>
      </c>
      <c r="Z13" s="428">
        <v>0</v>
      </c>
      <c r="AA13" s="429"/>
      <c r="AB13" s="429">
        <v>0.1157833741336097</v>
      </c>
      <c r="AC13" s="429">
        <v>24.722187153960075</v>
      </c>
      <c r="AD13" s="429"/>
      <c r="AE13" s="429">
        <v>0.71676822264034856</v>
      </c>
      <c r="AF13" s="429"/>
      <c r="AG13" s="429">
        <v>1.0425952377545078</v>
      </c>
      <c r="AH13" s="429">
        <v>2537.9966431683329</v>
      </c>
      <c r="AI13" s="429">
        <v>567.73088374011502</v>
      </c>
      <c r="AJ13" s="430"/>
      <c r="AK13" s="429">
        <v>1502.0118087065596</v>
      </c>
      <c r="AL13" s="333"/>
      <c r="AM13" s="429">
        <v>2862.229424190693</v>
      </c>
      <c r="AN13" s="430">
        <v>10390.94097285355</v>
      </c>
      <c r="AO13" s="430">
        <v>6927.2939819023668</v>
      </c>
      <c r="AP13" s="430">
        <v>2905.7200582799996</v>
      </c>
      <c r="AQ13" s="429">
        <v>945.96077450241239</v>
      </c>
      <c r="AR13" s="429">
        <v>1493.3984691168637</v>
      </c>
      <c r="AS13" s="429">
        <v>7162.1985467429849</v>
      </c>
      <c r="AT13" s="428">
        <v>6450.7327500000001</v>
      </c>
      <c r="AU13" s="428">
        <v>20505.562064999998</v>
      </c>
      <c r="AV13" s="433"/>
      <c r="AW13" s="428">
        <v>6977.6475530632551</v>
      </c>
      <c r="AX13" s="428">
        <v>3493.8340332705211</v>
      </c>
      <c r="AY13" s="428">
        <v>0</v>
      </c>
      <c r="AZ13" s="431">
        <v>16527.14802279483</v>
      </c>
      <c r="BA13" s="431">
        <v>774.87939910152943</v>
      </c>
      <c r="BB13" s="431">
        <v>0</v>
      </c>
      <c r="BC13" s="431">
        <v>103044.64165484798</v>
      </c>
      <c r="BD13" s="431">
        <v>4831.2733628338638</v>
      </c>
      <c r="BE13" s="431">
        <v>0</v>
      </c>
      <c r="BF13" s="429">
        <v>0</v>
      </c>
      <c r="BG13" s="429">
        <v>0</v>
      </c>
      <c r="BH13" s="429">
        <v>0</v>
      </c>
      <c r="BI13" s="429">
        <v>11122.560200557115</v>
      </c>
      <c r="BJ13" s="429"/>
      <c r="BK13" s="429"/>
      <c r="BL13" s="429">
        <v>27016.173059101649</v>
      </c>
      <c r="BM13" s="429">
        <v>293.07820366349802</v>
      </c>
      <c r="BN13" s="429">
        <v>163656.5861968676</v>
      </c>
      <c r="BO13" s="429">
        <v>19250.025776411359</v>
      </c>
      <c r="BP13" s="428">
        <v>491.83869543168555</v>
      </c>
      <c r="BQ13" s="428">
        <v>67.340964819315786</v>
      </c>
      <c r="BR13" s="428">
        <v>42.666596549874441</v>
      </c>
      <c r="BS13" s="428">
        <v>31899.081891622223</v>
      </c>
      <c r="BT13" s="428">
        <v>0</v>
      </c>
      <c r="BU13" s="428">
        <v>0</v>
      </c>
      <c r="BV13" s="431"/>
      <c r="BW13" s="432">
        <v>0.11581651552496196</v>
      </c>
      <c r="BX13" s="432">
        <v>26.57120535280054</v>
      </c>
      <c r="BY13" s="429"/>
      <c r="BZ13" s="429">
        <v>0.66269711722031965</v>
      </c>
      <c r="CA13" s="429"/>
      <c r="CB13" s="431">
        <v>0.94444900762725026</v>
      </c>
      <c r="CC13" s="429">
        <v>2527.9276860084906</v>
      </c>
      <c r="CD13" s="429">
        <v>565.47853326436245</v>
      </c>
      <c r="CE13" s="430"/>
      <c r="CF13" s="429">
        <v>1541.3878354456795</v>
      </c>
      <c r="CG13" s="333"/>
      <c r="CH13" s="429">
        <v>2927.1007244002058</v>
      </c>
      <c r="CI13" s="430">
        <v>10777.391406043209</v>
      </c>
      <c r="CJ13" s="430">
        <v>4618.8820311613754</v>
      </c>
      <c r="CK13" s="430">
        <v>2974.0030537800008</v>
      </c>
      <c r="CL13" s="429">
        <v>1430.5782734965871</v>
      </c>
      <c r="CM13" s="429">
        <v>1487.4737310961937</v>
      </c>
      <c r="CN13" s="429">
        <v>7324.5269499656833</v>
      </c>
      <c r="CO13" s="428">
        <v>6450.7327500000001</v>
      </c>
      <c r="CP13" s="428">
        <v>20505.562064999998</v>
      </c>
      <c r="CQ13" s="420">
        <f t="shared" si="0"/>
        <v>316157.82752893749</v>
      </c>
      <c r="CR13" s="420">
        <f t="shared" si="1"/>
        <v>452648.11481859128</v>
      </c>
      <c r="CT13" s="420">
        <f t="shared" si="2"/>
        <v>216590.17920395144</v>
      </c>
      <c r="CU13" s="420">
        <f t="shared" si="3"/>
        <v>35633.855616098255</v>
      </c>
      <c r="CV13" s="420">
        <f t="shared" si="4"/>
        <v>56781.807618398176</v>
      </c>
      <c r="CW13" s="420">
        <f t="shared" si="5"/>
        <v>7496.5660937941893</v>
      </c>
      <c r="CX13" s="427"/>
      <c r="CY13" s="420">
        <f t="shared" si="6"/>
        <v>346516.36587617942</v>
      </c>
      <c r="CZ13" s="420">
        <f t="shared" si="7"/>
        <v>42972.409734756875</v>
      </c>
      <c r="DA13" s="420">
        <f t="shared" si="8"/>
        <v>55569.150260543051</v>
      </c>
      <c r="DB13" s="420">
        <f t="shared" si="9"/>
        <v>7590.1889471119111</v>
      </c>
    </row>
    <row r="14" spans="1:106">
      <c r="A14" s="434" t="s">
        <v>828</v>
      </c>
      <c r="B14" s="428">
        <v>1681520.4683850005</v>
      </c>
      <c r="C14" s="428">
        <v>1998223.6281999999</v>
      </c>
      <c r="D14" s="428">
        <v>0</v>
      </c>
      <c r="E14" s="428">
        <v>42183.741360798696</v>
      </c>
      <c r="F14" s="428">
        <v>1824.1617885750795</v>
      </c>
      <c r="G14" s="428">
        <v>29642.629064345027</v>
      </c>
      <c r="H14" s="428">
        <v>26456.12680002725</v>
      </c>
      <c r="I14" s="428">
        <v>1144.0487264876654</v>
      </c>
      <c r="J14" s="428">
        <v>18590.791805424553</v>
      </c>
      <c r="K14" s="429">
        <v>153935.63141333254</v>
      </c>
      <c r="L14" s="429">
        <v>34207.918091851672</v>
      </c>
      <c r="M14" s="429">
        <v>12524.823765596591</v>
      </c>
      <c r="N14" s="429">
        <v>1666315.5336755044</v>
      </c>
      <c r="O14" s="429">
        <v>2696062.6360031185</v>
      </c>
      <c r="P14" s="429">
        <v>72074.620903272065</v>
      </c>
      <c r="Q14" s="429">
        <v>4779.9072723989475</v>
      </c>
      <c r="R14" s="429">
        <v>51009.852665307066</v>
      </c>
      <c r="S14" s="429">
        <v>742130.46031714452</v>
      </c>
      <c r="T14" s="429">
        <v>242925.52053167266</v>
      </c>
      <c r="U14" s="428">
        <v>223851.78367051628</v>
      </c>
      <c r="V14" s="428">
        <v>15616.03474168697</v>
      </c>
      <c r="W14" s="428">
        <v>50005.883713025461</v>
      </c>
      <c r="X14" s="428">
        <v>264662.95429053938</v>
      </c>
      <c r="Y14" s="428">
        <v>65117.916057599999</v>
      </c>
      <c r="Z14" s="428">
        <v>450872.15039999958</v>
      </c>
      <c r="AA14" s="429"/>
      <c r="AB14" s="429"/>
      <c r="AC14" s="429">
        <v>199.22361110607949</v>
      </c>
      <c r="AD14" s="429"/>
      <c r="AE14" s="429"/>
      <c r="AF14" s="429">
        <v>147.25475995125939</v>
      </c>
      <c r="AG14" s="429"/>
      <c r="AH14" s="429">
        <v>46449.581874455878</v>
      </c>
      <c r="AI14" s="429">
        <v>2209.5320654953766</v>
      </c>
      <c r="AJ14" s="429">
        <v>146.56603013691222</v>
      </c>
      <c r="AK14" s="429">
        <v>10015.948535952153</v>
      </c>
      <c r="AL14" s="333"/>
      <c r="AM14" s="429">
        <v>14093.472239799949</v>
      </c>
      <c r="AN14" s="430">
        <v>234400.14972000004</v>
      </c>
      <c r="AO14" s="430">
        <v>32979.211452772244</v>
      </c>
      <c r="AP14" s="430">
        <v>32478.303940680002</v>
      </c>
      <c r="AQ14" s="429">
        <v>18594.856367349726</v>
      </c>
      <c r="AR14" s="429">
        <v>16692.265053652278</v>
      </c>
      <c r="AS14" s="429">
        <v>112804.33658020615</v>
      </c>
      <c r="AT14" s="428">
        <v>55983.889388032156</v>
      </c>
      <c r="AU14" s="428">
        <v>238461.98502307606</v>
      </c>
      <c r="AV14" s="433"/>
      <c r="AW14" s="428">
        <v>1435870.2659783338</v>
      </c>
      <c r="AX14" s="428">
        <v>2124358.7111999998</v>
      </c>
      <c r="AY14" s="428">
        <v>0</v>
      </c>
      <c r="AZ14" s="428">
        <v>366566.04229516367</v>
      </c>
      <c r="BA14" s="428">
        <v>15851.504531682755</v>
      </c>
      <c r="BB14" s="428">
        <v>257586.94863984452</v>
      </c>
      <c r="BC14" s="428">
        <v>362288.10969177663</v>
      </c>
      <c r="BD14" s="428">
        <v>15666.51285153629</v>
      </c>
      <c r="BE14" s="428">
        <v>254580.83383746451</v>
      </c>
      <c r="BF14" s="429">
        <v>296126.53423092747</v>
      </c>
      <c r="BG14" s="429">
        <v>65805.896495761655</v>
      </c>
      <c r="BH14" s="429">
        <v>26590.962849572588</v>
      </c>
      <c r="BI14" s="429">
        <v>1506761.4792817361</v>
      </c>
      <c r="BJ14" s="429">
        <v>2344176.2126164399</v>
      </c>
      <c r="BK14" s="429">
        <v>65888.436856821805</v>
      </c>
      <c r="BL14" s="429">
        <v>1986.1238298116825</v>
      </c>
      <c r="BM14" s="429">
        <v>40715.756995311182</v>
      </c>
      <c r="BN14" s="429">
        <v>615675.18132747337</v>
      </c>
      <c r="BO14" s="429">
        <v>186498.42700578878</v>
      </c>
      <c r="BP14" s="428">
        <v>243201.30418482033</v>
      </c>
      <c r="BQ14" s="428">
        <v>16965.868902629391</v>
      </c>
      <c r="BR14" s="428">
        <v>58180.476509170738</v>
      </c>
      <c r="BS14" s="428">
        <v>298132.27755303634</v>
      </c>
      <c r="BT14" s="428">
        <v>62103.197721599878</v>
      </c>
      <c r="BU14" s="428">
        <v>450872.15039999958</v>
      </c>
      <c r="BV14" s="431"/>
      <c r="BW14" s="432"/>
      <c r="BX14" s="432">
        <v>157.03416432031864</v>
      </c>
      <c r="BY14" s="429"/>
      <c r="BZ14" s="429"/>
      <c r="CA14" s="429">
        <v>234.13741242978506</v>
      </c>
      <c r="CB14" s="431"/>
      <c r="CC14" s="429">
        <v>41973.92590459856</v>
      </c>
      <c r="CD14" s="429">
        <v>1996.6322937330849</v>
      </c>
      <c r="CE14" s="429">
        <v>126.42347432283395</v>
      </c>
      <c r="CF14" s="429">
        <v>9325.1289086870347</v>
      </c>
      <c r="CG14" s="333"/>
      <c r="CH14" s="429">
        <v>12978.597962620315</v>
      </c>
      <c r="CI14" s="430">
        <v>187649.07282</v>
      </c>
      <c r="CJ14" s="430">
        <v>26401.512366096438</v>
      </c>
      <c r="CK14" s="430">
        <v>29933.502097620003</v>
      </c>
      <c r="CL14" s="429">
        <v>34611.961446155416</v>
      </c>
      <c r="CM14" s="429">
        <v>14971.503809765858</v>
      </c>
      <c r="CN14" s="429">
        <v>103880.86824907112</v>
      </c>
      <c r="CO14" s="428">
        <v>73267.405603465028</v>
      </c>
      <c r="CP14" s="428">
        <v>333409.09358318168</v>
      </c>
      <c r="CQ14" s="420">
        <f t="shared" si="0"/>
        <v>11361335.800285889</v>
      </c>
      <c r="CR14" s="420">
        <f t="shared" si="1"/>
        <v>11983366.015882764</v>
      </c>
      <c r="CT14" s="420">
        <f t="shared" si="2"/>
        <v>5846818.2568501653</v>
      </c>
      <c r="CU14" s="420">
        <f t="shared" si="3"/>
        <v>4749870.8194583682</v>
      </c>
      <c r="CV14" s="420">
        <f t="shared" si="4"/>
        <v>742394.9975257687</v>
      </c>
      <c r="CW14" s="420">
        <f t="shared" si="5"/>
        <v>73261.579116897599</v>
      </c>
      <c r="CX14" s="427"/>
      <c r="CY14" s="420">
        <f t="shared" si="6"/>
        <v>6422764.9633371122</v>
      </c>
      <c r="CZ14" s="420">
        <f t="shared" si="7"/>
        <v>4689684.2524495898</v>
      </c>
      <c r="DA14" s="420">
        <f t="shared" si="8"/>
        <v>804124.9199753555</v>
      </c>
      <c r="DB14" s="420">
        <f t="shared" si="9"/>
        <v>66791.88012071194</v>
      </c>
    </row>
    <row r="15" spans="1:106">
      <c r="A15" s="434" t="s">
        <v>827</v>
      </c>
      <c r="B15" s="428">
        <v>13455540.651805999</v>
      </c>
      <c r="C15" s="428">
        <v>2667377.4875999996</v>
      </c>
      <c r="D15" s="428">
        <v>0</v>
      </c>
      <c r="E15" s="428">
        <v>135628.12857681626</v>
      </c>
      <c r="F15" s="428">
        <v>5958.0084220987901</v>
      </c>
      <c r="G15" s="428">
        <v>98004.205894597384</v>
      </c>
      <c r="H15" s="428">
        <v>100975.71400958444</v>
      </c>
      <c r="I15" s="428">
        <v>4409.7827624775109</v>
      </c>
      <c r="J15" s="428">
        <v>73025.479457252251</v>
      </c>
      <c r="K15" s="429">
        <v>327243.92168498033</v>
      </c>
      <c r="L15" s="429">
        <v>72720.871485551164</v>
      </c>
      <c r="M15" s="429">
        <v>165822.10264486886</v>
      </c>
      <c r="N15" s="429">
        <v>6679865.1215474457</v>
      </c>
      <c r="O15" s="429">
        <v>9933049.1023120731</v>
      </c>
      <c r="P15" s="429">
        <v>416711.10026942508</v>
      </c>
      <c r="Q15" s="429">
        <v>89435.8026148559</v>
      </c>
      <c r="R15" s="429">
        <v>286844.61769404018</v>
      </c>
      <c r="S15" s="429">
        <v>3619743.0471196459</v>
      </c>
      <c r="T15" s="429">
        <v>6690744.499013464</v>
      </c>
      <c r="U15" s="428">
        <v>1010573.9112890483</v>
      </c>
      <c r="V15" s="428">
        <v>50263.834903707597</v>
      </c>
      <c r="W15" s="428">
        <v>275694.77281523007</v>
      </c>
      <c r="X15" s="428">
        <v>1210585.1208040104</v>
      </c>
      <c r="Y15" s="428">
        <v>261141.52158656786</v>
      </c>
      <c r="Z15" s="428">
        <v>1193145.3662871639</v>
      </c>
      <c r="AA15" s="429"/>
      <c r="AB15" s="429"/>
      <c r="AC15" s="429">
        <v>1691.3485042503171</v>
      </c>
      <c r="AD15" s="429"/>
      <c r="AE15" s="429"/>
      <c r="AF15" s="429">
        <v>1259.0899051250758</v>
      </c>
      <c r="AG15" s="429"/>
      <c r="AH15" s="429">
        <v>193287.78878838065</v>
      </c>
      <c r="AI15" s="429">
        <v>37554.449632240779</v>
      </c>
      <c r="AJ15" s="429">
        <v>1101.083554232069</v>
      </c>
      <c r="AK15" s="429">
        <v>105049.54827558273</v>
      </c>
      <c r="AL15" s="333"/>
      <c r="AM15" s="429">
        <v>292451.15979662101</v>
      </c>
      <c r="AN15" s="430">
        <v>2378417.5091600004</v>
      </c>
      <c r="AO15" s="430">
        <v>465899.70355119364</v>
      </c>
      <c r="AP15" s="430">
        <v>202643.58914436001</v>
      </c>
      <c r="AQ15" s="429">
        <v>297681.56238236639</v>
      </c>
      <c r="AR15" s="429">
        <v>104148.92685280561</v>
      </c>
      <c r="AS15" s="429">
        <v>828685.97601401235</v>
      </c>
      <c r="AT15" s="428">
        <v>564331.67175366264</v>
      </c>
      <c r="AU15" s="428">
        <v>2203309.5216566199</v>
      </c>
      <c r="AV15" s="433"/>
      <c r="AW15" s="428">
        <v>12636653.674612116</v>
      </c>
      <c r="AX15" s="428">
        <v>2755021.0830444437</v>
      </c>
      <c r="AY15" s="428">
        <v>0</v>
      </c>
      <c r="AZ15" s="428">
        <v>819262.6001138303</v>
      </c>
      <c r="BA15" s="428">
        <v>35926.863523487635</v>
      </c>
      <c r="BB15" s="428">
        <v>591603.58915718144</v>
      </c>
      <c r="BC15" s="428">
        <v>1330996.7561114801</v>
      </c>
      <c r="BD15" s="428">
        <v>58091.993319670139</v>
      </c>
      <c r="BE15" s="428">
        <v>963056.17673847848</v>
      </c>
      <c r="BF15" s="429">
        <v>674546.89329512755</v>
      </c>
      <c r="BG15" s="429">
        <v>149899.30962113946</v>
      </c>
      <c r="BH15" s="429">
        <v>358647.34369740059</v>
      </c>
      <c r="BI15" s="429">
        <v>6723287.4850057876</v>
      </c>
      <c r="BJ15" s="429">
        <v>7754540.1305220816</v>
      </c>
      <c r="BK15" s="429">
        <v>282339.52934817254</v>
      </c>
      <c r="BL15" s="429">
        <v>88133.997856444548</v>
      </c>
      <c r="BM15" s="429">
        <v>247981.62739255704</v>
      </c>
      <c r="BN15" s="429">
        <v>3188677.8275886821</v>
      </c>
      <c r="BO15" s="429">
        <v>5364327.0730379205</v>
      </c>
      <c r="BP15" s="428">
        <v>927540.8548384459</v>
      </c>
      <c r="BQ15" s="428">
        <v>46133.944161070373</v>
      </c>
      <c r="BR15" s="428">
        <v>303399.1450863147</v>
      </c>
      <c r="BS15" s="428">
        <v>1230839.9693425337</v>
      </c>
      <c r="BT15" s="428">
        <v>276528.64827937947</v>
      </c>
      <c r="BU15" s="428">
        <v>1193145.3662871639</v>
      </c>
      <c r="BV15" s="431"/>
      <c r="BW15" s="432"/>
      <c r="BX15" s="432">
        <v>1497.3597212704847</v>
      </c>
      <c r="BY15" s="429"/>
      <c r="BZ15" s="429"/>
      <c r="CA15" s="429">
        <v>1295.2492961799494</v>
      </c>
      <c r="CB15" s="431"/>
      <c r="CC15" s="429">
        <v>175391.61441277887</v>
      </c>
      <c r="CD15" s="429">
        <v>34077.349586701137</v>
      </c>
      <c r="CE15" s="429">
        <v>953.72089538436035</v>
      </c>
      <c r="CF15" s="429">
        <v>98211.778178338704</v>
      </c>
      <c r="CG15" s="333"/>
      <c r="CH15" s="429">
        <v>271884.85474280216</v>
      </c>
      <c r="CI15" s="430">
        <v>1922199.7851000004</v>
      </c>
      <c r="CJ15" s="430">
        <v>376532.84446284873</v>
      </c>
      <c r="CK15" s="430">
        <v>188546.70645689999</v>
      </c>
      <c r="CL15" s="429">
        <v>598335.30417881545</v>
      </c>
      <c r="CM15" s="429">
        <v>94303.290167398227</v>
      </c>
      <c r="CN15" s="429">
        <v>770409.54931637819</v>
      </c>
      <c r="CO15" s="428">
        <v>605300.18433559884</v>
      </c>
      <c r="CP15" s="428">
        <v>2403332.2595566651</v>
      </c>
      <c r="CQ15" s="420">
        <f t="shared" si="0"/>
        <v>56502017.101572335</v>
      </c>
      <c r="CR15" s="420">
        <f t="shared" si="1"/>
        <v>55542853.732388996</v>
      </c>
      <c r="CT15" s="420">
        <f t="shared" si="2"/>
        <v>28987026.123203218</v>
      </c>
      <c r="CU15" s="420">
        <f t="shared" si="3"/>
        <v>20124322.667091727</v>
      </c>
      <c r="CV15" s="420">
        <f t="shared" si="4"/>
        <v>7045118.4605150204</v>
      </c>
      <c r="CW15" s="420">
        <f t="shared" si="5"/>
        <v>632394.46845643269</v>
      </c>
      <c r="CX15" s="427"/>
      <c r="CY15" s="420">
        <f t="shared" si="6"/>
        <v>28631319.196329445</v>
      </c>
      <c r="CZ15" s="420">
        <f t="shared" si="7"/>
        <v>19369262.68565147</v>
      </c>
      <c r="DA15" s="420">
        <f t="shared" si="8"/>
        <v>6958959.923574605</v>
      </c>
      <c r="DB15" s="420">
        <f t="shared" si="9"/>
        <v>583311.92683345568</v>
      </c>
    </row>
    <row r="16" spans="1:106">
      <c r="A16" s="434" t="s">
        <v>826</v>
      </c>
      <c r="B16" s="428">
        <v>543098.78380200011</v>
      </c>
      <c r="C16" s="428">
        <v>233778.83059999999</v>
      </c>
      <c r="D16" s="428">
        <v>0</v>
      </c>
      <c r="E16" s="431">
        <v>5384.010016651172</v>
      </c>
      <c r="F16" s="431">
        <v>258.43248079925633</v>
      </c>
      <c r="G16" s="431">
        <v>3876.4872119888432</v>
      </c>
      <c r="H16" s="431">
        <v>982.81602345813917</v>
      </c>
      <c r="I16" s="431">
        <v>47.175169125990706</v>
      </c>
      <c r="J16" s="429">
        <v>707.62753688986015</v>
      </c>
      <c r="K16" s="429">
        <v>0</v>
      </c>
      <c r="L16" s="429">
        <v>0</v>
      </c>
      <c r="M16" s="429">
        <v>34981.398829849473</v>
      </c>
      <c r="N16" s="429">
        <v>1680139.9509320071</v>
      </c>
      <c r="O16" s="429">
        <v>863176.60771469714</v>
      </c>
      <c r="P16" s="429">
        <v>61206.859884895763</v>
      </c>
      <c r="Q16" s="429">
        <v>3265.2106888373237</v>
      </c>
      <c r="R16" s="429">
        <v>50043.952773267512</v>
      </c>
      <c r="S16" s="429">
        <v>5230598.9747953266</v>
      </c>
      <c r="T16" s="429">
        <v>218071.80451911941</v>
      </c>
      <c r="U16" s="428">
        <v>19148.2913544617</v>
      </c>
      <c r="V16" s="428">
        <v>8465.9249008352472</v>
      </c>
      <c r="W16" s="428">
        <v>7055.2047082778054</v>
      </c>
      <c r="X16" s="428">
        <v>83796.866131975927</v>
      </c>
      <c r="Y16" s="428">
        <v>319.963392</v>
      </c>
      <c r="Z16" s="428">
        <v>0</v>
      </c>
      <c r="AA16" s="429"/>
      <c r="AB16" s="429"/>
      <c r="AC16" s="429">
        <v>377.85378895880547</v>
      </c>
      <c r="AD16" s="429"/>
      <c r="AE16" s="429"/>
      <c r="AF16" s="429">
        <v>152.8131193282162</v>
      </c>
      <c r="AG16" s="429"/>
      <c r="AH16" s="429">
        <v>8157.8766639411842</v>
      </c>
      <c r="AI16" s="429">
        <v>7613.8627980543606</v>
      </c>
      <c r="AJ16" s="429">
        <v>6.5950058561854608</v>
      </c>
      <c r="AK16" s="429">
        <v>6071.1196214841184</v>
      </c>
      <c r="AL16" s="333"/>
      <c r="AM16" s="429">
        <v>76414.693081025107</v>
      </c>
      <c r="AN16" s="430">
        <v>247102.59684000004</v>
      </c>
      <c r="AO16" s="430">
        <v>28873.196631489409</v>
      </c>
      <c r="AP16" s="430">
        <v>15477.608111160001</v>
      </c>
      <c r="AQ16" s="429">
        <v>3487.7119154862066</v>
      </c>
      <c r="AR16" s="429">
        <v>7954.7361050600448</v>
      </c>
      <c r="AS16" s="429">
        <v>106504.83220496727</v>
      </c>
      <c r="AT16" s="428">
        <v>70135.671304864329</v>
      </c>
      <c r="AU16" s="428">
        <v>346325.66537867364</v>
      </c>
      <c r="AV16" s="433"/>
      <c r="AW16" s="428">
        <v>402922.65924200014</v>
      </c>
      <c r="AX16" s="428">
        <v>221332.18004444442</v>
      </c>
      <c r="AY16" s="428">
        <v>0</v>
      </c>
      <c r="AZ16" s="431">
        <v>22114.993245132202</v>
      </c>
      <c r="BA16" s="431">
        <v>1061.5196757663466</v>
      </c>
      <c r="BB16" s="431">
        <v>15922.79513649519</v>
      </c>
      <c r="BC16" s="431">
        <v>12968.967592331357</v>
      </c>
      <c r="BD16" s="431">
        <v>622.51044443190563</v>
      </c>
      <c r="BE16" s="431">
        <v>9337.6566664785787</v>
      </c>
      <c r="BF16" s="429">
        <v>0</v>
      </c>
      <c r="BG16" s="429">
        <v>0</v>
      </c>
      <c r="BH16" s="429">
        <v>74168.207806453589</v>
      </c>
      <c r="BI16" s="429">
        <v>1422750.6673646218</v>
      </c>
      <c r="BJ16" s="429">
        <v>371033.55686925346</v>
      </c>
      <c r="BK16" s="429">
        <v>90593.867436691551</v>
      </c>
      <c r="BL16" s="429">
        <v>2970.6412658507666</v>
      </c>
      <c r="BM16" s="429">
        <v>37756.230944330207</v>
      </c>
      <c r="BN16" s="429">
        <v>5446241.4347605631</v>
      </c>
      <c r="BO16" s="429">
        <v>216841.88821818362</v>
      </c>
      <c r="BP16" s="428">
        <v>23890.172234414611</v>
      </c>
      <c r="BQ16" s="428">
        <v>10562.425662979429</v>
      </c>
      <c r="BR16" s="428">
        <v>0</v>
      </c>
      <c r="BS16" s="428">
        <v>66535.061494615889</v>
      </c>
      <c r="BT16" s="428">
        <v>305.15027199999997</v>
      </c>
      <c r="BU16" s="428">
        <v>0</v>
      </c>
      <c r="BV16" s="431"/>
      <c r="BW16" s="432"/>
      <c r="BX16" s="432">
        <v>384.85403457699778</v>
      </c>
      <c r="BY16" s="429"/>
      <c r="BZ16" s="429"/>
      <c r="CA16" s="429">
        <v>316.65169156965595</v>
      </c>
      <c r="CB16" s="431"/>
      <c r="CC16" s="429">
        <v>7611.708956592528</v>
      </c>
      <c r="CD16" s="429">
        <v>7104.1166766326651</v>
      </c>
      <c r="CE16" s="429">
        <v>5.8737686703234333</v>
      </c>
      <c r="CF16" s="429">
        <v>5836.3161080438749</v>
      </c>
      <c r="CG16" s="333"/>
      <c r="CH16" s="429">
        <v>73205.133053868034</v>
      </c>
      <c r="CI16" s="430">
        <v>205788.32568000001</v>
      </c>
      <c r="CJ16" s="430">
        <v>24045.748073100742</v>
      </c>
      <c r="CK16" s="430">
        <v>14839.624818480002</v>
      </c>
      <c r="CL16" s="429">
        <v>3255.6922441173406</v>
      </c>
      <c r="CM16" s="429">
        <v>7422.168604956988</v>
      </c>
      <c r="CN16" s="429">
        <v>102031.43005727198</v>
      </c>
      <c r="CO16" s="428">
        <v>69863.797138469541</v>
      </c>
      <c r="CP16" s="428">
        <v>344832.12288016733</v>
      </c>
      <c r="CQ16" s="420">
        <f t="shared" si="0"/>
        <v>9973062.0060368143</v>
      </c>
      <c r="CR16" s="420">
        <f t="shared" si="1"/>
        <v>9316476.1501635574</v>
      </c>
      <c r="CT16" s="420">
        <f t="shared" si="2"/>
        <v>8202785.261350181</v>
      </c>
      <c r="CU16" s="420">
        <f t="shared" si="3"/>
        <v>895663.86488955072</v>
      </c>
      <c r="CV16" s="420">
        <f t="shared" si="4"/>
        <v>825862.01849170099</v>
      </c>
      <c r="CW16" s="420">
        <f t="shared" si="5"/>
        <v>98794.814078647978</v>
      </c>
      <c r="CX16" s="427"/>
      <c r="CY16" s="420">
        <f t="shared" si="6"/>
        <v>7724384.9374265838</v>
      </c>
      <c r="CZ16" s="420">
        <f t="shared" si="7"/>
        <v>725547.64895045455</v>
      </c>
      <c r="DA16" s="420">
        <f t="shared" si="8"/>
        <v>772078.90949656395</v>
      </c>
      <c r="DB16" s="420">
        <f t="shared" si="9"/>
        <v>94464.65428995408</v>
      </c>
    </row>
    <row r="17" spans="1:106">
      <c r="A17" s="434" t="s">
        <v>825</v>
      </c>
      <c r="B17" s="428">
        <v>0</v>
      </c>
      <c r="C17" s="428">
        <v>313148.64139999996</v>
      </c>
      <c r="D17" s="428">
        <v>0</v>
      </c>
      <c r="E17" s="431">
        <v>3058.8703412453028</v>
      </c>
      <c r="F17" s="431">
        <v>132.27547421601315</v>
      </c>
      <c r="G17" s="431">
        <v>2149.4764560102126</v>
      </c>
      <c r="H17" s="431">
        <v>717.76499510829467</v>
      </c>
      <c r="I17" s="431">
        <v>31.038486274953296</v>
      </c>
      <c r="J17" s="429">
        <v>504.3754019679908</v>
      </c>
      <c r="K17" s="429">
        <v>0</v>
      </c>
      <c r="L17" s="429">
        <v>0</v>
      </c>
      <c r="M17" s="429">
        <v>0</v>
      </c>
      <c r="N17" s="429">
        <v>309312.19573497982</v>
      </c>
      <c r="O17" s="429">
        <v>170470.51356161237</v>
      </c>
      <c r="P17" s="429"/>
      <c r="Q17" s="429">
        <v>2827.5792583596326</v>
      </c>
      <c r="R17" s="429">
        <v>7119.6214875760161</v>
      </c>
      <c r="S17" s="429">
        <v>247775.47195227069</v>
      </c>
      <c r="T17" s="429">
        <v>55201.507738808039</v>
      </c>
      <c r="U17" s="428">
        <v>97774.334295888504</v>
      </c>
      <c r="V17" s="428">
        <v>10132.881305408429</v>
      </c>
      <c r="W17" s="428">
        <v>26201.451714985484</v>
      </c>
      <c r="X17" s="428">
        <v>108163.70188843925</v>
      </c>
      <c r="Y17" s="428">
        <v>19546.229622528001</v>
      </c>
      <c r="Z17" s="428">
        <v>54321.600480000001</v>
      </c>
      <c r="AA17" s="429"/>
      <c r="AB17" s="429"/>
      <c r="AC17" s="429">
        <v>41.973213605990516</v>
      </c>
      <c r="AD17" s="429"/>
      <c r="AE17" s="429"/>
      <c r="AF17" s="429"/>
      <c r="AG17" s="429"/>
      <c r="AH17" s="429">
        <v>3330.5961276396406</v>
      </c>
      <c r="AI17" s="429">
        <v>759.13700263776059</v>
      </c>
      <c r="AJ17" s="429">
        <v>8.6358229061083556</v>
      </c>
      <c r="AK17" s="429">
        <v>1650.9582846066971</v>
      </c>
      <c r="AL17" s="333"/>
      <c r="AM17" s="429">
        <v>1989.8916508895916</v>
      </c>
      <c r="AN17" s="430">
        <v>42314.787900000003</v>
      </c>
      <c r="AO17" s="430">
        <v>4663.3837232125943</v>
      </c>
      <c r="AP17" s="430">
        <v>3948.6213117000002</v>
      </c>
      <c r="AQ17" s="429">
        <v>1422.5556802083738</v>
      </c>
      <c r="AR17" s="429">
        <v>2029.3988766094583</v>
      </c>
      <c r="AS17" s="429">
        <v>29179.992636189054</v>
      </c>
      <c r="AT17" s="428">
        <v>12644.708999999924</v>
      </c>
      <c r="AU17" s="428">
        <v>50251.415999999859</v>
      </c>
      <c r="AV17" s="433"/>
      <c r="AW17" s="428">
        <v>0</v>
      </c>
      <c r="AX17" s="428">
        <v>283506.39962222218</v>
      </c>
      <c r="AY17" s="428">
        <v>0</v>
      </c>
      <c r="AZ17" s="431">
        <v>18580.149819926988</v>
      </c>
      <c r="BA17" s="431">
        <v>803.46593815900496</v>
      </c>
      <c r="BB17" s="431">
        <v>13056.321495083819</v>
      </c>
      <c r="BC17" s="431">
        <v>9131.5081517646577</v>
      </c>
      <c r="BD17" s="431">
        <v>394.87602818441775</v>
      </c>
      <c r="BE17" s="431">
        <v>6416.7354579967823</v>
      </c>
      <c r="BF17" s="429">
        <v>0</v>
      </c>
      <c r="BG17" s="429">
        <v>0</v>
      </c>
      <c r="BH17" s="429">
        <v>0</v>
      </c>
      <c r="BI17" s="429">
        <v>251631.73094021229</v>
      </c>
      <c r="BJ17" s="429">
        <v>80113.008334508646</v>
      </c>
      <c r="BK17" s="429"/>
      <c r="BL17" s="429">
        <v>5366.2817342544276</v>
      </c>
      <c r="BM17" s="429">
        <v>5038.1537596235958</v>
      </c>
      <c r="BN17" s="429">
        <v>185712.93043978841</v>
      </c>
      <c r="BO17" s="429">
        <v>36579.07160841368</v>
      </c>
      <c r="BP17" s="428">
        <v>98942.496266559523</v>
      </c>
      <c r="BQ17" s="428">
        <v>10253.944227284022</v>
      </c>
      <c r="BR17" s="428">
        <v>31347.842989121185</v>
      </c>
      <c r="BS17" s="428">
        <v>120346.23741157186</v>
      </c>
      <c r="BT17" s="428">
        <v>18641.311584448002</v>
      </c>
      <c r="BU17" s="428">
        <v>54321.600480000001</v>
      </c>
      <c r="BV17" s="431"/>
      <c r="BW17" s="432"/>
      <c r="BX17" s="432">
        <v>29.131235367644617</v>
      </c>
      <c r="BY17" s="429"/>
      <c r="BZ17" s="429"/>
      <c r="CA17" s="429"/>
      <c r="CB17" s="431"/>
      <c r="CC17" s="429">
        <v>2931.2171953370739</v>
      </c>
      <c r="CD17" s="429">
        <v>668.1072548191014</v>
      </c>
      <c r="CE17" s="429">
        <v>7.2548154388698238</v>
      </c>
      <c r="CF17" s="429">
        <v>1497.0182816273359</v>
      </c>
      <c r="CG17" s="333"/>
      <c r="CH17" s="429">
        <v>1798.1051251253512</v>
      </c>
      <c r="CI17" s="430">
        <v>33239.660580000003</v>
      </c>
      <c r="CJ17" s="430">
        <v>3663.241618514252</v>
      </c>
      <c r="CK17" s="430">
        <v>3570.9646242600011</v>
      </c>
      <c r="CL17" s="429">
        <v>1750.1294066692935</v>
      </c>
      <c r="CM17" s="429">
        <v>1786.0493002888054</v>
      </c>
      <c r="CN17" s="429">
        <v>26367.613677254805</v>
      </c>
      <c r="CO17" s="428">
        <v>15961.451916666507</v>
      </c>
      <c r="CP17" s="428">
        <v>68471.964749999723</v>
      </c>
      <c r="CQ17" s="420">
        <f t="shared" si="0"/>
        <v>1582825.5888258843</v>
      </c>
      <c r="CR17" s="420">
        <f t="shared" si="1"/>
        <v>1391925.9760704923</v>
      </c>
      <c r="CT17" s="420">
        <f t="shared" si="2"/>
        <v>806420.31237600534</v>
      </c>
      <c r="CU17" s="420">
        <f t="shared" si="3"/>
        <v>629288.84070724959</v>
      </c>
      <c r="CV17" s="420">
        <f t="shared" si="4"/>
        <v>146454.86512791927</v>
      </c>
      <c r="CW17" s="420">
        <f t="shared" si="5"/>
        <v>7781.1921022857887</v>
      </c>
      <c r="CX17" s="427"/>
      <c r="CY17" s="420">
        <f t="shared" si="6"/>
        <v>612824.23370791669</v>
      </c>
      <c r="CZ17" s="420">
        <f t="shared" si="7"/>
        <v>617359.83258120681</v>
      </c>
      <c r="DA17" s="420">
        <f t="shared" si="8"/>
        <v>154811.0758736534</v>
      </c>
      <c r="DB17" s="420">
        <f t="shared" si="9"/>
        <v>6930.8339077153769</v>
      </c>
    </row>
    <row r="18" spans="1:106">
      <c r="A18" s="434" t="s">
        <v>824</v>
      </c>
      <c r="B18" s="428">
        <v>784672.53823269205</v>
      </c>
      <c r="C18" s="428">
        <v>206951.81861240842</v>
      </c>
      <c r="D18" s="428">
        <v>0</v>
      </c>
      <c r="E18" s="428">
        <v>50649.707483379912</v>
      </c>
      <c r="F18" s="428">
        <v>2374.7239902043734</v>
      </c>
      <c r="G18" s="428"/>
      <c r="H18" s="428">
        <v>80157.715840576697</v>
      </c>
      <c r="I18" s="428">
        <v>3758.2142180991755</v>
      </c>
      <c r="J18" s="428"/>
      <c r="K18" s="429">
        <v>1761.4067170131941</v>
      </c>
      <c r="L18" s="429">
        <v>440.35167925329779</v>
      </c>
      <c r="M18" s="429">
        <v>0</v>
      </c>
      <c r="N18" s="429">
        <v>240765.71666192508</v>
      </c>
      <c r="O18" s="429">
        <v>565173.87317510811</v>
      </c>
      <c r="P18" s="429">
        <v>762.23254930359167</v>
      </c>
      <c r="Q18" s="429">
        <v>669046.37905091466</v>
      </c>
      <c r="R18" s="429">
        <v>18457.929585470105</v>
      </c>
      <c r="S18" s="429">
        <v>638116.34001232602</v>
      </c>
      <c r="T18" s="429">
        <v>213221.31144247981</v>
      </c>
      <c r="U18" s="428">
        <v>8913.7432931577296</v>
      </c>
      <c r="V18" s="428">
        <v>11295.796572807829</v>
      </c>
      <c r="W18" s="428">
        <v>6554.0833674539581</v>
      </c>
      <c r="X18" s="428">
        <v>90386.880389749203</v>
      </c>
      <c r="Y18" s="428">
        <v>0</v>
      </c>
      <c r="Z18" s="428">
        <v>0</v>
      </c>
      <c r="AA18" s="429">
        <v>10.79037088616402</v>
      </c>
      <c r="AB18" s="429">
        <v>3.4670569419312463</v>
      </c>
      <c r="AC18" s="429">
        <v>153.26462669088656</v>
      </c>
      <c r="AD18" s="429">
        <v>42528.549777724227</v>
      </c>
      <c r="AE18" s="429">
        <v>84.91120017557833</v>
      </c>
      <c r="AF18" s="429">
        <v>2.0045729644408166</v>
      </c>
      <c r="AG18" s="429">
        <v>146.29997880551448</v>
      </c>
      <c r="AH18" s="429">
        <v>9902.7559501193391</v>
      </c>
      <c r="AI18" s="429">
        <v>3314.9329865468303</v>
      </c>
      <c r="AJ18" s="429">
        <v>199.6558716652074</v>
      </c>
      <c r="AK18" s="429">
        <v>15671.280182551684</v>
      </c>
      <c r="AL18" s="333"/>
      <c r="AM18" s="429">
        <v>10479.285131584269</v>
      </c>
      <c r="AN18" s="430">
        <v>183714.84560000006</v>
      </c>
      <c r="AO18" s="430">
        <v>75992.259138114736</v>
      </c>
      <c r="AP18" s="430">
        <v>24231.570600900006</v>
      </c>
      <c r="AQ18" s="429">
        <v>37148.5699902864</v>
      </c>
      <c r="AR18" s="429">
        <v>12453.846108321208</v>
      </c>
      <c r="AS18" s="429">
        <v>79439.127729987638</v>
      </c>
      <c r="AT18" s="428">
        <v>55486.975317844008</v>
      </c>
      <c r="AU18" s="428">
        <v>236841.06364857435</v>
      </c>
      <c r="AV18" s="433"/>
      <c r="AW18" s="428">
        <v>554592.76782590547</v>
      </c>
      <c r="AX18" s="428">
        <v>190614.19584886567</v>
      </c>
      <c r="AY18" s="428">
        <v>0</v>
      </c>
      <c r="AZ18" s="428">
        <v>473195.61772799341</v>
      </c>
      <c r="BA18" s="428">
        <v>22185.892896755144</v>
      </c>
      <c r="BB18" s="428"/>
      <c r="BC18" s="428">
        <v>1138166.8549370645</v>
      </c>
      <c r="BD18" s="428">
        <v>53363.232870819826</v>
      </c>
      <c r="BE18" s="428"/>
      <c r="BF18" s="429">
        <v>6177.2049639601119</v>
      </c>
      <c r="BG18" s="429">
        <v>1544.3012409900346</v>
      </c>
      <c r="BH18" s="429">
        <v>0</v>
      </c>
      <c r="BI18" s="429">
        <v>280016.67260918679</v>
      </c>
      <c r="BJ18" s="429">
        <v>187028.95318799568</v>
      </c>
      <c r="BK18" s="429">
        <v>1728.4880363445488</v>
      </c>
      <c r="BL18" s="429">
        <v>799269.96757971251</v>
      </c>
      <c r="BM18" s="429">
        <v>14860.057889579179</v>
      </c>
      <c r="BN18" s="429">
        <v>605128.39475716488</v>
      </c>
      <c r="BO18" s="429">
        <v>214736.13794944889</v>
      </c>
      <c r="BP18" s="428">
        <v>13570.42626668708</v>
      </c>
      <c r="BQ18" s="428">
        <v>17196.902521575987</v>
      </c>
      <c r="BR18" s="428">
        <v>4111.8083928695769</v>
      </c>
      <c r="BS18" s="428">
        <v>114625.85367191295</v>
      </c>
      <c r="BT18" s="428">
        <v>0</v>
      </c>
      <c r="BU18" s="428">
        <v>0</v>
      </c>
      <c r="BV18" s="431">
        <v>2.6540052172769797</v>
      </c>
      <c r="BW18" s="432">
        <v>3.3756987734599515</v>
      </c>
      <c r="BX18" s="432">
        <v>128.37942755182235</v>
      </c>
      <c r="BY18" s="429">
        <v>19669.838473032243</v>
      </c>
      <c r="BZ18" s="429">
        <v>80.856245486871913</v>
      </c>
      <c r="CA18" s="429">
        <v>7.071115445398763</v>
      </c>
      <c r="CB18" s="431">
        <v>139.14836968344494</v>
      </c>
      <c r="CC18" s="429">
        <v>8704.8111670286162</v>
      </c>
      <c r="CD18" s="429">
        <v>2913.9227326809582</v>
      </c>
      <c r="CE18" s="429">
        <v>167.52590743313084</v>
      </c>
      <c r="CF18" s="429">
        <v>14192.951893950927</v>
      </c>
      <c r="CG18" s="333"/>
      <c r="CH18" s="429">
        <v>9338.9143518007459</v>
      </c>
      <c r="CI18" s="430">
        <v>142327.14912000002</v>
      </c>
      <c r="CJ18" s="430">
        <v>58872.550898064925</v>
      </c>
      <c r="CK18" s="430">
        <v>21612.286358520003</v>
      </c>
      <c r="CL18" s="429">
        <v>69486.721656526453</v>
      </c>
      <c r="CM18" s="429">
        <v>10809.574719961005</v>
      </c>
      <c r="CN18" s="429">
        <v>70794.448355653891</v>
      </c>
      <c r="CO18" s="428">
        <v>64267.788628595779</v>
      </c>
      <c r="CP18" s="428">
        <v>285078.51858945779</v>
      </c>
      <c r="CQ18" s="420">
        <f t="shared" si="0"/>
        <v>4381266.2187150074</v>
      </c>
      <c r="CR18" s="420">
        <f t="shared" si="1"/>
        <v>5470712.2188896984</v>
      </c>
      <c r="CT18" s="420">
        <f t="shared" si="2"/>
        <v>2503143.831991524</v>
      </c>
      <c r="CU18" s="420">
        <f t="shared" si="3"/>
        <v>1108774.8604682693</v>
      </c>
      <c r="CV18" s="420">
        <f t="shared" si="4"/>
        <v>705308.25813402841</v>
      </c>
      <c r="CW18" s="420">
        <f t="shared" si="5"/>
        <v>82497.197706656079</v>
      </c>
      <c r="CX18" s="427"/>
      <c r="CY18" s="420">
        <f t="shared" si="6"/>
        <v>3797401.7766470164</v>
      </c>
      <c r="CZ18" s="420">
        <f t="shared" si="7"/>
        <v>894711.95452781674</v>
      </c>
      <c r="DA18" s="420">
        <f t="shared" si="8"/>
        <v>723249.03832677985</v>
      </c>
      <c r="DB18" s="420">
        <f t="shared" si="9"/>
        <v>55349.449388084897</v>
      </c>
    </row>
    <row r="19" spans="1:106">
      <c r="A19" s="434" t="s">
        <v>823</v>
      </c>
      <c r="B19" s="428">
        <v>4879514.2842300003</v>
      </c>
      <c r="C19" s="428">
        <v>2061236.1131000002</v>
      </c>
      <c r="D19" s="428">
        <v>0</v>
      </c>
      <c r="E19" s="428">
        <v>641167.79922030238</v>
      </c>
      <c r="F19" s="428">
        <v>29221.593482273973</v>
      </c>
      <c r="G19" s="428">
        <v>238265.61870559174</v>
      </c>
      <c r="H19" s="428">
        <v>116309.52221403582</v>
      </c>
      <c r="I19" s="428">
        <v>5083.6580248737328</v>
      </c>
      <c r="J19" s="428">
        <v>40395.646383469175</v>
      </c>
      <c r="K19" s="429">
        <v>69307.806842764316</v>
      </c>
      <c r="L19" s="429">
        <v>17375.154693923028</v>
      </c>
      <c r="M19" s="429">
        <v>10889.233204641994</v>
      </c>
      <c r="N19" s="429">
        <v>3674225.2072240133</v>
      </c>
      <c r="O19" s="429">
        <v>2438462.3075931459</v>
      </c>
      <c r="P19" s="429">
        <v>54402.459159979728</v>
      </c>
      <c r="Q19" s="429">
        <v>2861976.0907036574</v>
      </c>
      <c r="R19" s="429">
        <v>114437.57597898235</v>
      </c>
      <c r="S19" s="429">
        <v>8428137.6005224884</v>
      </c>
      <c r="T19" s="429">
        <v>875013.47188181034</v>
      </c>
      <c r="U19" s="428">
        <v>72422.166811672694</v>
      </c>
      <c r="V19" s="428">
        <v>31765.971391701478</v>
      </c>
      <c r="W19" s="428">
        <v>119253.63696474307</v>
      </c>
      <c r="X19" s="428">
        <v>458521.04467313149</v>
      </c>
      <c r="Y19" s="428">
        <v>205715.06355549654</v>
      </c>
      <c r="Z19" s="428">
        <v>1390777.1511266383</v>
      </c>
      <c r="AA19" s="429">
        <v>44.320462273978343</v>
      </c>
      <c r="AB19" s="429">
        <v>22.84172533282981</v>
      </c>
      <c r="AC19" s="429">
        <v>1125.6058775780557</v>
      </c>
      <c r="AD19" s="429">
        <v>111592.28483686488</v>
      </c>
      <c r="AE19" s="429">
        <v>422.5320797125492</v>
      </c>
      <c r="AF19" s="429">
        <v>158.99552810098717</v>
      </c>
      <c r="AG19" s="429">
        <v>715.58477966235341</v>
      </c>
      <c r="AH19" s="429">
        <v>95311.73450656487</v>
      </c>
      <c r="AI19" s="429">
        <v>7428.6538285264596</v>
      </c>
      <c r="AJ19" s="429">
        <v>4531.6142873428125</v>
      </c>
      <c r="AK19" s="429">
        <v>40643.696649737634</v>
      </c>
      <c r="AL19" s="333"/>
      <c r="AM19" s="429">
        <v>216826.72764231937</v>
      </c>
      <c r="AN19" s="430">
        <v>1531720.6825800003</v>
      </c>
      <c r="AO19" s="430">
        <v>193077.06186699588</v>
      </c>
      <c r="AP19" s="430">
        <v>139146.81849198</v>
      </c>
      <c r="AQ19" s="429">
        <v>377432.85549609759</v>
      </c>
      <c r="AR19" s="429">
        <v>71514.681920670031</v>
      </c>
      <c r="AS19" s="429">
        <v>460125.96571693086</v>
      </c>
      <c r="AT19" s="428">
        <v>243662.32231759134</v>
      </c>
      <c r="AU19" s="428">
        <v>581508.64231813443</v>
      </c>
      <c r="AV19" s="433"/>
      <c r="AW19" s="428">
        <v>4951553.4149155552</v>
      </c>
      <c r="AX19" s="428">
        <v>2132860.7740999996</v>
      </c>
      <c r="AY19" s="428">
        <v>0</v>
      </c>
      <c r="AZ19" s="428">
        <v>2604726.4052003599</v>
      </c>
      <c r="BA19" s="428">
        <v>119090.89561488827</v>
      </c>
      <c r="BB19" s="428">
        <v>1000436.4752978408</v>
      </c>
      <c r="BC19" s="428">
        <v>1473407.3116649715</v>
      </c>
      <c r="BD19" s="428">
        <v>64190.75679163821</v>
      </c>
      <c r="BE19" s="428">
        <v>533650.56268949946</v>
      </c>
      <c r="BF19" s="429">
        <v>137409.50665763367</v>
      </c>
      <c r="BG19" s="429">
        <v>34421.535565730293</v>
      </c>
      <c r="BH19" s="429">
        <v>22822.108057842284</v>
      </c>
      <c r="BI19" s="429">
        <v>3618331.4218830261</v>
      </c>
      <c r="BJ19" s="429">
        <v>1194079.9499294762</v>
      </c>
      <c r="BK19" s="429">
        <v>39525.018353044215</v>
      </c>
      <c r="BL19" s="429">
        <v>2832747.1834031958</v>
      </c>
      <c r="BM19" s="429">
        <v>88594.882233025433</v>
      </c>
      <c r="BN19" s="429">
        <v>9404234.3564549927</v>
      </c>
      <c r="BO19" s="429">
        <v>809911.27812567272</v>
      </c>
      <c r="BP19" s="428">
        <v>61823.186651539378</v>
      </c>
      <c r="BQ19" s="428">
        <v>27117.023212292115</v>
      </c>
      <c r="BR19" s="428">
        <v>132993.41199360767</v>
      </c>
      <c r="BS19" s="428">
        <v>458343.73903673107</v>
      </c>
      <c r="BT19" s="428">
        <v>196191.21802051968</v>
      </c>
      <c r="BU19" s="428">
        <v>1390777.1511266383</v>
      </c>
      <c r="BV19" s="431">
        <v>9.7174257874386463</v>
      </c>
      <c r="BW19" s="432">
        <v>27.835673526916469</v>
      </c>
      <c r="BX19" s="432">
        <v>1007.0216746959151</v>
      </c>
      <c r="BY19" s="429">
        <v>21998.251529695961</v>
      </c>
      <c r="BZ19" s="429">
        <v>490.19903693574463</v>
      </c>
      <c r="CA19" s="429">
        <v>145.53448878909714</v>
      </c>
      <c r="CB19" s="431">
        <v>827.21245818524335</v>
      </c>
      <c r="CC19" s="429">
        <v>89286.122145817339</v>
      </c>
      <c r="CD19" s="429">
        <v>6959.0139823457121</v>
      </c>
      <c r="CE19" s="429">
        <v>4052.1651716264746</v>
      </c>
      <c r="CF19" s="429">
        <v>39227.963869598228</v>
      </c>
      <c r="CG19" s="333"/>
      <c r="CH19" s="429">
        <v>205903.26759484297</v>
      </c>
      <c r="CI19" s="430">
        <v>1264470.6780000001</v>
      </c>
      <c r="CJ19" s="430">
        <v>159389.55848920386</v>
      </c>
      <c r="CK19" s="430">
        <v>132244.65190200001</v>
      </c>
      <c r="CL19" s="429">
        <v>872120.07811128197</v>
      </c>
      <c r="CM19" s="429">
        <v>66143.323401152375</v>
      </c>
      <c r="CN19" s="429">
        <v>436945.39357083169</v>
      </c>
      <c r="CO19" s="428">
        <v>272624.0455879888</v>
      </c>
      <c r="CP19" s="428">
        <v>740610.05716720037</v>
      </c>
      <c r="CQ19" s="420">
        <f t="shared" si="0"/>
        <v>32910889.800601762</v>
      </c>
      <c r="CR19" s="420">
        <f t="shared" si="1"/>
        <v>37643721.658261225</v>
      </c>
      <c r="CT19" s="420">
        <f t="shared" si="2"/>
        <v>19729108.321814936</v>
      </c>
      <c r="CU19" s="420">
        <f t="shared" si="3"/>
        <v>9219205.4318533856</v>
      </c>
      <c r="CV19" s="420">
        <f t="shared" si="4"/>
        <v>3598189.0307084005</v>
      </c>
      <c r="CW19" s="420">
        <f t="shared" si="5"/>
        <v>478824.59220401675</v>
      </c>
      <c r="CX19" s="427"/>
      <c r="CY19" s="420">
        <f t="shared" si="6"/>
        <v>23977579.647922836</v>
      </c>
      <c r="CZ19" s="420">
        <f t="shared" si="7"/>
        <v>9351659.9190568831</v>
      </c>
      <c r="DA19" s="420">
        <f t="shared" si="8"/>
        <v>3944547.7862296589</v>
      </c>
      <c r="DB19" s="420">
        <f t="shared" si="9"/>
        <v>369934.30505184701</v>
      </c>
    </row>
    <row r="20" spans="1:106">
      <c r="A20" s="434" t="s">
        <v>822</v>
      </c>
      <c r="B20" s="428">
        <v>9054713.0108670034</v>
      </c>
      <c r="C20" s="428">
        <v>2509652.5497999997</v>
      </c>
      <c r="D20" s="428">
        <v>1916097.6096999999</v>
      </c>
      <c r="E20" s="428">
        <v>0</v>
      </c>
      <c r="F20" s="428">
        <v>0</v>
      </c>
      <c r="G20" s="428">
        <v>0</v>
      </c>
      <c r="H20" s="428">
        <v>0</v>
      </c>
      <c r="I20" s="428">
        <v>0</v>
      </c>
      <c r="J20" s="428">
        <v>0</v>
      </c>
      <c r="K20" s="429">
        <v>0</v>
      </c>
      <c r="L20" s="429">
        <v>0</v>
      </c>
      <c r="M20" s="429">
        <v>0</v>
      </c>
      <c r="N20" s="429">
        <v>1107736.2112318736</v>
      </c>
      <c r="O20" s="429">
        <v>63155.632468178483</v>
      </c>
      <c r="P20" s="429">
        <v>2406.1889006473693</v>
      </c>
      <c r="Q20" s="429">
        <v>3996.1241330734083</v>
      </c>
      <c r="R20" s="429">
        <v>25199.226047680873</v>
      </c>
      <c r="S20" s="429">
        <v>1013996.5895809596</v>
      </c>
      <c r="T20" s="429">
        <v>127146.80793074385</v>
      </c>
      <c r="U20" s="428">
        <v>654645.52756737056</v>
      </c>
      <c r="V20" s="428">
        <v>3375.9938538326501</v>
      </c>
      <c r="W20" s="428">
        <v>209015.54421184395</v>
      </c>
      <c r="X20" s="428">
        <v>115308.83674444997</v>
      </c>
      <c r="Y20" s="428">
        <v>1272270.7613453171</v>
      </c>
      <c r="Z20" s="428">
        <v>5116016.3759792615</v>
      </c>
      <c r="AA20" s="429"/>
      <c r="AB20" s="429"/>
      <c r="AC20" s="429">
        <v>150.33081126624026</v>
      </c>
      <c r="AD20" s="429"/>
      <c r="AE20" s="429"/>
      <c r="AF20" s="429">
        <v>4.9102525863759228</v>
      </c>
      <c r="AG20" s="429"/>
      <c r="AH20" s="429">
        <v>11049.287349468375</v>
      </c>
      <c r="AI20" s="429">
        <v>1367.3000642059123</v>
      </c>
      <c r="AJ20" s="429">
        <v>71.788850505576136</v>
      </c>
      <c r="AK20" s="429">
        <v>5240.4050795666872</v>
      </c>
      <c r="AL20" s="333"/>
      <c r="AM20" s="429">
        <v>12077.192589989358</v>
      </c>
      <c r="AN20" s="430">
        <v>116421.89576939757</v>
      </c>
      <c r="AO20" s="430">
        <v>77614.597179598393</v>
      </c>
      <c r="AP20" s="430">
        <v>16656.247890359999</v>
      </c>
      <c r="AQ20" s="429">
        <v>4048.6185477748268</v>
      </c>
      <c r="AR20" s="429">
        <v>8560.4994981583568</v>
      </c>
      <c r="AS20" s="429">
        <v>212626.10615808502</v>
      </c>
      <c r="AT20" s="428">
        <v>73805.42392619446</v>
      </c>
      <c r="AU20" s="428">
        <v>209826.83071517228</v>
      </c>
      <c r="AV20" s="433"/>
      <c r="AW20" s="428">
        <v>8190520.8087462233</v>
      </c>
      <c r="AX20" s="428">
        <v>2760545.7860222221</v>
      </c>
      <c r="AY20" s="428">
        <v>2088328.4929222222</v>
      </c>
      <c r="AZ20" s="428">
        <v>0</v>
      </c>
      <c r="BA20" s="428">
        <v>0</v>
      </c>
      <c r="BB20" s="428">
        <v>0</v>
      </c>
      <c r="BC20" s="428">
        <v>0</v>
      </c>
      <c r="BD20" s="428">
        <v>0</v>
      </c>
      <c r="BE20" s="428">
        <v>0</v>
      </c>
      <c r="BF20" s="429">
        <v>0</v>
      </c>
      <c r="BG20" s="429">
        <v>0</v>
      </c>
      <c r="BH20" s="429">
        <v>0</v>
      </c>
      <c r="BI20" s="429">
        <v>1162500.7015635052</v>
      </c>
      <c r="BJ20" s="429">
        <v>10988.135918900156</v>
      </c>
      <c r="BK20" s="429">
        <v>1126.5697586220988</v>
      </c>
      <c r="BL20" s="429">
        <v>3907.2337229782261</v>
      </c>
      <c r="BM20" s="429">
        <v>24115.861269650159</v>
      </c>
      <c r="BN20" s="429">
        <v>985508.2393269001</v>
      </c>
      <c r="BO20" s="429">
        <v>124554.62984614691</v>
      </c>
      <c r="BP20" s="428">
        <v>550346.85239538131</v>
      </c>
      <c r="BQ20" s="428">
        <v>2838.1276781452439</v>
      </c>
      <c r="BR20" s="428">
        <v>207378.08767403819</v>
      </c>
      <c r="BS20" s="428">
        <v>106225.34228002769</v>
      </c>
      <c r="BT20" s="428">
        <v>1582882.0167160728</v>
      </c>
      <c r="BU20" s="428">
        <v>5116016.3759792615</v>
      </c>
      <c r="BV20" s="431"/>
      <c r="BW20" s="432"/>
      <c r="BX20" s="432">
        <v>179.550151589666</v>
      </c>
      <c r="BY20" s="429"/>
      <c r="BZ20" s="429"/>
      <c r="CA20" s="429">
        <v>2.9959689331802655</v>
      </c>
      <c r="CB20" s="431"/>
      <c r="CC20" s="429">
        <v>9757.8112717051044</v>
      </c>
      <c r="CD20" s="429">
        <v>1207.4856555299459</v>
      </c>
      <c r="CE20" s="429">
        <v>60.516215300919256</v>
      </c>
      <c r="CF20" s="429">
        <v>4768.1288411927817</v>
      </c>
      <c r="CG20" s="333"/>
      <c r="CH20" s="429">
        <v>10895.999758637678</v>
      </c>
      <c r="CI20" s="430">
        <v>106527.39637465496</v>
      </c>
      <c r="CJ20" s="430">
        <v>45654.598446280695</v>
      </c>
      <c r="CK20" s="430">
        <v>15039.475217580004</v>
      </c>
      <c r="CL20" s="429">
        <v>5541.5412479604292</v>
      </c>
      <c r="CM20" s="429">
        <v>7522.1255362158508</v>
      </c>
      <c r="CN20" s="429">
        <v>191830.50896272954</v>
      </c>
      <c r="CO20" s="428">
        <v>84512.14558215432</v>
      </c>
      <c r="CP20" s="428">
        <v>268644.27565635403</v>
      </c>
      <c r="CQ20" s="420">
        <f t="shared" si="0"/>
        <v>23944254.425044566</v>
      </c>
      <c r="CR20" s="420">
        <f t="shared" si="1"/>
        <v>23669927.816707119</v>
      </c>
      <c r="CT20" s="420">
        <f t="shared" si="2"/>
        <v>2368836.0063408385</v>
      </c>
      <c r="CU20" s="420">
        <f t="shared" si="3"/>
        <v>20851096.210069079</v>
      </c>
      <c r="CV20" s="420">
        <f t="shared" si="4"/>
        <v>719560.21968474099</v>
      </c>
      <c r="CW20" s="420">
        <f t="shared" si="5"/>
        <v>29961.214997588526</v>
      </c>
      <c r="CX20" s="427"/>
      <c r="CY20" s="420">
        <f t="shared" si="6"/>
        <v>2312701.3714067028</v>
      </c>
      <c r="CZ20" s="420">
        <f t="shared" si="7"/>
        <v>20605081.890413597</v>
      </c>
      <c r="DA20" s="420">
        <f t="shared" si="8"/>
        <v>725272.06702392991</v>
      </c>
      <c r="DB20" s="420">
        <f t="shared" si="9"/>
        <v>26872.487862889277</v>
      </c>
    </row>
    <row r="21" spans="1:106">
      <c r="A21" s="434" t="s">
        <v>821</v>
      </c>
      <c r="B21" s="428">
        <v>13622247.062315</v>
      </c>
      <c r="C21" s="428">
        <v>4567923.1212999998</v>
      </c>
      <c r="D21" s="428">
        <v>0</v>
      </c>
      <c r="E21" s="428">
        <v>473875.64601660491</v>
      </c>
      <c r="F21" s="428">
        <v>19885.729557330811</v>
      </c>
      <c r="G21" s="428">
        <v>348784.52190948714</v>
      </c>
      <c r="H21" s="428">
        <v>76402.40361321994</v>
      </c>
      <c r="I21" s="428">
        <v>3238.1507993938499</v>
      </c>
      <c r="J21" s="428">
        <v>55459.642779482201</v>
      </c>
      <c r="K21" s="429">
        <v>223925.90483434749</v>
      </c>
      <c r="L21" s="429">
        <v>50795.623941092068</v>
      </c>
      <c r="M21" s="429">
        <v>332744.65399138117</v>
      </c>
      <c r="N21" s="429">
        <v>9383780.0263789967</v>
      </c>
      <c r="O21" s="429">
        <v>20264665.967552848</v>
      </c>
      <c r="P21" s="429">
        <v>529565.59038042033</v>
      </c>
      <c r="Q21" s="429">
        <v>392709.01837899664</v>
      </c>
      <c r="R21" s="429">
        <v>415055.28296031948</v>
      </c>
      <c r="S21" s="429">
        <v>11389686.474089539</v>
      </c>
      <c r="T21" s="429">
        <v>3009842.2855217871</v>
      </c>
      <c r="U21" s="428">
        <v>348465.27629480942</v>
      </c>
      <c r="V21" s="428">
        <v>151751.27595737204</v>
      </c>
      <c r="W21" s="428">
        <v>107774.3199887552</v>
      </c>
      <c r="X21" s="428">
        <v>599315.23179590225</v>
      </c>
      <c r="Y21" s="428">
        <v>161235.40451446589</v>
      </c>
      <c r="Z21" s="428">
        <v>928758.26369276165</v>
      </c>
      <c r="AA21" s="429">
        <v>5.1877022491348264</v>
      </c>
      <c r="AB21" s="429">
        <v>0.17306485184710182</v>
      </c>
      <c r="AC21" s="429">
        <v>1528.8084317996272</v>
      </c>
      <c r="AD21" s="429">
        <v>851840.79258114169</v>
      </c>
      <c r="AE21" s="429">
        <v>1.5753599427567915</v>
      </c>
      <c r="AF21" s="429">
        <v>1547.4310040138114</v>
      </c>
      <c r="AG21" s="429">
        <v>2.4725111658612482</v>
      </c>
      <c r="AH21" s="429">
        <v>60753.455676838428</v>
      </c>
      <c r="AI21" s="429">
        <v>31598.308978353201</v>
      </c>
      <c r="AJ21" s="429">
        <v>6510.7112506444473</v>
      </c>
      <c r="AK21" s="429">
        <v>88550.364912178513</v>
      </c>
      <c r="AL21" s="333">
        <v>160000</v>
      </c>
      <c r="AM21" s="429">
        <v>156620.07691352288</v>
      </c>
      <c r="AN21" s="430">
        <v>1638431.8196400001</v>
      </c>
      <c r="AO21" s="430">
        <v>548700.10087385483</v>
      </c>
      <c r="AP21" s="430">
        <v>178372.73859834002</v>
      </c>
      <c r="AQ21" s="429">
        <v>132074.70838276666</v>
      </c>
      <c r="AR21" s="429">
        <v>91674.89276741416</v>
      </c>
      <c r="AS21" s="429">
        <v>694158.8170460806</v>
      </c>
      <c r="AT21" s="428">
        <v>359687.32799999916</v>
      </c>
      <c r="AU21" s="428">
        <v>278309.34734999924</v>
      </c>
      <c r="AV21" s="433"/>
      <c r="AW21" s="428">
        <v>10625248.954009665</v>
      </c>
      <c r="AX21" s="428">
        <v>4462388.6045000004</v>
      </c>
      <c r="AY21" s="428">
        <v>0</v>
      </c>
      <c r="AZ21" s="428">
        <v>2079173.357992528</v>
      </c>
      <c r="BA21" s="428">
        <v>87509.498245928422</v>
      </c>
      <c r="BB21" s="428">
        <v>1537001.6637504715</v>
      </c>
      <c r="BC21" s="428">
        <v>1132129.5101728148</v>
      </c>
      <c r="BD21" s="428">
        <v>48101.587221934649</v>
      </c>
      <c r="BE21" s="428">
        <v>829546.65594252187</v>
      </c>
      <c r="BF21" s="429">
        <v>453056.25638543029</v>
      </c>
      <c r="BG21" s="429">
        <v>102629.25106146795</v>
      </c>
      <c r="BH21" s="429">
        <v>713873.65993803903</v>
      </c>
      <c r="BI21" s="429">
        <v>9082711.3223161679</v>
      </c>
      <c r="BJ21" s="429">
        <v>16928687.943313904</v>
      </c>
      <c r="BK21" s="429">
        <v>384897.93027233391</v>
      </c>
      <c r="BL21" s="429">
        <v>307079.22689330386</v>
      </c>
      <c r="BM21" s="429">
        <v>377994.77496579324</v>
      </c>
      <c r="BN21" s="429">
        <v>11289150.573500182</v>
      </c>
      <c r="BO21" s="429">
        <v>2893791.5204075621</v>
      </c>
      <c r="BP21" s="428">
        <v>402807.89834569901</v>
      </c>
      <c r="BQ21" s="428">
        <v>175416.65324482077</v>
      </c>
      <c r="BR21" s="428">
        <v>118122.87577052273</v>
      </c>
      <c r="BS21" s="428">
        <v>675365.89241081779</v>
      </c>
      <c r="BT21" s="428">
        <v>153770.80245361108</v>
      </c>
      <c r="BU21" s="428">
        <v>928758.26369276165</v>
      </c>
      <c r="BV21" s="431">
        <v>1.0409210200266379</v>
      </c>
      <c r="BW21" s="432">
        <v>0.1628614921806755</v>
      </c>
      <c r="BX21" s="432">
        <v>1648.4114122603801</v>
      </c>
      <c r="BY21" s="429">
        <v>864541.19059146673</v>
      </c>
      <c r="BZ21" s="429">
        <v>1.741870569251263</v>
      </c>
      <c r="CA21" s="429">
        <v>1574.5722235548881</v>
      </c>
      <c r="CB21" s="431">
        <v>2.7972114196487445</v>
      </c>
      <c r="CC21" s="429">
        <v>56729.287408198354</v>
      </c>
      <c r="CD21" s="429">
        <v>29505.310137106211</v>
      </c>
      <c r="CE21" s="429">
        <v>5803.1178628969856</v>
      </c>
      <c r="CF21" s="429">
        <v>85190.599591933336</v>
      </c>
      <c r="CG21" s="333">
        <v>407623.81719422515</v>
      </c>
      <c r="CH21" s="429">
        <v>149736.56666820392</v>
      </c>
      <c r="CI21" s="430">
        <v>1361719.2430800002</v>
      </c>
      <c r="CJ21" s="430">
        <v>456030.86871447368</v>
      </c>
      <c r="CK21" s="430">
        <v>170672.41423122006</v>
      </c>
      <c r="CL21" s="429">
        <v>282114.74317799823</v>
      </c>
      <c r="CM21" s="429">
        <v>85363.306022512174</v>
      </c>
      <c r="CN21" s="429">
        <v>663650.2805724747</v>
      </c>
      <c r="CO21" s="428">
        <v>375529.17966666556</v>
      </c>
      <c r="CP21" s="428">
        <v>365336.66234999924</v>
      </c>
      <c r="CQ21" s="420">
        <f t="shared" si="0"/>
        <v>72738255.98960951</v>
      </c>
      <c r="CR21" s="420">
        <f t="shared" si="1"/>
        <v>71151989.990577966</v>
      </c>
      <c r="CT21" s="420">
        <f t="shared" si="2"/>
        <v>47385472.205665566</v>
      </c>
      <c r="CU21" s="420">
        <f t="shared" si="3"/>
        <v>20487469.955859065</v>
      </c>
      <c r="CV21" s="420">
        <f t="shared" si="4"/>
        <v>3921409.7526584547</v>
      </c>
      <c r="CW21" s="420">
        <f t="shared" si="5"/>
        <v>1358959.3583867021</v>
      </c>
      <c r="CX21" s="427"/>
      <c r="CY21" s="420">
        <f t="shared" si="6"/>
        <v>48247334.732380383</v>
      </c>
      <c r="CZ21" s="420">
        <f t="shared" si="7"/>
        <v>17541879.9444279</v>
      </c>
      <c r="DA21" s="420">
        <f t="shared" si="8"/>
        <v>3760416.6978153442</v>
      </c>
      <c r="DB21" s="420">
        <f t="shared" si="9"/>
        <v>1602358.615954347</v>
      </c>
    </row>
    <row r="22" spans="1:106">
      <c r="A22" s="434" t="s">
        <v>820</v>
      </c>
      <c r="B22" s="428">
        <v>789301.27872099984</v>
      </c>
      <c r="C22" s="428">
        <v>188015.33569999994</v>
      </c>
      <c r="D22" s="428">
        <v>0</v>
      </c>
      <c r="E22" s="431">
        <v>52200.30673804399</v>
      </c>
      <c r="F22" s="431">
        <v>2257.3105616451462</v>
      </c>
      <c r="G22" s="431">
        <v>36681.296626733609</v>
      </c>
      <c r="H22" s="431">
        <v>5787.3078181802084</v>
      </c>
      <c r="I22" s="431">
        <v>250.26195970509019</v>
      </c>
      <c r="J22" s="429">
        <v>4066.7568452077135</v>
      </c>
      <c r="K22" s="429">
        <v>14328.222363230874</v>
      </c>
      <c r="L22" s="429">
        <v>3184.0494140513047</v>
      </c>
      <c r="M22" s="429">
        <v>14628.365715687201</v>
      </c>
      <c r="N22" s="429">
        <v>343835.40842118359</v>
      </c>
      <c r="O22" s="429">
        <v>1513548.154002615</v>
      </c>
      <c r="P22" s="429">
        <v>30493.840309023417</v>
      </c>
      <c r="Q22" s="429">
        <v>42590.044056916217</v>
      </c>
      <c r="R22" s="429">
        <v>19394.430214769596</v>
      </c>
      <c r="S22" s="429">
        <v>308909.43105448491</v>
      </c>
      <c r="T22" s="429">
        <v>202794.18587482415</v>
      </c>
      <c r="U22" s="428">
        <v>9236.696469546152</v>
      </c>
      <c r="V22" s="428">
        <v>71431.379521348135</v>
      </c>
      <c r="W22" s="428">
        <v>8052.3956303106024</v>
      </c>
      <c r="X22" s="428">
        <v>46077.455811776912</v>
      </c>
      <c r="Y22" s="428">
        <v>0</v>
      </c>
      <c r="Z22" s="428">
        <v>0</v>
      </c>
      <c r="AA22" s="429"/>
      <c r="AB22" s="429">
        <v>9.1480645394303575E-2</v>
      </c>
      <c r="AC22" s="429">
        <v>47.16592285845239</v>
      </c>
      <c r="AD22" s="429">
        <v>114992.76606726825</v>
      </c>
      <c r="AE22" s="429">
        <v>2.4742684042276109</v>
      </c>
      <c r="AF22" s="429">
        <v>54.295542240699397</v>
      </c>
      <c r="AG22" s="429">
        <v>4.2843357796121104</v>
      </c>
      <c r="AH22" s="429">
        <v>7363.2150010033329</v>
      </c>
      <c r="AI22" s="429">
        <v>520.37967613222452</v>
      </c>
      <c r="AJ22" s="429">
        <v>128.08399227588791</v>
      </c>
      <c r="AK22" s="429">
        <v>3444.5453963767336</v>
      </c>
      <c r="AL22" s="333"/>
      <c r="AM22" s="429">
        <v>4811.7872332429379</v>
      </c>
      <c r="AN22" s="430">
        <v>136433.09196000002</v>
      </c>
      <c r="AO22" s="430">
        <v>5338.578306165371</v>
      </c>
      <c r="AP22" s="430">
        <v>11552.48354598</v>
      </c>
      <c r="AQ22" s="429">
        <v>3118.4840414320001</v>
      </c>
      <c r="AR22" s="429">
        <v>5937.4134108007083</v>
      </c>
      <c r="AS22" s="429">
        <v>12102.989374992139</v>
      </c>
      <c r="AT22" s="428">
        <v>21067.200000000001</v>
      </c>
      <c r="AU22" s="428">
        <v>52807.799999999974</v>
      </c>
      <c r="AV22" s="433"/>
      <c r="AW22" s="428">
        <v>701825.15712211072</v>
      </c>
      <c r="AX22" s="428">
        <v>177928.38892222208</v>
      </c>
      <c r="AY22" s="428">
        <v>0</v>
      </c>
      <c r="AZ22" s="431">
        <v>187605.11808624415</v>
      </c>
      <c r="BA22" s="431">
        <v>8112.6537550808298</v>
      </c>
      <c r="BB22" s="431">
        <v>131830.62352006338</v>
      </c>
      <c r="BC22" s="431">
        <v>74949.98651624874</v>
      </c>
      <c r="BD22" s="431">
        <v>3241.0804979999461</v>
      </c>
      <c r="BE22" s="431">
        <v>52667.558092499079</v>
      </c>
      <c r="BF22" s="429">
        <v>40814.447279628403</v>
      </c>
      <c r="BG22" s="429">
        <v>9069.8771732507557</v>
      </c>
      <c r="BH22" s="429">
        <v>32325.76137768383</v>
      </c>
      <c r="BI22" s="429">
        <v>490231.7263293445</v>
      </c>
      <c r="BJ22" s="429">
        <v>873812.12426441861</v>
      </c>
      <c r="BK22" s="429">
        <v>21104.350245960679</v>
      </c>
      <c r="BL22" s="429">
        <v>41817.262195422954</v>
      </c>
      <c r="BM22" s="429">
        <v>17635.820486301407</v>
      </c>
      <c r="BN22" s="429">
        <v>304713.54200748418</v>
      </c>
      <c r="BO22" s="429">
        <v>198591.7725383823</v>
      </c>
      <c r="BP22" s="428">
        <v>10532.805542425303</v>
      </c>
      <c r="BQ22" s="428">
        <v>81454.753071745101</v>
      </c>
      <c r="BR22" s="428">
        <v>12052.044549322391</v>
      </c>
      <c r="BS22" s="428">
        <v>62599.58030667781</v>
      </c>
      <c r="BT22" s="428">
        <v>0</v>
      </c>
      <c r="BU22" s="428">
        <v>0</v>
      </c>
      <c r="BV22" s="431"/>
      <c r="BW22" s="432">
        <v>9.3416200609661618E-2</v>
      </c>
      <c r="BX22" s="432">
        <v>59.490093548309815</v>
      </c>
      <c r="BY22" s="429">
        <v>92728.250756830224</v>
      </c>
      <c r="BZ22" s="429">
        <v>2.9682353978276086</v>
      </c>
      <c r="CA22" s="429">
        <v>52.607929077890688</v>
      </c>
      <c r="CB22" s="431">
        <v>5.1759742570494707</v>
      </c>
      <c r="CC22" s="429">
        <v>5981.6955345621418</v>
      </c>
      <c r="CD22" s="429">
        <v>422.74370428853001</v>
      </c>
      <c r="CE22" s="429">
        <v>99.322648495778779</v>
      </c>
      <c r="CF22" s="429">
        <v>2883.0602082479409</v>
      </c>
      <c r="CG22" s="333"/>
      <c r="CH22" s="429">
        <v>4013.4962340612933</v>
      </c>
      <c r="CI22" s="430">
        <v>98927.020439999993</v>
      </c>
      <c r="CJ22" s="430">
        <v>3870.9790830614716</v>
      </c>
      <c r="CK22" s="430">
        <v>9643.7560645800004</v>
      </c>
      <c r="CL22" s="429">
        <v>4205.4677371042717</v>
      </c>
      <c r="CM22" s="429">
        <v>4823.4092419407134</v>
      </c>
      <c r="CN22" s="429">
        <v>10095.064457926403</v>
      </c>
      <c r="CO22" s="428">
        <v>26675.366666666661</v>
      </c>
      <c r="CP22" s="428">
        <v>83616.3</v>
      </c>
      <c r="CQ22" s="420">
        <f t="shared" si="0"/>
        <v>4086791.0433858805</v>
      </c>
      <c r="CR22" s="420">
        <f t="shared" si="1"/>
        <v>3883022.7023067637</v>
      </c>
      <c r="CT22" s="420">
        <f t="shared" si="2"/>
        <v>2614343.8021910717</v>
      </c>
      <c r="CU22" s="420">
        <f t="shared" si="3"/>
        <v>1112114.5418539816</v>
      </c>
      <c r="CV22" s="420">
        <f t="shared" si="4"/>
        <v>248358.04063937027</v>
      </c>
      <c r="CW22" s="420">
        <f t="shared" si="5"/>
        <v>131369.08891622775</v>
      </c>
      <c r="CX22" s="427"/>
      <c r="CY22" s="420">
        <f t="shared" si="6"/>
        <v>2488523.7043660134</v>
      </c>
      <c r="CZ22" s="420">
        <f t="shared" si="7"/>
        <v>1046392.7295145033</v>
      </c>
      <c r="DA22" s="420">
        <f t="shared" si="8"/>
        <v>241857.36369127949</v>
      </c>
      <c r="DB22" s="420">
        <f t="shared" si="9"/>
        <v>106248.9047349676</v>
      </c>
    </row>
    <row r="23" spans="1:106">
      <c r="A23" s="434" t="s">
        <v>819</v>
      </c>
      <c r="B23" s="428">
        <v>1501781.2134229997</v>
      </c>
      <c r="C23" s="428">
        <v>765186.26909999992</v>
      </c>
      <c r="D23" s="428">
        <v>0</v>
      </c>
      <c r="E23" s="428">
        <v>58455.66851038827</v>
      </c>
      <c r="F23" s="428">
        <v>2114.3539673970222</v>
      </c>
      <c r="G23" s="428">
        <v>37312.128836418022</v>
      </c>
      <c r="H23" s="428">
        <v>35632.998559072927</v>
      </c>
      <c r="I23" s="428">
        <v>1288.8531393707228</v>
      </c>
      <c r="J23" s="428">
        <v>22744.467165365688</v>
      </c>
      <c r="K23" s="429">
        <v>58966.018948725301</v>
      </c>
      <c r="L23" s="429">
        <v>13103.559766383398</v>
      </c>
      <c r="M23" s="429">
        <v>13713.92893049331</v>
      </c>
      <c r="N23" s="429">
        <v>1673727.5100170798</v>
      </c>
      <c r="O23" s="429">
        <v>8181334.1153217228</v>
      </c>
      <c r="P23" s="429">
        <v>32487.240008165663</v>
      </c>
      <c r="Q23" s="429">
        <v>76920.20985167347</v>
      </c>
      <c r="R23" s="429">
        <v>92037.922342207341</v>
      </c>
      <c r="S23" s="429">
        <v>495401.81275896402</v>
      </c>
      <c r="T23" s="429">
        <v>319049.53142764035</v>
      </c>
      <c r="U23" s="428">
        <v>5791.0094952748177</v>
      </c>
      <c r="V23" s="428">
        <v>22231.80911531407</v>
      </c>
      <c r="W23" s="428">
        <v>39713.11415398313</v>
      </c>
      <c r="X23" s="428">
        <v>246816.28442130127</v>
      </c>
      <c r="Y23" s="428">
        <v>0</v>
      </c>
      <c r="Z23" s="428">
        <v>0</v>
      </c>
      <c r="AA23" s="429">
        <v>0.35461806223812253</v>
      </c>
      <c r="AB23" s="429"/>
      <c r="AC23" s="429">
        <v>217.49181004094066</v>
      </c>
      <c r="AD23" s="429">
        <v>581400.40540975798</v>
      </c>
      <c r="AE23" s="429"/>
      <c r="AF23" s="429">
        <v>57.624857655866556</v>
      </c>
      <c r="AG23" s="429"/>
      <c r="AH23" s="429">
        <v>13579.694824190781</v>
      </c>
      <c r="AI23" s="429">
        <v>1385.292198195001</v>
      </c>
      <c r="AJ23" s="429">
        <v>231.00658911007292</v>
      </c>
      <c r="AK23" s="429">
        <v>9022.5455518188937</v>
      </c>
      <c r="AL23" s="333"/>
      <c r="AM23" s="429">
        <v>27123.01207842166</v>
      </c>
      <c r="AN23" s="430">
        <v>160830.01440000001</v>
      </c>
      <c r="AO23" s="430">
        <v>69041.043500349537</v>
      </c>
      <c r="AP23" s="430">
        <v>29028.470936400001</v>
      </c>
      <c r="AQ23" s="429">
        <v>20930.612416507687</v>
      </c>
      <c r="AR23" s="429">
        <v>14919.219053360628</v>
      </c>
      <c r="AS23" s="429">
        <v>623523.01841818052</v>
      </c>
      <c r="AT23" s="428">
        <v>38848.6849138486</v>
      </c>
      <c r="AU23" s="428">
        <v>171338.62779633858</v>
      </c>
      <c r="AV23" s="433"/>
      <c r="AW23" s="428">
        <v>944825.66133188899</v>
      </c>
      <c r="AX23" s="428">
        <v>727858.98343333334</v>
      </c>
      <c r="AY23" s="428">
        <v>0</v>
      </c>
      <c r="AZ23" s="428">
        <v>322799.98337418144</v>
      </c>
      <c r="BA23" s="428">
        <v>11675.744079491667</v>
      </c>
      <c r="BB23" s="428">
        <v>206042.54257926467</v>
      </c>
      <c r="BC23" s="428">
        <v>465362.17348205828</v>
      </c>
      <c r="BD23" s="428">
        <v>16832.248828074444</v>
      </c>
      <c r="BE23" s="428">
        <v>297039.68520131358</v>
      </c>
      <c r="BF23" s="429">
        <v>116706.48393289672</v>
      </c>
      <c r="BG23" s="429">
        <v>25934.774207310376</v>
      </c>
      <c r="BH23" s="429">
        <v>29116.359077513422</v>
      </c>
      <c r="BI23" s="429">
        <v>1466756.3054690142</v>
      </c>
      <c r="BJ23" s="429">
        <v>6071754.4736681059</v>
      </c>
      <c r="BK23" s="429">
        <v>16336.577930407468</v>
      </c>
      <c r="BL23" s="429">
        <v>64258.821787155335</v>
      </c>
      <c r="BM23" s="429">
        <v>75493.773921100597</v>
      </c>
      <c r="BN23" s="429">
        <v>438910.22058455407</v>
      </c>
      <c r="BO23" s="429">
        <v>286836.24976074358</v>
      </c>
      <c r="BP23" s="428">
        <v>8031.8367174199338</v>
      </c>
      <c r="BQ23" s="428">
        <v>30834.392672425922</v>
      </c>
      <c r="BR23" s="428">
        <v>60752.253149547054</v>
      </c>
      <c r="BS23" s="428">
        <v>361876.32934379153</v>
      </c>
      <c r="BT23" s="428">
        <v>0</v>
      </c>
      <c r="BU23" s="428">
        <v>0</v>
      </c>
      <c r="BV23" s="431">
        <v>0.11362322774719544</v>
      </c>
      <c r="BW23" s="432"/>
      <c r="BX23" s="432">
        <v>155.35286982576716</v>
      </c>
      <c r="BY23" s="429">
        <v>579484.17478171596</v>
      </c>
      <c r="BZ23" s="429"/>
      <c r="CA23" s="429">
        <v>46.040912817826701</v>
      </c>
      <c r="CB23" s="431"/>
      <c r="CC23" s="429">
        <v>12028.235609751395</v>
      </c>
      <c r="CD23" s="429">
        <v>1227.0246985637123</v>
      </c>
      <c r="CE23" s="429">
        <v>195.31378570283181</v>
      </c>
      <c r="CF23" s="429">
        <v>8233.9073676665357</v>
      </c>
      <c r="CG23" s="333"/>
      <c r="CH23" s="429">
        <v>24602.224418089343</v>
      </c>
      <c r="CI23" s="430">
        <v>126881.28137128611</v>
      </c>
      <c r="CJ23" s="430">
        <v>54377.692016265471</v>
      </c>
      <c r="CK23" s="430">
        <v>26352.088002240002</v>
      </c>
      <c r="CL23" s="429">
        <v>47817.401405942925</v>
      </c>
      <c r="CM23" s="429">
        <v>13180.22811477813</v>
      </c>
      <c r="CN23" s="429">
        <v>565573.36569461145</v>
      </c>
      <c r="CO23" s="428">
        <v>49288.409090954898</v>
      </c>
      <c r="CP23" s="428">
        <v>228689.3203536892</v>
      </c>
      <c r="CQ23" s="420">
        <f t="shared" si="0"/>
        <v>15457287.13863218</v>
      </c>
      <c r="CR23" s="420">
        <f t="shared" si="1"/>
        <v>13784168.048648721</v>
      </c>
      <c r="CT23" s="420">
        <f t="shared" si="2"/>
        <v>11206328.241893275</v>
      </c>
      <c r="CU23" s="420">
        <f t="shared" si="3"/>
        <v>2581519.6997088729</v>
      </c>
      <c r="CV23" s="420">
        <f t="shared" si="4"/>
        <v>1128459.6914349855</v>
      </c>
      <c r="CW23" s="420">
        <f t="shared" si="5"/>
        <v>633017.42793725349</v>
      </c>
      <c r="CX23" s="427"/>
      <c r="CY23" s="420">
        <f t="shared" si="6"/>
        <v>9911856.4178831857</v>
      </c>
      <c r="CZ23" s="420">
        <f t="shared" si="7"/>
        <v>2134179.456648407</v>
      </c>
      <c r="DA23" s="420">
        <f t="shared" si="8"/>
        <v>1112159.7860497683</v>
      </c>
      <c r="DB23" s="420">
        <f t="shared" si="9"/>
        <v>625972.38806736108</v>
      </c>
    </row>
    <row r="24" spans="1:106">
      <c r="A24" s="434" t="s">
        <v>818</v>
      </c>
      <c r="B24" s="428">
        <v>302234.09578599996</v>
      </c>
      <c r="C24" s="428">
        <v>159485.97159999996</v>
      </c>
      <c r="D24" s="428">
        <v>0</v>
      </c>
      <c r="E24" s="428">
        <v>6686.9067854873938</v>
      </c>
      <c r="F24" s="428">
        <v>275.5816129776623</v>
      </c>
      <c r="G24" s="428">
        <v>5268.4720128082472</v>
      </c>
      <c r="H24" s="428">
        <v>2469.6721351821488</v>
      </c>
      <c r="I24" s="428">
        <v>101.78042738932493</v>
      </c>
      <c r="J24" s="428">
        <v>1945.8022883253288</v>
      </c>
      <c r="K24" s="429">
        <v>0</v>
      </c>
      <c r="L24" s="429">
        <v>0</v>
      </c>
      <c r="M24" s="429">
        <v>14239.745652773567</v>
      </c>
      <c r="N24" s="429">
        <v>341539.59776144172</v>
      </c>
      <c r="O24" s="429">
        <v>53540.553488504367</v>
      </c>
      <c r="P24" s="429"/>
      <c r="Q24" s="429">
        <v>627.59724931731898</v>
      </c>
      <c r="R24" s="429">
        <v>11393.413696031932</v>
      </c>
      <c r="S24" s="429">
        <v>7107698.6421965919</v>
      </c>
      <c r="T24" s="429">
        <v>312819.1606324286</v>
      </c>
      <c r="U24" s="428">
        <v>78357.084374587765</v>
      </c>
      <c r="V24" s="428">
        <v>78.637225527557007</v>
      </c>
      <c r="W24" s="428">
        <v>14640.597081993446</v>
      </c>
      <c r="X24" s="428">
        <v>24383.223144300813</v>
      </c>
      <c r="Y24" s="428">
        <v>12.095999999999998</v>
      </c>
      <c r="Z24" s="428">
        <v>0</v>
      </c>
      <c r="AA24" s="429"/>
      <c r="AB24" s="429"/>
      <c r="AC24" s="429">
        <v>152.13880206236325</v>
      </c>
      <c r="AD24" s="429"/>
      <c r="AE24" s="429"/>
      <c r="AF24" s="429"/>
      <c r="AG24" s="429"/>
      <c r="AH24" s="333"/>
      <c r="AI24" s="429">
        <v>5034.885845520228</v>
      </c>
      <c r="AJ24" s="430"/>
      <c r="AK24" s="429">
        <v>4037.486728867555</v>
      </c>
      <c r="AL24" s="333"/>
      <c r="AM24" s="429">
        <v>25630.892439765019</v>
      </c>
      <c r="AN24" s="430">
        <v>69025.050600000017</v>
      </c>
      <c r="AO24" s="430">
        <v>42528.623848337767</v>
      </c>
      <c r="AP24" s="430">
        <v>16611.258229800002</v>
      </c>
      <c r="AQ24" s="429">
        <v>8738.1777144155949</v>
      </c>
      <c r="AR24" s="429">
        <v>8537.3770056749745</v>
      </c>
      <c r="AS24" s="429">
        <v>136985.51790631501</v>
      </c>
      <c r="AT24" s="428">
        <v>34647.86328464777</v>
      </c>
      <c r="AU24" s="428">
        <v>70545.252033045224</v>
      </c>
      <c r="AV24" s="433"/>
      <c r="AW24" s="428">
        <v>269373.28428044444</v>
      </c>
      <c r="AX24" s="428">
        <v>193207.38582222219</v>
      </c>
      <c r="AY24" s="428">
        <v>0</v>
      </c>
      <c r="AZ24" s="428">
        <v>79149.96195879436</v>
      </c>
      <c r="BA24" s="428">
        <v>3261.9378261806169</v>
      </c>
      <c r="BB24" s="428">
        <v>62360.576088747039</v>
      </c>
      <c r="BC24" s="428">
        <v>31714.932763664663</v>
      </c>
      <c r="BD24" s="428">
        <v>1307.0396532904224</v>
      </c>
      <c r="BE24" s="428">
        <v>24987.522783493354</v>
      </c>
      <c r="BF24" s="429">
        <v>0</v>
      </c>
      <c r="BG24" s="429">
        <v>0</v>
      </c>
      <c r="BH24" s="429">
        <v>30669.091883362256</v>
      </c>
      <c r="BI24" s="429">
        <v>325344.71068755863</v>
      </c>
      <c r="BJ24" s="429">
        <v>9204.2356900040686</v>
      </c>
      <c r="BK24" s="429"/>
      <c r="BL24" s="429">
        <v>572.22372039300717</v>
      </c>
      <c r="BM24" s="429">
        <v>9366.4389656478852</v>
      </c>
      <c r="BN24" s="429">
        <v>7157269.0994696133</v>
      </c>
      <c r="BO24" s="429">
        <v>318179.50843751611</v>
      </c>
      <c r="BP24" s="428">
        <v>103005.77492497872</v>
      </c>
      <c r="BQ24" s="428">
        <v>103.37403973192423</v>
      </c>
      <c r="BR24" s="428">
        <v>14929.781078944296</v>
      </c>
      <c r="BS24" s="428">
        <v>29020.422143035048</v>
      </c>
      <c r="BT24" s="428">
        <v>11.535999999999998</v>
      </c>
      <c r="BU24" s="428">
        <v>0</v>
      </c>
      <c r="BV24" s="431"/>
      <c r="BW24" s="432"/>
      <c r="BX24" s="432">
        <v>172.63488787148952</v>
      </c>
      <c r="BY24" s="429"/>
      <c r="BZ24" s="429"/>
      <c r="CA24" s="429"/>
      <c r="CB24" s="431"/>
      <c r="CC24" s="333"/>
      <c r="CD24" s="429">
        <v>5209.6006864218716</v>
      </c>
      <c r="CE24" s="430"/>
      <c r="CF24" s="429">
        <v>4304.1846338957221</v>
      </c>
      <c r="CG24" s="333"/>
      <c r="CH24" s="429">
        <v>27229.539498680962</v>
      </c>
      <c r="CI24" s="430">
        <v>72116.933482776396</v>
      </c>
      <c r="CJ24" s="430">
        <v>30907.257206904178</v>
      </c>
      <c r="CK24" s="430">
        <v>17661.741000420003</v>
      </c>
      <c r="CL24" s="429">
        <v>8780.8251271329282</v>
      </c>
      <c r="CM24" s="429">
        <v>8833.6747839441759</v>
      </c>
      <c r="CN24" s="429">
        <v>145529.56278612785</v>
      </c>
      <c r="CO24" s="428">
        <v>37348.927037348752</v>
      </c>
      <c r="CP24" s="428">
        <v>85383.56329788352</v>
      </c>
      <c r="CQ24" s="420">
        <f t="shared" si="0"/>
        <v>8860273.1555901207</v>
      </c>
      <c r="CR24" s="420">
        <f t="shared" si="1"/>
        <v>9106517.2826470304</v>
      </c>
      <c r="CT24" s="420">
        <f t="shared" si="2"/>
        <v>7870000.3396352921</v>
      </c>
      <c r="CU24" s="420">
        <f t="shared" si="3"/>
        <v>579191.70521240961</v>
      </c>
      <c r="CV24" s="420">
        <f t="shared" si="4"/>
        <v>387619.12062223634</v>
      </c>
      <c r="CW24" s="420">
        <f t="shared" si="5"/>
        <v>34855.40381621517</v>
      </c>
      <c r="CX24" s="427"/>
      <c r="CY24" s="420">
        <f t="shared" si="6"/>
        <v>8053387.2799282661</v>
      </c>
      <c r="CZ24" s="420">
        <f t="shared" si="7"/>
        <v>609651.55828935665</v>
      </c>
      <c r="DA24" s="420">
        <f t="shared" si="8"/>
        <v>406562.4847225378</v>
      </c>
      <c r="DB24" s="420">
        <f t="shared" si="9"/>
        <v>36915.959706870046</v>
      </c>
    </row>
    <row r="25" spans="1:106">
      <c r="A25" s="434" t="s">
        <v>817</v>
      </c>
      <c r="B25" s="428">
        <v>6284368.9904510006</v>
      </c>
      <c r="C25" s="428">
        <v>1680226.5240000002</v>
      </c>
      <c r="D25" s="428">
        <v>0</v>
      </c>
      <c r="E25" s="428">
        <v>597988.20584470395</v>
      </c>
      <c r="F25" s="428">
        <v>28036.824077309113</v>
      </c>
      <c r="G25" s="428">
        <v>343653.23848438129</v>
      </c>
      <c r="H25" s="428">
        <v>125838.71617367899</v>
      </c>
      <c r="I25" s="428">
        <v>5899.9791517495496</v>
      </c>
      <c r="J25" s="428">
        <v>76701.101540841846</v>
      </c>
      <c r="K25" s="429">
        <v>9125.3194051389673</v>
      </c>
      <c r="L25" s="429">
        <v>2281.3298512847387</v>
      </c>
      <c r="M25" s="429">
        <v>0</v>
      </c>
      <c r="N25" s="429">
        <v>845524.7517125851</v>
      </c>
      <c r="O25" s="429">
        <v>5000224.0084216902</v>
      </c>
      <c r="P25" s="429">
        <v>43721.671084912865</v>
      </c>
      <c r="Q25" s="429">
        <v>1400986.5363087887</v>
      </c>
      <c r="R25" s="429">
        <v>100223.74505446572</v>
      </c>
      <c r="S25" s="429">
        <v>10732852.599852378</v>
      </c>
      <c r="T25" s="429">
        <v>1283390.2870605488</v>
      </c>
      <c r="U25" s="428">
        <v>31057.197045762055</v>
      </c>
      <c r="V25" s="428">
        <v>21367.571279497915</v>
      </c>
      <c r="W25" s="428">
        <v>111669.60280866359</v>
      </c>
      <c r="X25" s="428">
        <v>745783.10861338954</v>
      </c>
      <c r="Y25" s="428">
        <v>25132.610197810376</v>
      </c>
      <c r="Z25" s="428">
        <v>18749.055568016109</v>
      </c>
      <c r="AA25" s="429">
        <v>140.78635677555823</v>
      </c>
      <c r="AB25" s="429">
        <v>3.0497051105356232</v>
      </c>
      <c r="AC25" s="429">
        <v>694.63699849330214</v>
      </c>
      <c r="AD25" s="429">
        <v>388091.97367624543</v>
      </c>
      <c r="AE25" s="429">
        <v>137.99473445711425</v>
      </c>
      <c r="AF25" s="429">
        <v>89.777936274613438</v>
      </c>
      <c r="AG25" s="429">
        <v>243.50931719159502</v>
      </c>
      <c r="AH25" s="429">
        <v>40093.205291417769</v>
      </c>
      <c r="AI25" s="429">
        <v>21548.461408807256</v>
      </c>
      <c r="AJ25" s="429">
        <v>7036.7041983627059</v>
      </c>
      <c r="AK25" s="429">
        <v>68703.893357932189</v>
      </c>
      <c r="AL25" s="333"/>
      <c r="AM25" s="429">
        <v>103251.35629248423</v>
      </c>
      <c r="AN25" s="430">
        <v>721560.40730741143</v>
      </c>
      <c r="AO25" s="430">
        <v>481040.2715382743</v>
      </c>
      <c r="AP25" s="430">
        <v>180188.44621517998</v>
      </c>
      <c r="AQ25" s="429">
        <v>318939.39794540027</v>
      </c>
      <c r="AR25" s="429">
        <v>92608.07797485558</v>
      </c>
      <c r="AS25" s="429">
        <v>3024434.6589727611</v>
      </c>
      <c r="AT25" s="428">
        <v>395854.3338749992</v>
      </c>
      <c r="AU25" s="428">
        <v>1090910.4067500003</v>
      </c>
      <c r="AV25" s="433"/>
      <c r="AW25" s="428">
        <v>4783470.8994458895</v>
      </c>
      <c r="AX25" s="428">
        <v>1527397.5115555557</v>
      </c>
      <c r="AY25" s="428">
        <v>0</v>
      </c>
      <c r="AZ25" s="428">
        <v>1683483.3314072788</v>
      </c>
      <c r="BA25" s="428">
        <v>78930.529964341375</v>
      </c>
      <c r="BB25" s="428">
        <v>1037417.6795649792</v>
      </c>
      <c r="BC25" s="428">
        <v>1571988.6928012525</v>
      </c>
      <c r="BD25" s="428">
        <v>73703.076416583441</v>
      </c>
      <c r="BE25" s="428">
        <v>1011013.870361476</v>
      </c>
      <c r="BF25" s="429">
        <v>4760.0732162771565</v>
      </c>
      <c r="BG25" s="429">
        <v>1190.0183040692946</v>
      </c>
      <c r="BH25" s="429">
        <v>0</v>
      </c>
      <c r="BI25" s="429">
        <v>440405.40950510371</v>
      </c>
      <c r="BJ25" s="429">
        <v>1575687.8000488875</v>
      </c>
      <c r="BK25" s="429">
        <v>173.27709024500166</v>
      </c>
      <c r="BL25" s="429">
        <v>1360769.3345963806</v>
      </c>
      <c r="BM25" s="429">
        <v>57490.709182630555</v>
      </c>
      <c r="BN25" s="429">
        <v>10381609.630816745</v>
      </c>
      <c r="BO25" s="429">
        <v>1217152.7856898666</v>
      </c>
      <c r="BP25" s="428">
        <v>14736.349210641018</v>
      </c>
      <c r="BQ25" s="428">
        <v>10138.712508214325</v>
      </c>
      <c r="BR25" s="428">
        <v>90607.732896326255</v>
      </c>
      <c r="BS25" s="428">
        <v>493908.31384605577</v>
      </c>
      <c r="BT25" s="428">
        <v>23969.063429393231</v>
      </c>
      <c r="BU25" s="428">
        <v>18749.055568016109</v>
      </c>
      <c r="BV25" s="431">
        <v>133.70877293826263</v>
      </c>
      <c r="BW25" s="432">
        <v>3.1371243823496573</v>
      </c>
      <c r="BX25" s="432">
        <v>651.85076777377537</v>
      </c>
      <c r="BY25" s="429">
        <v>92035.239542778043</v>
      </c>
      <c r="BZ25" s="429">
        <v>140.33133988071611</v>
      </c>
      <c r="CA25" s="429">
        <v>0.70886211204332406</v>
      </c>
      <c r="CB25" s="431">
        <v>247.5529949372152</v>
      </c>
      <c r="CC25" s="429">
        <v>35772.725434436899</v>
      </c>
      <c r="CD25" s="429">
        <v>19226.379829422774</v>
      </c>
      <c r="CE25" s="429">
        <v>5993.0397793845459</v>
      </c>
      <c r="CF25" s="429">
        <v>63157.884875329757</v>
      </c>
      <c r="CG25" s="333"/>
      <c r="CH25" s="429">
        <v>94218.151087682883</v>
      </c>
      <c r="CI25" s="430">
        <v>667785.61571609182</v>
      </c>
      <c r="CJ25" s="430">
        <v>286193.83530689642</v>
      </c>
      <c r="CK25" s="430">
        <v>164558.44175496002</v>
      </c>
      <c r="CL25" s="429">
        <v>732935.87465912208</v>
      </c>
      <c r="CM25" s="429">
        <v>82305.349024276162</v>
      </c>
      <c r="CN25" s="429">
        <v>2759834.368148271</v>
      </c>
      <c r="CO25" s="428">
        <v>457656.94012499828</v>
      </c>
      <c r="CP25" s="428">
        <v>1430423.4250833332</v>
      </c>
      <c r="CQ25" s="420">
        <f t="shared" si="0"/>
        <v>36450374.323841035</v>
      </c>
      <c r="CR25" s="420">
        <f t="shared" si="1"/>
        <v>34352028.417655222</v>
      </c>
      <c r="CT25" s="420">
        <f t="shared" si="2"/>
        <v>20696672.059078921</v>
      </c>
      <c r="CU25" s="420">
        <f t="shared" si="3"/>
        <v>8918354.6599641405</v>
      </c>
      <c r="CV25" s="420">
        <f t="shared" si="4"/>
        <v>6305536.0005788822</v>
      </c>
      <c r="CW25" s="420">
        <f t="shared" si="5"/>
        <v>630035.3492735523</v>
      </c>
      <c r="CX25" s="427"/>
      <c r="CY25" s="420">
        <f t="shared" si="6"/>
        <v>20495776.218966119</v>
      </c>
      <c r="CZ25" s="420">
        <f t="shared" si="7"/>
        <v>6962977.6384600922</v>
      </c>
      <c r="DA25" s="420">
        <f t="shared" si="8"/>
        <v>6581693.8498179484</v>
      </c>
      <c r="DB25" s="420">
        <f t="shared" si="9"/>
        <v>311580.71041105926</v>
      </c>
    </row>
    <row r="26" spans="1:106" hidden="1">
      <c r="A26" s="434" t="s">
        <v>816</v>
      </c>
      <c r="B26" s="428">
        <v>349905.05462026276</v>
      </c>
      <c r="C26" s="428">
        <v>85299.976498919088</v>
      </c>
      <c r="D26" s="428">
        <v>0</v>
      </c>
      <c r="E26" s="431">
        <v>0</v>
      </c>
      <c r="F26" s="431">
        <v>0</v>
      </c>
      <c r="G26" s="431">
        <v>0</v>
      </c>
      <c r="H26" s="431">
        <v>0</v>
      </c>
      <c r="I26" s="431">
        <v>0</v>
      </c>
      <c r="J26" s="429">
        <v>0</v>
      </c>
      <c r="K26" s="429">
        <v>5365.1325095819147</v>
      </c>
      <c r="L26" s="429">
        <v>1192.2516687959808</v>
      </c>
      <c r="M26" s="429">
        <v>617.40742989491912</v>
      </c>
      <c r="N26" s="429">
        <v>132058.88511134678</v>
      </c>
      <c r="O26" s="429">
        <v>114833.17130298445</v>
      </c>
      <c r="P26" s="429"/>
      <c r="Q26" s="429">
        <v>1034.0211057576107</v>
      </c>
      <c r="R26" s="429">
        <v>4870.5470060085063</v>
      </c>
      <c r="S26" s="429"/>
      <c r="T26" s="429"/>
      <c r="U26" s="428">
        <v>1225.42378612837</v>
      </c>
      <c r="V26" s="428">
        <v>1109.7242000628348</v>
      </c>
      <c r="W26" s="428">
        <v>170.87126654867248</v>
      </c>
      <c r="X26" s="428">
        <v>5269.0803299023</v>
      </c>
      <c r="Y26" s="428">
        <v>0</v>
      </c>
      <c r="Z26" s="428">
        <v>0</v>
      </c>
      <c r="AA26" s="429"/>
      <c r="AB26" s="429"/>
      <c r="AC26" s="429">
        <v>28.476947169948499</v>
      </c>
      <c r="AD26" s="429"/>
      <c r="AE26" s="429"/>
      <c r="AF26" s="429"/>
      <c r="AG26" s="429"/>
      <c r="AH26" s="333"/>
      <c r="AI26" s="333"/>
      <c r="AJ26" s="430"/>
      <c r="AK26" s="429">
        <v>6479.1760440035387</v>
      </c>
      <c r="AL26" s="333"/>
      <c r="AM26" s="429">
        <v>183.02106021033538</v>
      </c>
      <c r="AN26" s="430">
        <v>1530.7278668760973</v>
      </c>
      <c r="AO26" s="430">
        <v>773.54586356467371</v>
      </c>
      <c r="AP26" s="430"/>
      <c r="AQ26" s="429">
        <v>2786.8017996487451</v>
      </c>
      <c r="AR26" s="429">
        <v>2929.0858392644141</v>
      </c>
      <c r="AS26" s="429"/>
      <c r="AT26" s="428">
        <v>0</v>
      </c>
      <c r="AU26" s="428">
        <v>0</v>
      </c>
      <c r="AV26" s="433"/>
      <c r="AW26" s="428">
        <v>328802.18383112713</v>
      </c>
      <c r="AX26" s="428">
        <v>86621.356131501147</v>
      </c>
      <c r="AY26" s="428">
        <v>0</v>
      </c>
      <c r="AZ26" s="431">
        <v>0</v>
      </c>
      <c r="BA26" s="431">
        <v>0</v>
      </c>
      <c r="BB26" s="431">
        <v>0</v>
      </c>
      <c r="BC26" s="431">
        <v>0</v>
      </c>
      <c r="BD26" s="431">
        <v>0</v>
      </c>
      <c r="BE26" s="431">
        <v>0</v>
      </c>
      <c r="BF26" s="429">
        <v>13616.566033044704</v>
      </c>
      <c r="BG26" s="429">
        <v>3025.9035628988231</v>
      </c>
      <c r="BH26" s="429">
        <v>1364.303324180926</v>
      </c>
      <c r="BI26" s="429">
        <v>152356.65425672193</v>
      </c>
      <c r="BJ26" s="429">
        <v>125589.81622610615</v>
      </c>
      <c r="BK26" s="429"/>
      <c r="BL26" s="429">
        <v>756.18939140535122</v>
      </c>
      <c r="BM26" s="429">
        <v>7190.0387172540122</v>
      </c>
      <c r="BN26" s="429"/>
      <c r="BO26" s="429"/>
      <c r="BP26" s="428">
        <v>1512.9775222782425</v>
      </c>
      <c r="BQ26" s="428">
        <v>1370.1282687909127</v>
      </c>
      <c r="BR26" s="428">
        <v>193.1762293805308</v>
      </c>
      <c r="BS26" s="428">
        <v>6246.5764322642108</v>
      </c>
      <c r="BT26" s="428">
        <v>0</v>
      </c>
      <c r="BU26" s="428">
        <v>0</v>
      </c>
      <c r="BV26" s="431"/>
      <c r="BW26" s="432"/>
      <c r="BX26" s="432">
        <v>24.874552883170704</v>
      </c>
      <c r="BY26" s="429"/>
      <c r="BZ26" s="429"/>
      <c r="CA26" s="429"/>
      <c r="CB26" s="431"/>
      <c r="CC26" s="333"/>
      <c r="CD26" s="333"/>
      <c r="CE26" s="430"/>
      <c r="CF26" s="429">
        <v>6064.8770429660126</v>
      </c>
      <c r="CG26" s="333"/>
      <c r="CH26" s="429">
        <v>170.72531872927323</v>
      </c>
      <c r="CI26" s="430">
        <v>45819.891232841714</v>
      </c>
      <c r="CJ26" s="430">
        <v>627.28036925912988</v>
      </c>
      <c r="CK26" s="430"/>
      <c r="CL26" s="429">
        <v>2827.9867883422144</v>
      </c>
      <c r="CM26" s="429">
        <v>2661.1499232393389</v>
      </c>
      <c r="CN26" s="429"/>
      <c r="CO26" s="428">
        <v>0</v>
      </c>
      <c r="CP26" s="428">
        <v>0</v>
      </c>
      <c r="CQ26" s="420">
        <f t="shared" si="0"/>
        <v>717662.38225693209</v>
      </c>
      <c r="CR26" s="420">
        <f t="shared" si="1"/>
        <v>786842.65515521506</v>
      </c>
      <c r="CT26" s="420">
        <f t="shared" si="2"/>
        <v>264841.96314037871</v>
      </c>
      <c r="CU26" s="420">
        <f t="shared" si="3"/>
        <v>442980.13070182403</v>
      </c>
      <c r="CV26" s="420">
        <f t="shared" si="4"/>
        <v>8020.1613693539302</v>
      </c>
      <c r="CW26" s="420">
        <f t="shared" si="5"/>
        <v>6690.6740513838222</v>
      </c>
      <c r="CX26" s="427"/>
      <c r="CY26" s="420">
        <f t="shared" si="6"/>
        <v>303899.47151161189</v>
      </c>
      <c r="CZ26" s="420">
        <f t="shared" si="7"/>
        <v>424746.39841534221</v>
      </c>
      <c r="DA26" s="420">
        <f t="shared" si="8"/>
        <v>51936.308313682399</v>
      </c>
      <c r="DB26" s="420">
        <f t="shared" si="9"/>
        <v>6260.4769145784567</v>
      </c>
    </row>
    <row r="27" spans="1:106">
      <c r="A27" s="434" t="s">
        <v>815</v>
      </c>
      <c r="B27" s="428">
        <v>514246.09382300003</v>
      </c>
      <c r="C27" s="428">
        <v>424434.71749999997</v>
      </c>
      <c r="D27" s="428">
        <v>0</v>
      </c>
      <c r="E27" s="431">
        <v>18405.735645593781</v>
      </c>
      <c r="F27" s="431">
        <v>795.9237035932448</v>
      </c>
      <c r="G27" s="431">
        <v>12933.760183390221</v>
      </c>
      <c r="H27" s="431">
        <v>1117.8245934099748</v>
      </c>
      <c r="I27" s="431">
        <v>48.33836079610704</v>
      </c>
      <c r="J27" s="429">
        <v>785.498362936739</v>
      </c>
      <c r="K27" s="429">
        <v>74274.095754082737</v>
      </c>
      <c r="L27" s="429">
        <v>16505.354612018382</v>
      </c>
      <c r="M27" s="429">
        <v>7264.1627514289412</v>
      </c>
      <c r="N27" s="429">
        <v>1024961.3401580709</v>
      </c>
      <c r="O27" s="429">
        <v>1229300.0260300708</v>
      </c>
      <c r="P27" s="429">
        <v>18502.543152548918</v>
      </c>
      <c r="Q27" s="429">
        <v>5050.8967948259515</v>
      </c>
      <c r="R27" s="429">
        <v>30656.357022802949</v>
      </c>
      <c r="S27" s="429">
        <v>931576.18098043336</v>
      </c>
      <c r="T27" s="429">
        <v>106624.62206241941</v>
      </c>
      <c r="U27" s="428">
        <v>68490.870950340803</v>
      </c>
      <c r="V27" s="428">
        <v>55020.654818256036</v>
      </c>
      <c r="W27" s="428">
        <v>33682.168258107355</v>
      </c>
      <c r="X27" s="428">
        <v>219182.37553330336</v>
      </c>
      <c r="Y27" s="428">
        <v>0</v>
      </c>
      <c r="Z27" s="428">
        <v>0</v>
      </c>
      <c r="AA27" s="429"/>
      <c r="AB27" s="429"/>
      <c r="AC27" s="429">
        <v>96.469621645440768</v>
      </c>
      <c r="AD27" s="429"/>
      <c r="AE27" s="429"/>
      <c r="AF27" s="429">
        <v>34.080676233650586</v>
      </c>
      <c r="AG27" s="429"/>
      <c r="AH27" s="429">
        <v>6907.3945968899552</v>
      </c>
      <c r="AI27" s="429">
        <v>1472.5390291782051</v>
      </c>
      <c r="AJ27" s="429">
        <v>12.700049858962942</v>
      </c>
      <c r="AK27" s="429">
        <v>3259.6081355784595</v>
      </c>
      <c r="AL27" s="333"/>
      <c r="AM27" s="429">
        <v>5024.1109695294299</v>
      </c>
      <c r="AN27" s="430">
        <v>77060.545760000023</v>
      </c>
      <c r="AO27" s="430">
        <v>11951.581097921246</v>
      </c>
      <c r="AP27" s="430">
        <v>7772.5553544600007</v>
      </c>
      <c r="AQ27" s="429">
        <v>2531.412661548286</v>
      </c>
      <c r="AR27" s="429">
        <v>3994.7145749296833</v>
      </c>
      <c r="AS27" s="429">
        <v>25519.81496519535</v>
      </c>
      <c r="AT27" s="428">
        <v>21537.371625000003</v>
      </c>
      <c r="AU27" s="428">
        <v>87444.565875000029</v>
      </c>
      <c r="AV27" s="433"/>
      <c r="AW27" s="428">
        <v>0</v>
      </c>
      <c r="AX27" s="428">
        <v>403301.83650000003</v>
      </c>
      <c r="AY27" s="428">
        <v>0</v>
      </c>
      <c r="AZ27" s="431">
        <v>73280.18397544077</v>
      </c>
      <c r="BA27" s="431">
        <v>3168.8728205596012</v>
      </c>
      <c r="BB27" s="431">
        <v>51494.183334093475</v>
      </c>
      <c r="BC27" s="431">
        <v>14682.032714601999</v>
      </c>
      <c r="BD27" s="431">
        <v>634.89871198278934</v>
      </c>
      <c r="BE27" s="431">
        <v>10317.104069720317</v>
      </c>
      <c r="BF27" s="429">
        <v>161039.04995448375</v>
      </c>
      <c r="BG27" s="429">
        <v>35786.455545440833</v>
      </c>
      <c r="BH27" s="429">
        <v>16399.53913239426</v>
      </c>
      <c r="BI27" s="429">
        <v>901829.05760125932</v>
      </c>
      <c r="BJ27" s="429">
        <v>1853480.9679630962</v>
      </c>
      <c r="BK27" s="429">
        <v>27737.057633613789</v>
      </c>
      <c r="BL27" s="429">
        <v>4511.1329798117549</v>
      </c>
      <c r="BM27" s="429">
        <v>26741.730452504824</v>
      </c>
      <c r="BN27" s="429">
        <v>688539.22783317452</v>
      </c>
      <c r="BO27" s="429">
        <v>89814.955107463466</v>
      </c>
      <c r="BP27" s="428">
        <v>80269.570981218887</v>
      </c>
      <c r="BQ27" s="428">
        <v>64482.81787173231</v>
      </c>
      <c r="BR27" s="428">
        <v>44824.723126653895</v>
      </c>
      <c r="BS27" s="428">
        <v>275891.75055161829</v>
      </c>
      <c r="BT27" s="428">
        <v>0</v>
      </c>
      <c r="BU27" s="428">
        <v>0</v>
      </c>
      <c r="BV27" s="431"/>
      <c r="BW27" s="432"/>
      <c r="BX27" s="432">
        <v>84.303611674597477</v>
      </c>
      <c r="BY27" s="429"/>
      <c r="BZ27" s="429"/>
      <c r="CA27" s="429">
        <v>75.18855888052363</v>
      </c>
      <c r="CB27" s="431"/>
      <c r="CC27" s="429">
        <v>5255.9415158570937</v>
      </c>
      <c r="CD27" s="429">
        <v>1120.4773244983519</v>
      </c>
      <c r="CE27" s="429">
        <v>9.2244036168130492</v>
      </c>
      <c r="CF27" s="429">
        <v>2555.4455270188168</v>
      </c>
      <c r="CG27" s="333"/>
      <c r="CH27" s="429">
        <v>3925.1395608531111</v>
      </c>
      <c r="CI27" s="430">
        <v>52336.74672000001</v>
      </c>
      <c r="CJ27" s="430">
        <v>8117.0833486378824</v>
      </c>
      <c r="CK27" s="430">
        <v>6077.3481601800013</v>
      </c>
      <c r="CL27" s="429">
        <v>2727.5419603148925</v>
      </c>
      <c r="CM27" s="429">
        <v>3039.6390250856325</v>
      </c>
      <c r="CN27" s="429">
        <v>19937.623972290876</v>
      </c>
      <c r="CO27" s="428">
        <v>28224.500791666665</v>
      </c>
      <c r="CP27" s="428">
        <v>124180.35337499999</v>
      </c>
      <c r="CQ27" s="420">
        <f t="shared" si="0"/>
        <v>5048479.0060443981</v>
      </c>
      <c r="CR27" s="420">
        <f t="shared" si="1"/>
        <v>5085893.7067164397</v>
      </c>
      <c r="CT27" s="420">
        <f t="shared" si="2"/>
        <v>3509459.0171912247</v>
      </c>
      <c r="CU27" s="420">
        <f t="shared" si="3"/>
        <v>1315056.8808830073</v>
      </c>
      <c r="CV27" s="420">
        <f t="shared" si="4"/>
        <v>237812.56191405459</v>
      </c>
      <c r="CW27" s="420">
        <f t="shared" si="5"/>
        <v>16806.903078914103</v>
      </c>
      <c r="CX27" s="427"/>
      <c r="CY27" s="420">
        <f t="shared" si="6"/>
        <v>3959456.4498296417</v>
      </c>
      <c r="CZ27" s="420">
        <f t="shared" si="7"/>
        <v>868770.69903122343</v>
      </c>
      <c r="DA27" s="420">
        <f t="shared" si="8"/>
        <v>244640.83735317597</v>
      </c>
      <c r="DB27" s="420">
        <f t="shared" si="9"/>
        <v>13025.720502399308</v>
      </c>
    </row>
    <row r="28" spans="1:106">
      <c r="A28" s="434" t="s">
        <v>814</v>
      </c>
      <c r="B28" s="428">
        <v>636036.71087300044</v>
      </c>
      <c r="C28" s="428">
        <v>1027332.3987000001</v>
      </c>
      <c r="D28" s="428">
        <v>0</v>
      </c>
      <c r="E28" s="431">
        <v>3209.0032227164947</v>
      </c>
      <c r="F28" s="431">
        <v>138.76770692828089</v>
      </c>
      <c r="G28" s="431">
        <v>2254.9752375845633</v>
      </c>
      <c r="H28" s="431">
        <v>977.55506709727501</v>
      </c>
      <c r="I28" s="431">
        <v>42.272651550152453</v>
      </c>
      <c r="J28" s="429">
        <v>686.93058768997696</v>
      </c>
      <c r="K28" s="429">
        <v>66881.338114234793</v>
      </c>
      <c r="L28" s="429">
        <v>14862.519580941062</v>
      </c>
      <c r="M28" s="429">
        <v>4902.1290682544723</v>
      </c>
      <c r="N28" s="429">
        <v>741484.23032428487</v>
      </c>
      <c r="O28" s="429">
        <v>492585.87266075937</v>
      </c>
      <c r="P28" s="429"/>
      <c r="Q28" s="429">
        <v>2595.6390418700212</v>
      </c>
      <c r="R28" s="429">
        <v>16531.064139118902</v>
      </c>
      <c r="S28" s="429">
        <v>88011.24462409252</v>
      </c>
      <c r="T28" s="429">
        <v>96424.890661795303</v>
      </c>
      <c r="U28" s="428">
        <v>244477.92295876023</v>
      </c>
      <c r="V28" s="428">
        <v>79121.756161582118</v>
      </c>
      <c r="W28" s="428">
        <v>94831.734708794305</v>
      </c>
      <c r="X28" s="428">
        <v>136868.62355700231</v>
      </c>
      <c r="Y28" s="428">
        <v>0</v>
      </c>
      <c r="Z28" s="428">
        <v>0</v>
      </c>
      <c r="AA28" s="429"/>
      <c r="AB28" s="429"/>
      <c r="AC28" s="429">
        <v>74.667576874604578</v>
      </c>
      <c r="AD28" s="429"/>
      <c r="AE28" s="429"/>
      <c r="AF28" s="429"/>
      <c r="AG28" s="429"/>
      <c r="AH28" s="430"/>
      <c r="AI28" s="429">
        <v>740.38710331006246</v>
      </c>
      <c r="AJ28" s="430"/>
      <c r="AK28" s="429">
        <v>2122.5992975091949</v>
      </c>
      <c r="AL28" s="333"/>
      <c r="AM28" s="429">
        <v>1922.3443998330301</v>
      </c>
      <c r="AN28" s="430">
        <v>19332.339216811863</v>
      </c>
      <c r="AO28" s="430">
        <v>12888.226144541242</v>
      </c>
      <c r="AP28" s="430">
        <v>5168.7591337200001</v>
      </c>
      <c r="AQ28" s="429">
        <v>1814.9091549761051</v>
      </c>
      <c r="AR28" s="429">
        <v>2656.4902408735193</v>
      </c>
      <c r="AS28" s="429">
        <v>10601.491928116811</v>
      </c>
      <c r="AT28" s="428">
        <v>18461.779875</v>
      </c>
      <c r="AU28" s="428">
        <v>76956.397949999257</v>
      </c>
      <c r="AV28" s="433"/>
      <c r="AW28" s="428">
        <v>286324.11406966764</v>
      </c>
      <c r="AX28" s="428">
        <v>1061684.7487000001</v>
      </c>
      <c r="AY28" s="428">
        <v>0</v>
      </c>
      <c r="AZ28" s="431">
        <v>17543.14698976366</v>
      </c>
      <c r="BA28" s="431">
        <v>758.62257253032055</v>
      </c>
      <c r="BB28" s="431">
        <v>12327.616803617699</v>
      </c>
      <c r="BC28" s="431">
        <v>12927.350756027614</v>
      </c>
      <c r="BD28" s="431">
        <v>559.02057323362669</v>
      </c>
      <c r="BE28" s="431">
        <v>9084.0843150464261</v>
      </c>
      <c r="BF28" s="429">
        <v>141427.25822243697</v>
      </c>
      <c r="BG28" s="429">
        <v>31428.279604985994</v>
      </c>
      <c r="BH28" s="429">
        <v>11133.819481524253</v>
      </c>
      <c r="BI28" s="429">
        <v>839411.43655225169</v>
      </c>
      <c r="BJ28" s="429">
        <v>176042.36977420733</v>
      </c>
      <c r="BK28" s="429"/>
      <c r="BL28" s="429">
        <v>3126.7944683524338</v>
      </c>
      <c r="BM28" s="429">
        <v>15090.221152690669</v>
      </c>
      <c r="BN28" s="429">
        <v>73109.896813319632</v>
      </c>
      <c r="BO28" s="429">
        <v>82383.919999172314</v>
      </c>
      <c r="BP28" s="428">
        <v>316145.89651518239</v>
      </c>
      <c r="BQ28" s="428">
        <v>102316.06286911454</v>
      </c>
      <c r="BR28" s="428">
        <v>145252.55588809444</v>
      </c>
      <c r="BS28" s="428">
        <v>196102.22150591604</v>
      </c>
      <c r="BT28" s="428">
        <v>0</v>
      </c>
      <c r="BU28" s="428">
        <v>0</v>
      </c>
      <c r="BV28" s="431"/>
      <c r="BW28" s="432"/>
      <c r="BX28" s="432">
        <v>0</v>
      </c>
      <c r="BY28" s="429"/>
      <c r="BZ28" s="429"/>
      <c r="CA28" s="429"/>
      <c r="CB28" s="431"/>
      <c r="CC28" s="430"/>
      <c r="CD28" s="429">
        <v>552.79444657683371</v>
      </c>
      <c r="CE28" s="430"/>
      <c r="CF28" s="429">
        <v>1632.8181510135319</v>
      </c>
      <c r="CG28" s="333"/>
      <c r="CH28" s="429">
        <v>1473.6544001537925</v>
      </c>
      <c r="CI28" s="430">
        <v>15030.53391619821</v>
      </c>
      <c r="CJ28" s="430">
        <v>6441.657392656376</v>
      </c>
      <c r="CK28" s="430">
        <v>3965.5657621800001</v>
      </c>
      <c r="CL28" s="429">
        <v>1887.5248152424579</v>
      </c>
      <c r="CM28" s="429">
        <v>1983.4125229561907</v>
      </c>
      <c r="CN28" s="429">
        <v>8127.0219995029101</v>
      </c>
      <c r="CO28" s="428">
        <v>23621.293208333336</v>
      </c>
      <c r="CP28" s="428">
        <v>105300.21791666522</v>
      </c>
      <c r="CQ28" s="420">
        <f t="shared" si="0"/>
        <v>3902997.9716696232</v>
      </c>
      <c r="CR28" s="420">
        <f t="shared" si="1"/>
        <v>3704195.9321586145</v>
      </c>
      <c r="CT28" s="420">
        <f t="shared" si="2"/>
        <v>1548119.4968280371</v>
      </c>
      <c r="CU28" s="420">
        <f t="shared" si="3"/>
        <v>2218669.14695914</v>
      </c>
      <c r="CV28" s="420">
        <f t="shared" si="4"/>
        <v>147880.39364403879</v>
      </c>
      <c r="CW28" s="420">
        <f t="shared" si="5"/>
        <v>4859.998377526892</v>
      </c>
      <c r="CX28" s="427"/>
      <c r="CY28" s="420">
        <f t="shared" si="6"/>
        <v>1426353.8380791603</v>
      </c>
      <c r="CZ28" s="420">
        <f t="shared" si="7"/>
        <v>2107825.5995479752</v>
      </c>
      <c r="DA28" s="420">
        <f t="shared" si="8"/>
        <v>166357.22753373469</v>
      </c>
      <c r="DB28" s="420">
        <f t="shared" si="9"/>
        <v>3659.2669977441583</v>
      </c>
    </row>
    <row r="29" spans="1:106" hidden="1">
      <c r="A29" s="434" t="s">
        <v>813</v>
      </c>
      <c r="B29" s="428">
        <v>409517.45004246914</v>
      </c>
      <c r="C29" s="428">
        <v>75588.08638459105</v>
      </c>
      <c r="D29" s="428">
        <v>0</v>
      </c>
      <c r="E29" s="431">
        <v>0</v>
      </c>
      <c r="F29" s="431">
        <v>0</v>
      </c>
      <c r="G29" s="431">
        <v>0</v>
      </c>
      <c r="H29" s="431">
        <v>0</v>
      </c>
      <c r="I29" s="431">
        <v>0</v>
      </c>
      <c r="J29" s="429">
        <v>0</v>
      </c>
      <c r="K29" s="429">
        <v>6181.1659270446016</v>
      </c>
      <c r="L29" s="429">
        <v>1373.5924282321334</v>
      </c>
      <c r="M29" s="429">
        <v>1022.9782459143345</v>
      </c>
      <c r="N29" s="429">
        <v>122087.8610374509</v>
      </c>
      <c r="O29" s="429">
        <v>169346.89164458602</v>
      </c>
      <c r="P29" s="429"/>
      <c r="Q29" s="429">
        <v>18800.996929426561</v>
      </c>
      <c r="R29" s="429">
        <v>3519.1356382887743</v>
      </c>
      <c r="S29" s="429">
        <v>415600.05624635733</v>
      </c>
      <c r="T29" s="429">
        <v>56923.214469067374</v>
      </c>
      <c r="U29" s="428">
        <v>2190.0887898596561</v>
      </c>
      <c r="V29" s="428">
        <v>4123.3694024951874</v>
      </c>
      <c r="W29" s="428">
        <v>192.23017486725453</v>
      </c>
      <c r="X29" s="428">
        <v>9444.8619137650458</v>
      </c>
      <c r="Y29" s="428">
        <v>0</v>
      </c>
      <c r="Z29" s="428">
        <v>0</v>
      </c>
      <c r="AA29" s="429">
        <v>3.1653125332857273</v>
      </c>
      <c r="AB29" s="429">
        <v>9.2307470527110292E-3</v>
      </c>
      <c r="AC29" s="429">
        <v>29.827960169965575</v>
      </c>
      <c r="AD29" s="429">
        <v>15294.454884093006</v>
      </c>
      <c r="AE29" s="429">
        <v>0.43924591385579653</v>
      </c>
      <c r="AF29" s="429"/>
      <c r="AG29" s="429">
        <v>0.77616536115956469</v>
      </c>
      <c r="AH29" s="429">
        <v>1691.4105655251392</v>
      </c>
      <c r="AI29" s="429">
        <v>209.55599368786736</v>
      </c>
      <c r="AJ29" s="429">
        <v>43.429106197469856</v>
      </c>
      <c r="AK29" s="429">
        <v>3092.1281877594583</v>
      </c>
      <c r="AL29" s="333"/>
      <c r="AM29" s="429">
        <v>614.53215322515507</v>
      </c>
      <c r="AN29" s="430">
        <v>5068.46007032749</v>
      </c>
      <c r="AO29" s="430">
        <v>4133.3897632621129</v>
      </c>
      <c r="AP29" s="430"/>
      <c r="AQ29" s="429">
        <v>3016.6138926710391</v>
      </c>
      <c r="AR29" s="429">
        <v>3159.0729181728007</v>
      </c>
      <c r="AS29" s="429">
        <v>2128.9652813780731</v>
      </c>
      <c r="AT29" s="428">
        <v>8237.6043749999953</v>
      </c>
      <c r="AU29" s="428">
        <v>27705.73772999991</v>
      </c>
      <c r="AV29" s="433"/>
      <c r="AW29" s="428">
        <v>193715.24815195339</v>
      </c>
      <c r="AX29" s="428">
        <v>45629.055694058363</v>
      </c>
      <c r="AY29" s="428">
        <v>0</v>
      </c>
      <c r="AZ29" s="431">
        <v>0</v>
      </c>
      <c r="BA29" s="431">
        <v>0</v>
      </c>
      <c r="BB29" s="431">
        <v>0</v>
      </c>
      <c r="BC29" s="431">
        <v>0</v>
      </c>
      <c r="BD29" s="431">
        <v>0</v>
      </c>
      <c r="BE29" s="431">
        <v>0</v>
      </c>
      <c r="BF29" s="429">
        <v>16303.209483616602</v>
      </c>
      <c r="BG29" s="429">
        <v>3622.9354408036888</v>
      </c>
      <c r="BH29" s="429">
        <v>2260.5784739056426</v>
      </c>
      <c r="BI29" s="429">
        <v>157923.76013065636</v>
      </c>
      <c r="BJ29" s="429">
        <v>209329.51670084472</v>
      </c>
      <c r="BK29" s="429"/>
      <c r="BL29" s="429">
        <v>21616.362357087048</v>
      </c>
      <c r="BM29" s="429">
        <v>4101.8844999127241</v>
      </c>
      <c r="BN29" s="429">
        <v>387789.59763370169</v>
      </c>
      <c r="BO29" s="429">
        <v>53004.587687513325</v>
      </c>
      <c r="BP29" s="428">
        <v>2704.0075020251816</v>
      </c>
      <c r="BQ29" s="428">
        <v>5090.945102131026</v>
      </c>
      <c r="BR29" s="428">
        <v>217.32325805309512</v>
      </c>
      <c r="BS29" s="428">
        <v>11197.030248656034</v>
      </c>
      <c r="BT29" s="428">
        <v>0</v>
      </c>
      <c r="BU29" s="428">
        <v>0</v>
      </c>
      <c r="BV29" s="431">
        <v>3.4584461431610567</v>
      </c>
      <c r="BW29" s="432">
        <v>6.4915241233184035E-3</v>
      </c>
      <c r="BX29" s="432">
        <v>31.232822447711033</v>
      </c>
      <c r="BY29" s="429">
        <v>24832.170469511002</v>
      </c>
      <c r="BZ29" s="429">
        <v>0.32339161252930687</v>
      </c>
      <c r="CA29" s="429"/>
      <c r="CB29" s="431">
        <v>0.57212330041482595</v>
      </c>
      <c r="CC29" s="429">
        <v>1262.8560969303035</v>
      </c>
      <c r="CD29" s="429">
        <v>177.36648212130041</v>
      </c>
      <c r="CE29" s="429">
        <v>35.087220864096146</v>
      </c>
      <c r="CF29" s="429">
        <v>2696.4596901454288</v>
      </c>
      <c r="CG29" s="333"/>
      <c r="CH29" s="429">
        <v>534.04234995798822</v>
      </c>
      <c r="CI29" s="430">
        <v>6925.018371858333</v>
      </c>
      <c r="CJ29" s="430">
        <v>2967.8650165107142</v>
      </c>
      <c r="CK29" s="430"/>
      <c r="CL29" s="429">
        <v>2924.4994473099646</v>
      </c>
      <c r="CM29" s="429">
        <v>2673.8135254464014</v>
      </c>
      <c r="CN29" s="429">
        <v>1850.119014732094</v>
      </c>
      <c r="CO29" s="428">
        <v>10450.391874999987</v>
      </c>
      <c r="CP29" s="428">
        <v>39861.700229999813</v>
      </c>
      <c r="CQ29" s="420">
        <f t="shared" si="0"/>
        <v>1370341.5521104399</v>
      </c>
      <c r="CR29" s="420">
        <f t="shared" si="1"/>
        <v>1211733.025430335</v>
      </c>
      <c r="CT29" s="420">
        <f t="shared" si="2"/>
        <v>798375.02820465679</v>
      </c>
      <c r="CU29" s="420">
        <f t="shared" si="3"/>
        <v>501056.08670804737</v>
      </c>
      <c r="CV29" s="420">
        <f t="shared" si="4"/>
        <v>53449.844030811422</v>
      </c>
      <c r="CW29" s="420">
        <f t="shared" si="5"/>
        <v>20979.728805213414</v>
      </c>
      <c r="CX29" s="427"/>
      <c r="CY29" s="420">
        <f t="shared" si="6"/>
        <v>855952.43240804179</v>
      </c>
      <c r="CZ29" s="420">
        <f t="shared" si="7"/>
        <v>258553.60995687707</v>
      </c>
      <c r="DA29" s="420">
        <f t="shared" si="8"/>
        <v>67653.407480857306</v>
      </c>
      <c r="DB29" s="420">
        <f t="shared" si="9"/>
        <v>29573.575584558057</v>
      </c>
    </row>
    <row r="30" spans="1:106" hidden="1">
      <c r="A30" s="434" t="s">
        <v>812</v>
      </c>
      <c r="B30" s="428">
        <v>266410.75928347697</v>
      </c>
      <c r="C30" s="428">
        <v>39080.717550786663</v>
      </c>
      <c r="D30" s="428">
        <v>0</v>
      </c>
      <c r="E30" s="431">
        <v>146.67543590946926</v>
      </c>
      <c r="F30" s="431">
        <v>6.3427215528419154</v>
      </c>
      <c r="G30" s="431">
        <v>103.06922523368107</v>
      </c>
      <c r="H30" s="431">
        <v>0</v>
      </c>
      <c r="I30" s="431">
        <v>0</v>
      </c>
      <c r="J30" s="429">
        <v>0</v>
      </c>
      <c r="K30" s="429">
        <v>59.160837342967625</v>
      </c>
      <c r="L30" s="429">
        <v>13.146852742881691</v>
      </c>
      <c r="M30" s="429">
        <v>416.30629613465402</v>
      </c>
      <c r="N30" s="429">
        <v>1278.0750068095435</v>
      </c>
      <c r="O30" s="429">
        <v>13112.851706287509</v>
      </c>
      <c r="P30" s="429"/>
      <c r="Q30" s="429">
        <v>10286.581306163796</v>
      </c>
      <c r="R30" s="429">
        <v>226.03388010454688</v>
      </c>
      <c r="S30" s="429"/>
      <c r="T30" s="429"/>
      <c r="U30" s="428">
        <v>10686.83534414275</v>
      </c>
      <c r="V30" s="428">
        <v>5266.2598347085504</v>
      </c>
      <c r="W30" s="428">
        <v>640.7672495575199</v>
      </c>
      <c r="X30" s="428">
        <v>6257.4000674862</v>
      </c>
      <c r="Y30" s="428">
        <v>0</v>
      </c>
      <c r="Z30" s="428">
        <v>0</v>
      </c>
      <c r="AA30" s="429"/>
      <c r="AB30" s="429"/>
      <c r="AC30" s="429">
        <v>9.2689086176960487</v>
      </c>
      <c r="AD30" s="429"/>
      <c r="AE30" s="429">
        <v>0.15465411216324784</v>
      </c>
      <c r="AF30" s="429"/>
      <c r="AG30" s="429">
        <v>0.2805069537084256</v>
      </c>
      <c r="AH30" s="430"/>
      <c r="AI30" s="429">
        <v>28.254740721959642</v>
      </c>
      <c r="AJ30" s="429">
        <v>7.7041259701876621</v>
      </c>
      <c r="AK30" s="429">
        <v>941.27048576553545</v>
      </c>
      <c r="AL30" s="333"/>
      <c r="AM30" s="429">
        <v>120.09702578002243</v>
      </c>
      <c r="AN30" s="430">
        <v>25723.161489864935</v>
      </c>
      <c r="AO30" s="430">
        <v>220.11692348445857</v>
      </c>
      <c r="AP30" s="430"/>
      <c r="AQ30" s="429">
        <v>903.30279391340889</v>
      </c>
      <c r="AR30" s="429">
        <v>946.27159307046099</v>
      </c>
      <c r="AS30" s="429">
        <v>4570.1454477338011</v>
      </c>
      <c r="AT30" s="428">
        <v>775.75574999999992</v>
      </c>
      <c r="AU30" s="428">
        <v>3758.3096774999999</v>
      </c>
      <c r="AV30" s="433"/>
      <c r="AW30" s="428">
        <v>87801.273401506114</v>
      </c>
      <c r="AX30" s="428">
        <v>28441.024599350207</v>
      </c>
      <c r="AY30" s="428">
        <v>0</v>
      </c>
      <c r="AZ30" s="431">
        <v>18146.946181640687</v>
      </c>
      <c r="BA30" s="431">
        <v>784.73280785473253</v>
      </c>
      <c r="BB30" s="431">
        <v>12751.908127639394</v>
      </c>
      <c r="BC30" s="431">
        <v>0</v>
      </c>
      <c r="BD30" s="431">
        <v>0</v>
      </c>
      <c r="BE30" s="431">
        <v>0</v>
      </c>
      <c r="BF30" s="429">
        <v>177.4340499805393</v>
      </c>
      <c r="BG30" s="429">
        <v>39.429788884564289</v>
      </c>
      <c r="BH30" s="429">
        <v>858.01388709895741</v>
      </c>
      <c r="BI30" s="429">
        <v>2032.0047515718679</v>
      </c>
      <c r="BJ30" s="429">
        <v>18295.720010462326</v>
      </c>
      <c r="BK30" s="429"/>
      <c r="BL30" s="429">
        <v>9841.3550079441138</v>
      </c>
      <c r="BM30" s="429">
        <v>298.14111774213023</v>
      </c>
      <c r="BN30" s="429"/>
      <c r="BO30" s="429"/>
      <c r="BP30" s="428">
        <v>13194.571415217193</v>
      </c>
      <c r="BQ30" s="428">
        <v>6502.0222771782555</v>
      </c>
      <c r="BR30" s="428">
        <v>724.4108601769866</v>
      </c>
      <c r="BS30" s="428">
        <v>7418.2448058317559</v>
      </c>
      <c r="BT30" s="428">
        <v>0</v>
      </c>
      <c r="BU30" s="428">
        <v>0</v>
      </c>
      <c r="BV30" s="431"/>
      <c r="BW30" s="432"/>
      <c r="BX30" s="432">
        <v>8.2029300075801288</v>
      </c>
      <c r="BY30" s="429"/>
      <c r="BZ30" s="429">
        <v>0.16621888478738522</v>
      </c>
      <c r="CA30" s="429"/>
      <c r="CB30" s="431">
        <v>0.30148278871049206</v>
      </c>
      <c r="CC30" s="430"/>
      <c r="CD30" s="429">
        <v>23.914581859051747</v>
      </c>
      <c r="CE30" s="429">
        <v>6.2243134420422868</v>
      </c>
      <c r="CF30" s="429">
        <v>820.82558298770493</v>
      </c>
      <c r="CG30" s="333"/>
      <c r="CH30" s="429">
        <v>104.36703357819184</v>
      </c>
      <c r="CI30" s="430">
        <v>4664.3475488452359</v>
      </c>
      <c r="CJ30" s="430">
        <v>166.28890927740176</v>
      </c>
      <c r="CK30" s="430"/>
      <c r="CL30" s="429">
        <v>875.71345642244376</v>
      </c>
      <c r="CM30" s="429">
        <v>800.91655046726373</v>
      </c>
      <c r="CN30" s="429">
        <v>3971.5598309196112</v>
      </c>
      <c r="CO30" s="428">
        <v>993.98658333333321</v>
      </c>
      <c r="CP30" s="428">
        <v>4957.1621775000003</v>
      </c>
      <c r="CQ30" s="420">
        <f t="shared" si="0"/>
        <v>391995.07672192896</v>
      </c>
      <c r="CR30" s="420">
        <f t="shared" si="1"/>
        <v>224701.21029039315</v>
      </c>
      <c r="CT30" s="420">
        <f t="shared" si="2"/>
        <v>25874.277148386438</v>
      </c>
      <c r="CU30" s="420">
        <f t="shared" si="3"/>
        <v>328342.73933015869</v>
      </c>
      <c r="CV30" s="420">
        <f t="shared" si="4"/>
        <v>36897.063675567064</v>
      </c>
      <c r="CW30" s="420">
        <f t="shared" si="5"/>
        <v>1107.030447921273</v>
      </c>
      <c r="CX30" s="427"/>
      <c r="CY30" s="420">
        <f t="shared" si="6"/>
        <v>63225.685730819314</v>
      </c>
      <c r="CZ30" s="420">
        <f t="shared" si="7"/>
        <v>144081.5473592605</v>
      </c>
      <c r="DA30" s="420">
        <f t="shared" si="8"/>
        <v>16429.975056765288</v>
      </c>
      <c r="DB30" s="420">
        <f t="shared" si="9"/>
        <v>964.00214354806883</v>
      </c>
    </row>
    <row r="31" spans="1:106">
      <c r="A31" s="434" t="s">
        <v>811</v>
      </c>
      <c r="B31" s="428">
        <v>0</v>
      </c>
      <c r="C31" s="428">
        <v>0</v>
      </c>
      <c r="D31" s="428">
        <v>0</v>
      </c>
      <c r="E31" s="431">
        <v>338.40872584313206</v>
      </c>
      <c r="F31" s="431">
        <v>15.866376326415724</v>
      </c>
      <c r="G31" s="431">
        <v>0</v>
      </c>
      <c r="H31" s="431">
        <v>82.360223652072293</v>
      </c>
      <c r="I31" s="431">
        <v>3.8614793384414279</v>
      </c>
      <c r="J31" s="429">
        <v>0</v>
      </c>
      <c r="K31" s="429">
        <v>0</v>
      </c>
      <c r="L31" s="429">
        <v>0</v>
      </c>
      <c r="M31" s="429">
        <v>0</v>
      </c>
      <c r="N31" s="429">
        <v>331.2634341530237</v>
      </c>
      <c r="O31" s="429"/>
      <c r="P31" s="429"/>
      <c r="Q31" s="429">
        <v>443.41370576574178</v>
      </c>
      <c r="R31" s="429">
        <v>31.922230892103101</v>
      </c>
      <c r="S31" s="429"/>
      <c r="T31" s="429"/>
      <c r="U31" s="428">
        <v>0</v>
      </c>
      <c r="V31" s="428">
        <v>0</v>
      </c>
      <c r="W31" s="428">
        <v>0</v>
      </c>
      <c r="X31" s="428">
        <v>4478.0896690200016</v>
      </c>
      <c r="Y31" s="428">
        <v>0</v>
      </c>
      <c r="Z31" s="428">
        <v>0</v>
      </c>
      <c r="AA31" s="429"/>
      <c r="AB31" s="429"/>
      <c r="AC31" s="429">
        <v>4.4771846195538103</v>
      </c>
      <c r="AD31" s="429"/>
      <c r="AE31" s="429"/>
      <c r="AF31" s="429"/>
      <c r="AG31" s="429"/>
      <c r="AH31" s="429">
        <v>2015.9675095457762</v>
      </c>
      <c r="AI31" s="333"/>
      <c r="AJ31" s="430"/>
      <c r="AK31" s="429">
        <v>934.16278966389541</v>
      </c>
      <c r="AL31" s="333"/>
      <c r="AM31" s="429">
        <v>397.26838263425464</v>
      </c>
      <c r="AN31" s="430"/>
      <c r="AO31" s="430"/>
      <c r="AP31" s="430"/>
      <c r="AQ31" s="429">
        <v>812.86517352584383</v>
      </c>
      <c r="AR31" s="429">
        <v>860.13097357638526</v>
      </c>
      <c r="AS31" s="429">
        <v>6896.9295019083393</v>
      </c>
      <c r="AT31" s="428">
        <v>1611.3116249999998</v>
      </c>
      <c r="AU31" s="428">
        <v>5933.8758749999997</v>
      </c>
      <c r="AV31" s="433"/>
      <c r="AW31" s="428">
        <v>0</v>
      </c>
      <c r="AX31" s="428">
        <v>0</v>
      </c>
      <c r="AY31" s="428">
        <v>0</v>
      </c>
      <c r="AZ31" s="431">
        <v>1035.5792352566941</v>
      </c>
      <c r="BA31" s="431">
        <v>48.553387095641803</v>
      </c>
      <c r="BB31" s="431">
        <v>0</v>
      </c>
      <c r="BC31" s="431">
        <v>52248.486229254304</v>
      </c>
      <c r="BD31" s="431">
        <v>2449.6831248470089</v>
      </c>
      <c r="BE31" s="431">
        <v>0</v>
      </c>
      <c r="BF31" s="429">
        <v>0</v>
      </c>
      <c r="BG31" s="429">
        <v>0</v>
      </c>
      <c r="BH31" s="429">
        <v>0</v>
      </c>
      <c r="BI31" s="429">
        <v>320.53187599461643</v>
      </c>
      <c r="BJ31" s="429"/>
      <c r="BK31" s="429"/>
      <c r="BL31" s="429">
        <v>239.53970150007689</v>
      </c>
      <c r="BM31" s="429">
        <v>26.761791763321977</v>
      </c>
      <c r="BN31" s="429"/>
      <c r="BO31" s="429"/>
      <c r="BP31" s="428">
        <v>0</v>
      </c>
      <c r="BQ31" s="428">
        <v>0</v>
      </c>
      <c r="BR31" s="428">
        <v>0</v>
      </c>
      <c r="BS31" s="428">
        <v>4478.0896690200016</v>
      </c>
      <c r="BT31" s="428">
        <v>0</v>
      </c>
      <c r="BU31" s="428">
        <v>0</v>
      </c>
      <c r="BV31" s="431"/>
      <c r="BW31" s="432"/>
      <c r="BX31" s="432">
        <v>5.0619568009288409</v>
      </c>
      <c r="BY31" s="429"/>
      <c r="BZ31" s="429"/>
      <c r="CA31" s="429"/>
      <c r="CB31" s="431"/>
      <c r="CC31" s="429">
        <v>1706.2984405569664</v>
      </c>
      <c r="CD31" s="333"/>
      <c r="CE31" s="430"/>
      <c r="CF31" s="429">
        <v>1015.1229882918134</v>
      </c>
      <c r="CG31" s="333"/>
      <c r="CH31" s="429">
        <v>430.20429904577878</v>
      </c>
      <c r="CI31" s="430"/>
      <c r="CJ31" s="430"/>
      <c r="CK31" s="430"/>
      <c r="CL31" s="429">
        <v>1056.8056747241044</v>
      </c>
      <c r="CM31" s="429">
        <v>907.18468224557137</v>
      </c>
      <c r="CN31" s="429">
        <v>7468.7260593508681</v>
      </c>
      <c r="CO31" s="428">
        <v>1969.746625</v>
      </c>
      <c r="CP31" s="428">
        <v>7902.9408750000002</v>
      </c>
      <c r="CQ31" s="420">
        <f t="shared" si="0"/>
        <v>25192.174860464977</v>
      </c>
      <c r="CR31" s="420">
        <f t="shared" si="1"/>
        <v>83309.31661574771</v>
      </c>
      <c r="CT31" s="420">
        <f t="shared" si="2"/>
        <v>1279.0184068630331</v>
      </c>
      <c r="CU31" s="420">
        <f t="shared" si="3"/>
        <v>4478.0896690200016</v>
      </c>
      <c r="CV31" s="420">
        <f t="shared" si="4"/>
        <v>16115.113149010569</v>
      </c>
      <c r="CW31" s="420">
        <f t="shared" si="5"/>
        <v>3351.8758664634797</v>
      </c>
      <c r="CX31" s="427"/>
      <c r="CY31" s="420">
        <f t="shared" si="6"/>
        <v>56369.135345711671</v>
      </c>
      <c r="CZ31" s="420">
        <f t="shared" si="7"/>
        <v>4478.0896690200016</v>
      </c>
      <c r="DA31" s="420">
        <f t="shared" si="8"/>
        <v>19305.403916320545</v>
      </c>
      <c r="DB31" s="420">
        <f t="shared" si="9"/>
        <v>3156.6876846954874</v>
      </c>
    </row>
    <row r="32" spans="1:106">
      <c r="A32" s="434" t="s">
        <v>810</v>
      </c>
      <c r="B32" s="428">
        <v>304963.96135500004</v>
      </c>
      <c r="C32" s="428">
        <v>24766.417300000008</v>
      </c>
      <c r="D32" s="428">
        <v>0</v>
      </c>
      <c r="E32" s="428">
        <v>16558.876108236116</v>
      </c>
      <c r="F32" s="428">
        <v>711.61060409235745</v>
      </c>
      <c r="G32" s="428">
        <v>12754.545288959765</v>
      </c>
      <c r="H32" s="428">
        <v>8954.9874557637795</v>
      </c>
      <c r="I32" s="428">
        <v>381.95109744404965</v>
      </c>
      <c r="J32" s="428">
        <v>6926.4739724760402</v>
      </c>
      <c r="K32" s="429">
        <v>0</v>
      </c>
      <c r="L32" s="429">
        <v>0</v>
      </c>
      <c r="M32" s="429">
        <v>28561.598966842888</v>
      </c>
      <c r="N32" s="429">
        <v>286029.1231516432</v>
      </c>
      <c r="O32" s="429">
        <v>82063.423743293984</v>
      </c>
      <c r="P32" s="429">
        <v>80557.749930148202</v>
      </c>
      <c r="Q32" s="429">
        <v>6657.8967883775385</v>
      </c>
      <c r="R32" s="429">
        <v>15413.935987276103</v>
      </c>
      <c r="S32" s="429">
        <v>10649721.787177866</v>
      </c>
      <c r="T32" s="429">
        <v>170610.41879790515</v>
      </c>
      <c r="U32" s="428">
        <v>8723.1102651425481</v>
      </c>
      <c r="V32" s="428">
        <v>4358.8849138758987</v>
      </c>
      <c r="W32" s="428">
        <v>376.07762467964</v>
      </c>
      <c r="X32" s="428">
        <v>174053.19471521981</v>
      </c>
      <c r="Y32" s="428">
        <v>3041.5975508802239</v>
      </c>
      <c r="Z32" s="428">
        <v>0</v>
      </c>
      <c r="AA32" s="429"/>
      <c r="AB32" s="429"/>
      <c r="AC32" s="429">
        <v>482.01031231553731</v>
      </c>
      <c r="AD32" s="429"/>
      <c r="AE32" s="429"/>
      <c r="AF32" s="429">
        <v>279.49502639999071</v>
      </c>
      <c r="AG32" s="429"/>
      <c r="AH32" s="429">
        <v>5565.5434814363516</v>
      </c>
      <c r="AI32" s="429">
        <v>16056.459870114179</v>
      </c>
      <c r="AJ32" s="429">
        <v>48.490356060109562</v>
      </c>
      <c r="AK32" s="429">
        <v>25326.164581737401</v>
      </c>
      <c r="AL32" s="333">
        <v>40000</v>
      </c>
      <c r="AM32" s="429">
        <v>72877.709276171678</v>
      </c>
      <c r="AN32" s="430">
        <v>2711773.4778200006</v>
      </c>
      <c r="AO32" s="430">
        <v>116126.99933819375</v>
      </c>
      <c r="AP32" s="430">
        <v>50748.134917740004</v>
      </c>
      <c r="AQ32" s="429">
        <v>51415.249255046117</v>
      </c>
      <c r="AR32" s="429">
        <v>26082.067603425672</v>
      </c>
      <c r="AS32" s="429">
        <v>328908.72186292527</v>
      </c>
      <c r="AT32" s="428">
        <v>68166.456613667091</v>
      </c>
      <c r="AU32" s="428">
        <v>423523.8435529524</v>
      </c>
      <c r="AV32" s="433"/>
      <c r="AW32" s="428">
        <v>262460.7832827777</v>
      </c>
      <c r="AX32" s="428">
        <v>23824.722633333335</v>
      </c>
      <c r="AY32" s="428">
        <v>0</v>
      </c>
      <c r="AZ32" s="428">
        <v>53633.430564099108</v>
      </c>
      <c r="BA32" s="428">
        <v>2301.1674109497858</v>
      </c>
      <c r="BB32" s="428">
        <v>41348.442567421072</v>
      </c>
      <c r="BC32" s="428">
        <v>210677.97503721569</v>
      </c>
      <c r="BD32" s="428">
        <v>9015.561710155609</v>
      </c>
      <c r="BE32" s="428">
        <v>162657.95294310275</v>
      </c>
      <c r="BF32" s="429">
        <v>0</v>
      </c>
      <c r="BG32" s="429">
        <v>0</v>
      </c>
      <c r="BH32" s="429">
        <v>60642.545755223626</v>
      </c>
      <c r="BI32" s="429">
        <v>258283.67399070476</v>
      </c>
      <c r="BJ32" s="429">
        <v>44082.035492871881</v>
      </c>
      <c r="BK32" s="429">
        <v>55605.125009953692</v>
      </c>
      <c r="BL32" s="429">
        <v>7959.6127912042866</v>
      </c>
      <c r="BM32" s="429">
        <v>12291.167330426595</v>
      </c>
      <c r="BN32" s="429">
        <v>10061227.749248708</v>
      </c>
      <c r="BO32" s="429">
        <v>178717.37934271523</v>
      </c>
      <c r="BP32" s="428">
        <v>9520.970369839044</v>
      </c>
      <c r="BQ32" s="428">
        <v>4757.570734418844</v>
      </c>
      <c r="BR32" s="428">
        <v>376.07762467964</v>
      </c>
      <c r="BS32" s="428">
        <v>182354.77795930856</v>
      </c>
      <c r="BT32" s="428">
        <v>2900.7828494505834</v>
      </c>
      <c r="BU32" s="428">
        <v>0</v>
      </c>
      <c r="BV32" s="431"/>
      <c r="BW32" s="432"/>
      <c r="BX32" s="432">
        <v>404.79291227765322</v>
      </c>
      <c r="BY32" s="429"/>
      <c r="BZ32" s="429"/>
      <c r="CA32" s="429">
        <v>263.58145561774256</v>
      </c>
      <c r="CB32" s="431"/>
      <c r="CC32" s="429">
        <v>4710.6305623777225</v>
      </c>
      <c r="CD32" s="429">
        <v>14897.983682847625</v>
      </c>
      <c r="CE32" s="429">
        <v>42.946688586452566</v>
      </c>
      <c r="CF32" s="429">
        <v>24210.964896938633</v>
      </c>
      <c r="CG32" s="333">
        <v>101905.95429855629</v>
      </c>
      <c r="CH32" s="429">
        <v>69256.435099048758</v>
      </c>
      <c r="CI32" s="430">
        <v>2240255.7028800007</v>
      </c>
      <c r="CJ32" s="430">
        <v>95935.067826855869</v>
      </c>
      <c r="CK32" s="430">
        <v>48265.845582240014</v>
      </c>
      <c r="CL32" s="429">
        <v>64836.997069088582</v>
      </c>
      <c r="CM32" s="429">
        <v>24140.586312268864</v>
      </c>
      <c r="CN32" s="429">
        <v>312565.33411182114</v>
      </c>
      <c r="CO32" s="428">
        <v>70005.751609988525</v>
      </c>
      <c r="CP32" s="428">
        <v>445885.79850822868</v>
      </c>
      <c r="CQ32" s="420">
        <f t="shared" si="0"/>
        <v>15823568.446663309</v>
      </c>
      <c r="CR32" s="420">
        <f t="shared" si="1"/>
        <v>15162223.878145302</v>
      </c>
      <c r="CT32" s="420">
        <f t="shared" si="2"/>
        <v>11381318.315057602</v>
      </c>
      <c r="CU32" s="420">
        <f t="shared" si="3"/>
        <v>520283.24372479826</v>
      </c>
      <c r="CV32" s="420">
        <f t="shared" si="4"/>
        <v>3776744.9509639507</v>
      </c>
      <c r="CW32" s="420">
        <f t="shared" si="5"/>
        <v>160635.87290423526</v>
      </c>
      <c r="CX32" s="427"/>
      <c r="CY32" s="420">
        <f t="shared" si="6"/>
        <v>11158443.819194751</v>
      </c>
      <c r="CZ32" s="420">
        <f t="shared" si="7"/>
        <v>486195.68545380782</v>
      </c>
      <c r="DA32" s="420">
        <f t="shared" si="8"/>
        <v>3301891.0839004926</v>
      </c>
      <c r="DB32" s="420">
        <f t="shared" si="9"/>
        <v>215693.28959625086</v>
      </c>
    </row>
    <row r="33" spans="1:106" hidden="1">
      <c r="A33" s="434" t="s">
        <v>809</v>
      </c>
      <c r="B33" s="428">
        <v>0</v>
      </c>
      <c r="C33" s="428">
        <v>0</v>
      </c>
      <c r="D33" s="428">
        <v>0</v>
      </c>
      <c r="E33" s="431">
        <v>2952.1574332647574</v>
      </c>
      <c r="F33" s="431">
        <v>0</v>
      </c>
      <c r="G33" s="431">
        <v>0</v>
      </c>
      <c r="H33" s="431">
        <v>0</v>
      </c>
      <c r="I33" s="431">
        <v>0</v>
      </c>
      <c r="J33" s="429">
        <v>0</v>
      </c>
      <c r="K33" s="429">
        <v>0</v>
      </c>
      <c r="L33" s="429">
        <v>0</v>
      </c>
      <c r="M33" s="429">
        <v>0</v>
      </c>
      <c r="N33" s="333"/>
      <c r="O33" s="333"/>
      <c r="P33" s="333"/>
      <c r="Q33" s="333"/>
      <c r="R33" s="333"/>
      <c r="S33" s="429"/>
      <c r="T33" s="429"/>
      <c r="U33" s="428">
        <v>0</v>
      </c>
      <c r="V33" s="428">
        <v>0</v>
      </c>
      <c r="W33" s="428">
        <v>0</v>
      </c>
      <c r="X33" s="428">
        <v>0</v>
      </c>
      <c r="Y33" s="428">
        <v>0</v>
      </c>
      <c r="Z33" s="428">
        <v>0</v>
      </c>
      <c r="AA33" s="429"/>
      <c r="AB33" s="429"/>
      <c r="AC33" s="429"/>
      <c r="AD33" s="429"/>
      <c r="AE33" s="429"/>
      <c r="AF33" s="429"/>
      <c r="AG33" s="429"/>
      <c r="AH33" s="430"/>
      <c r="AI33" s="429">
        <v>1685.9209291230011</v>
      </c>
      <c r="AJ33" s="430"/>
      <c r="AK33" s="429"/>
      <c r="AL33" s="333"/>
      <c r="AM33" s="429"/>
      <c r="AN33" s="430">
        <v>114662.76608801594</v>
      </c>
      <c r="AO33" s="430">
        <v>76441.844058677292</v>
      </c>
      <c r="AP33" s="430">
        <v>17398.694984580001</v>
      </c>
      <c r="AQ33" s="429"/>
      <c r="AR33" s="429">
        <v>8942.081113616774</v>
      </c>
      <c r="AS33" s="429">
        <v>153773.80313766302</v>
      </c>
      <c r="AT33" s="428">
        <v>0</v>
      </c>
      <c r="AU33" s="428">
        <v>0</v>
      </c>
      <c r="AV33" s="433"/>
      <c r="AW33" s="428">
        <v>0</v>
      </c>
      <c r="AX33" s="428">
        <v>0</v>
      </c>
      <c r="AY33" s="428">
        <v>0</v>
      </c>
      <c r="AZ33" s="431">
        <v>18567.469853671319</v>
      </c>
      <c r="BA33" s="431">
        <v>0</v>
      </c>
      <c r="BB33" s="431">
        <v>0</v>
      </c>
      <c r="BC33" s="431">
        <v>0</v>
      </c>
      <c r="BD33" s="431">
        <v>0</v>
      </c>
      <c r="BE33" s="431">
        <v>0</v>
      </c>
      <c r="BF33" s="429">
        <v>0</v>
      </c>
      <c r="BG33" s="429">
        <v>0</v>
      </c>
      <c r="BH33" s="429">
        <v>0</v>
      </c>
      <c r="BI33" s="333"/>
      <c r="BJ33" s="333"/>
      <c r="BK33" s="333"/>
      <c r="BL33" s="333"/>
      <c r="BM33" s="333"/>
      <c r="BN33" s="429"/>
      <c r="BO33" s="429"/>
      <c r="BP33" s="428">
        <v>0</v>
      </c>
      <c r="BQ33" s="428">
        <v>0</v>
      </c>
      <c r="BR33" s="428">
        <v>0</v>
      </c>
      <c r="BS33" s="428">
        <v>0</v>
      </c>
      <c r="BT33" s="428">
        <v>0</v>
      </c>
      <c r="BU33" s="428">
        <v>0</v>
      </c>
      <c r="BV33" s="431"/>
      <c r="BW33" s="432"/>
      <c r="BX33" s="432">
        <v>0</v>
      </c>
      <c r="BY33" s="429"/>
      <c r="BZ33" s="429"/>
      <c r="CA33" s="429"/>
      <c r="CB33" s="431"/>
      <c r="CC33" s="430"/>
      <c r="CD33" s="429">
        <v>1705.1934990551567</v>
      </c>
      <c r="CE33" s="430"/>
      <c r="CF33" s="429"/>
      <c r="CG33" s="333"/>
      <c r="CH33" s="429"/>
      <c r="CI33" s="430">
        <v>120571.8532280318</v>
      </c>
      <c r="CJ33" s="430">
        <v>51673.6513834422</v>
      </c>
      <c r="CK33" s="430">
        <v>18053.817891780003</v>
      </c>
      <c r="CL33" s="429"/>
      <c r="CM33" s="429">
        <v>9029.77548253848</v>
      </c>
      <c r="CN33" s="429">
        <v>159433.77333406618</v>
      </c>
      <c r="CO33" s="428">
        <v>0</v>
      </c>
      <c r="CP33" s="428">
        <v>0</v>
      </c>
      <c r="CQ33" s="420">
        <f t="shared" si="0"/>
        <v>375857.26774494082</v>
      </c>
      <c r="CR33" s="420">
        <f t="shared" si="1"/>
        <v>379035.53467258508</v>
      </c>
      <c r="CT33" s="420">
        <f t="shared" si="2"/>
        <v>2952.1574332647574</v>
      </c>
      <c r="CU33" s="420">
        <f t="shared" si="3"/>
        <v>0</v>
      </c>
      <c r="CV33" s="420">
        <f t="shared" si="4"/>
        <v>371219.18938255304</v>
      </c>
      <c r="CW33" s="420">
        <f t="shared" si="5"/>
        <v>1685.9209291230011</v>
      </c>
      <c r="CX33" s="427"/>
      <c r="CY33" s="420">
        <f t="shared" si="6"/>
        <v>18567.469853671319</v>
      </c>
      <c r="CZ33" s="420">
        <f t="shared" si="7"/>
        <v>0</v>
      </c>
      <c r="DA33" s="420">
        <f t="shared" si="8"/>
        <v>358762.87131985865</v>
      </c>
      <c r="DB33" s="420">
        <f t="shared" si="9"/>
        <v>1705.1934990551567</v>
      </c>
    </row>
    <row r="34" spans="1:106">
      <c r="A34" s="434" t="s">
        <v>808</v>
      </c>
      <c r="B34" s="428">
        <v>3720215.6434160005</v>
      </c>
      <c r="C34" s="428">
        <v>1733417.0691999998</v>
      </c>
      <c r="D34" s="428">
        <v>0</v>
      </c>
      <c r="E34" s="428">
        <v>117185.59656723496</v>
      </c>
      <c r="F34" s="428">
        <v>5067.4852569615141</v>
      </c>
      <c r="G34" s="428">
        <v>82346.635425624525</v>
      </c>
      <c r="H34" s="428">
        <v>35749.905392253866</v>
      </c>
      <c r="I34" s="428">
        <v>1545.9418548001679</v>
      </c>
      <c r="J34" s="428">
        <v>25121.555140502714</v>
      </c>
      <c r="K34" s="429">
        <v>371991.7743252879</v>
      </c>
      <c r="L34" s="429">
        <v>82664.838738952851</v>
      </c>
      <c r="M34" s="429">
        <v>39314.741222848301</v>
      </c>
      <c r="N34" s="429">
        <v>5739359.7508774316</v>
      </c>
      <c r="O34" s="429">
        <v>8262370.6378235882</v>
      </c>
      <c r="P34" s="429">
        <v>336548.57979720668</v>
      </c>
      <c r="Q34" s="429">
        <v>306970.85608853085</v>
      </c>
      <c r="R34" s="429">
        <v>195763.55774686404</v>
      </c>
      <c r="S34" s="429">
        <v>6127234.6264411807</v>
      </c>
      <c r="T34" s="429">
        <v>1732372.3964653148</v>
      </c>
      <c r="U34" s="428">
        <v>404176.08896593173</v>
      </c>
      <c r="V34" s="428">
        <v>64806.224560010822</v>
      </c>
      <c r="W34" s="428">
        <v>241576.05892331453</v>
      </c>
      <c r="X34" s="428">
        <v>1468390.0271897141</v>
      </c>
      <c r="Y34" s="428">
        <v>107762.37708108732</v>
      </c>
      <c r="Z34" s="428">
        <v>661874.05837015796</v>
      </c>
      <c r="AA34" s="429"/>
      <c r="AB34" s="429"/>
      <c r="AC34" s="429">
        <v>1110.0319653952968</v>
      </c>
      <c r="AD34" s="429"/>
      <c r="AE34" s="429"/>
      <c r="AF34" s="429">
        <v>694.30376507563994</v>
      </c>
      <c r="AG34" s="429"/>
      <c r="AH34" s="429">
        <v>67015.59752093858</v>
      </c>
      <c r="AI34" s="429">
        <v>13827.054011337254</v>
      </c>
      <c r="AJ34" s="429">
        <v>181.85004700949111</v>
      </c>
      <c r="AK34" s="429">
        <v>46313.086618989626</v>
      </c>
      <c r="AL34" s="333"/>
      <c r="AM34" s="429">
        <v>126555.55471046218</v>
      </c>
      <c r="AN34" s="430">
        <v>767745.43033433217</v>
      </c>
      <c r="AO34" s="430">
        <v>511830.28688955493</v>
      </c>
      <c r="AP34" s="430">
        <v>111715.02783246002</v>
      </c>
      <c r="AQ34" s="429">
        <v>89819.217283486476</v>
      </c>
      <c r="AR34" s="429">
        <v>57416.078698613244</v>
      </c>
      <c r="AS34" s="429">
        <v>289524.67222108896</v>
      </c>
      <c r="AT34" s="428">
        <v>271312.61795737478</v>
      </c>
      <c r="AU34" s="428">
        <v>1324652.8788506866</v>
      </c>
      <c r="AV34" s="433"/>
      <c r="AW34" s="428">
        <v>2091400.6754286671</v>
      </c>
      <c r="AX34" s="428">
        <v>1586864.4732000001</v>
      </c>
      <c r="AY34" s="428">
        <v>0</v>
      </c>
      <c r="AZ34" s="428">
        <v>1126216.5788761366</v>
      </c>
      <c r="BA34" s="428">
        <v>48701.257464914037</v>
      </c>
      <c r="BB34" s="428">
        <v>791395.43380485242</v>
      </c>
      <c r="BC34" s="428">
        <v>466745.40098078648</v>
      </c>
      <c r="BD34" s="428">
        <v>20183.584907277254</v>
      </c>
      <c r="BE34" s="428">
        <v>327983.25474325509</v>
      </c>
      <c r="BF34" s="429">
        <v>759171.96313947882</v>
      </c>
      <c r="BG34" s="429">
        <v>168704.88069766198</v>
      </c>
      <c r="BH34" s="429">
        <v>83468.186775910275</v>
      </c>
      <c r="BI34" s="429">
        <v>5184607.9023422543</v>
      </c>
      <c r="BJ34" s="429">
        <v>7831342.1559360176</v>
      </c>
      <c r="BK34" s="429">
        <v>267278.58338210412</v>
      </c>
      <c r="BL34" s="429">
        <v>392391.35416756745</v>
      </c>
      <c r="BM34" s="429">
        <v>160614.30898129553</v>
      </c>
      <c r="BN34" s="429">
        <v>5273509.7105664723</v>
      </c>
      <c r="BO34" s="429">
        <v>1579921.0959292627</v>
      </c>
      <c r="BP34" s="428">
        <v>605141.89240950882</v>
      </c>
      <c r="BQ34" s="428">
        <v>97029.394961229729</v>
      </c>
      <c r="BR34" s="428">
        <v>285822.07335627289</v>
      </c>
      <c r="BS34" s="428">
        <v>2014890.6210401524</v>
      </c>
      <c r="BT34" s="428">
        <v>102773.37814214799</v>
      </c>
      <c r="BU34" s="428">
        <v>661874.05837015796</v>
      </c>
      <c r="BV34" s="431"/>
      <c r="BW34" s="432"/>
      <c r="BX34" s="432">
        <v>840.97918741609158</v>
      </c>
      <c r="BY34" s="429"/>
      <c r="BZ34" s="429"/>
      <c r="CA34" s="429">
        <v>873.78829994466764</v>
      </c>
      <c r="CB34" s="431"/>
      <c r="CC34" s="429">
        <v>62180.411276182931</v>
      </c>
      <c r="CD34" s="429">
        <v>11716.411330484993</v>
      </c>
      <c r="CE34" s="429">
        <v>147.0872344606891</v>
      </c>
      <c r="CF34" s="429">
        <v>40432.784800213311</v>
      </c>
      <c r="CG34" s="333"/>
      <c r="CH34" s="429">
        <v>109727.74531268225</v>
      </c>
      <c r="CI34" s="430">
        <v>675115.43375888374</v>
      </c>
      <c r="CJ34" s="430">
        <v>289335.18589666451</v>
      </c>
      <c r="CK34" s="430">
        <v>96939.607134480029</v>
      </c>
      <c r="CL34" s="429">
        <v>186254.32473939235</v>
      </c>
      <c r="CM34" s="429">
        <v>48485.195377338343</v>
      </c>
      <c r="CN34" s="429">
        <v>251027.2233241389</v>
      </c>
      <c r="CO34" s="428">
        <v>362206.3694422539</v>
      </c>
      <c r="CP34" s="428">
        <v>1823978.2928520278</v>
      </c>
      <c r="CQ34" s="420">
        <f t="shared" si="0"/>
        <v>35543540.115577608</v>
      </c>
      <c r="CR34" s="420">
        <f t="shared" si="1"/>
        <v>35887293.059569955</v>
      </c>
      <c r="CT34" s="420">
        <f t="shared" si="2"/>
        <v>23657372.436911449</v>
      </c>
      <c r="CU34" s="420">
        <f t="shared" si="3"/>
        <v>8402217.5477062166</v>
      </c>
      <c r="CV34" s="420">
        <f t="shared" si="4"/>
        <v>3424016.2100675972</v>
      </c>
      <c r="CW34" s="420">
        <f t="shared" si="5"/>
        <v>255697.47863920807</v>
      </c>
      <c r="CX34" s="427"/>
      <c r="CY34" s="420">
        <f t="shared" si="6"/>
        <v>24482235.652695246</v>
      </c>
      <c r="CZ34" s="420">
        <f t="shared" si="7"/>
        <v>7445796.5669081369</v>
      </c>
      <c r="DA34" s="420">
        <f t="shared" si="8"/>
        <v>3733341.6325251795</v>
      </c>
      <c r="DB34" s="420">
        <f t="shared" si="9"/>
        <v>225919.20744138493</v>
      </c>
    </row>
    <row r="35" spans="1:106">
      <c r="A35" s="434" t="s">
        <v>807</v>
      </c>
      <c r="B35" s="428">
        <v>4109205.6625339999</v>
      </c>
      <c r="C35" s="428">
        <v>2254773.0001000003</v>
      </c>
      <c r="D35" s="428">
        <v>0</v>
      </c>
      <c r="E35" s="428">
        <v>38409.277260335162</v>
      </c>
      <c r="F35" s="428">
        <v>1465.5443972646606</v>
      </c>
      <c r="G35" s="428">
        <v>17464.653661639517</v>
      </c>
      <c r="H35" s="428">
        <v>30598.446780716949</v>
      </c>
      <c r="I35" s="428">
        <v>1235.5174288879655</v>
      </c>
      <c r="J35" s="428">
        <v>9519.1698143310241</v>
      </c>
      <c r="K35" s="429">
        <v>0</v>
      </c>
      <c r="L35" s="429">
        <v>0</v>
      </c>
      <c r="M35" s="429">
        <v>1198.9200137211565</v>
      </c>
      <c r="N35" s="429">
        <v>48072.750779049697</v>
      </c>
      <c r="O35" s="429">
        <v>284318.9180983972</v>
      </c>
      <c r="P35" s="429">
        <v>467.70572141278456</v>
      </c>
      <c r="Q35" s="429">
        <v>571402.75292948773</v>
      </c>
      <c r="R35" s="429">
        <v>5790.837392797509</v>
      </c>
      <c r="S35" s="429">
        <v>727749.08139493759</v>
      </c>
      <c r="T35" s="429">
        <v>217943.93961491645</v>
      </c>
      <c r="U35" s="428">
        <v>36748.19170747172</v>
      </c>
      <c r="V35" s="428">
        <v>6807.4915415843316</v>
      </c>
      <c r="W35" s="428">
        <v>31770.765198431109</v>
      </c>
      <c r="X35" s="428">
        <v>190616.43513106008</v>
      </c>
      <c r="Y35" s="428">
        <v>259611.44194944002</v>
      </c>
      <c r="Z35" s="428">
        <v>1802857.2357600001</v>
      </c>
      <c r="AA35" s="429">
        <v>10.304359132396316</v>
      </c>
      <c r="AB35" s="429">
        <v>0.60581588296080502</v>
      </c>
      <c r="AC35" s="429">
        <v>113.20456694309435</v>
      </c>
      <c r="AD35" s="429">
        <v>19869.795957618342</v>
      </c>
      <c r="AE35" s="429">
        <v>30.686785122461828</v>
      </c>
      <c r="AF35" s="429">
        <v>0.5323969439932591</v>
      </c>
      <c r="AG35" s="429">
        <v>54.311663790453402</v>
      </c>
      <c r="AH35" s="429">
        <v>9795.2180120780431</v>
      </c>
      <c r="AI35" s="429">
        <v>1354.0864712484863</v>
      </c>
      <c r="AJ35" s="429">
        <v>773.6677349955778</v>
      </c>
      <c r="AK35" s="429">
        <v>8463.6052372450285</v>
      </c>
      <c r="AL35" s="333"/>
      <c r="AM35" s="429">
        <v>23806.160819331901</v>
      </c>
      <c r="AN35" s="430">
        <v>50732.177760000006</v>
      </c>
      <c r="AO35" s="430">
        <v>32937.496084117462</v>
      </c>
      <c r="AP35" s="430">
        <v>28996.32209994</v>
      </c>
      <c r="AQ35" s="429">
        <v>27288.347879553778</v>
      </c>
      <c r="AR35" s="429">
        <v>14902.696118531978</v>
      </c>
      <c r="AS35" s="429">
        <v>486999.4609129586</v>
      </c>
      <c r="AT35" s="428">
        <v>44767.493869124053</v>
      </c>
      <c r="AU35" s="428">
        <v>195785.24231022623</v>
      </c>
      <c r="AV35" s="433"/>
      <c r="AW35" s="428">
        <v>3689077.4042017781</v>
      </c>
      <c r="AX35" s="428">
        <v>2047168.4905444444</v>
      </c>
      <c r="AY35" s="428">
        <v>0</v>
      </c>
      <c r="AZ35" s="428">
        <v>135332.2878599003</v>
      </c>
      <c r="BA35" s="428">
        <v>5213.6250262636167</v>
      </c>
      <c r="BB35" s="428">
        <v>59819.013573996825</v>
      </c>
      <c r="BC35" s="428">
        <v>441500.69260115811</v>
      </c>
      <c r="BD35" s="428">
        <v>18062.922554580891</v>
      </c>
      <c r="BE35" s="428">
        <v>158804.81460141696</v>
      </c>
      <c r="BF35" s="429">
        <v>0</v>
      </c>
      <c r="BG35" s="429">
        <v>0</v>
      </c>
      <c r="BH35" s="429">
        <v>2525.9523798142218</v>
      </c>
      <c r="BI35" s="429">
        <v>94065.438661877182</v>
      </c>
      <c r="BJ35" s="429">
        <v>50669.06802067034</v>
      </c>
      <c r="BK35" s="429">
        <v>1.4594159856878925</v>
      </c>
      <c r="BL35" s="429">
        <v>571129.72491172026</v>
      </c>
      <c r="BM35" s="429">
        <v>3865.6897142093808</v>
      </c>
      <c r="BN35" s="429">
        <v>769778.45687552704</v>
      </c>
      <c r="BO35" s="429">
        <v>215574.99118143014</v>
      </c>
      <c r="BP35" s="428">
        <v>28621.173380930319</v>
      </c>
      <c r="BQ35" s="428">
        <v>5301.985938570333</v>
      </c>
      <c r="BR35" s="428">
        <v>28328.141796865009</v>
      </c>
      <c r="BS35" s="428">
        <v>159686.39714267282</v>
      </c>
      <c r="BT35" s="428">
        <v>247592.39371103994</v>
      </c>
      <c r="BU35" s="428">
        <v>1802857.2357600001</v>
      </c>
      <c r="BV35" s="431">
        <v>2.3645635256817941</v>
      </c>
      <c r="BW35" s="432">
        <v>0.56716167103311599</v>
      </c>
      <c r="BX35" s="432">
        <v>93.927674419620317</v>
      </c>
      <c r="BY35" s="429">
        <v>3488.0053874042806</v>
      </c>
      <c r="BZ35" s="429">
        <v>36.992472645194539</v>
      </c>
      <c r="CA35" s="429">
        <v>2.7703237679545969E-3</v>
      </c>
      <c r="CB35" s="431">
        <v>65.834681177583661</v>
      </c>
      <c r="CC35" s="429">
        <v>9907.1918424501982</v>
      </c>
      <c r="CD35" s="429">
        <v>1165.527298036817</v>
      </c>
      <c r="CE35" s="429">
        <v>635.66331725816895</v>
      </c>
      <c r="CF35" s="429">
        <v>7505.7902943659119</v>
      </c>
      <c r="CG35" s="333"/>
      <c r="CH35" s="429">
        <v>20854.538303012727</v>
      </c>
      <c r="CI35" s="430">
        <v>44602.1809667903</v>
      </c>
      <c r="CJ35" s="430">
        <v>19115.220414338703</v>
      </c>
      <c r="CK35" s="430">
        <v>25421.931571080007</v>
      </c>
      <c r="CL35" s="429">
        <v>44539.357850328946</v>
      </c>
      <c r="CM35" s="429">
        <v>12715.002211461679</v>
      </c>
      <c r="CN35" s="429">
        <v>426618.51225118589</v>
      </c>
      <c r="CO35" s="428">
        <v>52275.088890905696</v>
      </c>
      <c r="CP35" s="428">
        <v>237028.2643129997</v>
      </c>
      <c r="CQ35" s="420">
        <f t="shared" si="0"/>
        <v>11594709.156064665</v>
      </c>
      <c r="CR35" s="420">
        <f t="shared" si="1"/>
        <v>11441049.324090229</v>
      </c>
      <c r="CT35" s="420">
        <f t="shared" si="2"/>
        <v>1961428.3526806927</v>
      </c>
      <c r="CU35" s="420">
        <f t="shared" si="3"/>
        <v>8692390.2239219863</v>
      </c>
      <c r="CV35" s="420">
        <f t="shared" si="4"/>
        <v>882409.23703445215</v>
      </c>
      <c r="CW35" s="420">
        <f t="shared" si="5"/>
        <v>64272.179820332734</v>
      </c>
      <c r="CX35" s="427"/>
      <c r="CY35" s="420">
        <f t="shared" si="6"/>
        <v>2526344.1373785506</v>
      </c>
      <c r="CZ35" s="420">
        <f t="shared" si="7"/>
        <v>8008633.2224762999</v>
      </c>
      <c r="DA35" s="420">
        <f t="shared" si="8"/>
        <v>862315.55846909096</v>
      </c>
      <c r="DB35" s="420">
        <f t="shared" si="9"/>
        <v>43756.405766290984</v>
      </c>
    </row>
    <row r="36" spans="1:106">
      <c r="A36" s="434" t="s">
        <v>806</v>
      </c>
      <c r="B36" s="428">
        <v>1672589.1595400001</v>
      </c>
      <c r="C36" s="428">
        <v>1805169.3952000004</v>
      </c>
      <c r="D36" s="428">
        <v>0</v>
      </c>
      <c r="E36" s="428">
        <v>108086.87333705738</v>
      </c>
      <c r="F36" s="428">
        <v>4674.0269551159954</v>
      </c>
      <c r="G36" s="428">
        <v>75952.938020634901</v>
      </c>
      <c r="H36" s="428">
        <v>35940.229160514216</v>
      </c>
      <c r="I36" s="428">
        <v>1554.172071806021</v>
      </c>
      <c r="J36" s="428">
        <v>25255.296166847824</v>
      </c>
      <c r="K36" s="429">
        <v>45355.584707825474</v>
      </c>
      <c r="L36" s="429">
        <v>10079.018823961213</v>
      </c>
      <c r="M36" s="429">
        <v>11350.464171260723</v>
      </c>
      <c r="N36" s="429">
        <v>2959947.0936937118</v>
      </c>
      <c r="O36" s="429">
        <v>13038763.773173084</v>
      </c>
      <c r="P36" s="429">
        <v>48883.465309675572</v>
      </c>
      <c r="Q36" s="429">
        <v>132885.38549096099</v>
      </c>
      <c r="R36" s="429">
        <v>117247.24481592611</v>
      </c>
      <c r="S36" s="429">
        <v>2475534.9640736869</v>
      </c>
      <c r="T36" s="429">
        <v>468849.84185471799</v>
      </c>
      <c r="U36" s="428">
        <v>297035.16865370935</v>
      </c>
      <c r="V36" s="428">
        <v>177697.68532428029</v>
      </c>
      <c r="W36" s="428">
        <v>269674.4836237444</v>
      </c>
      <c r="X36" s="428">
        <v>682589.42544601462</v>
      </c>
      <c r="Y36" s="428">
        <v>0</v>
      </c>
      <c r="Z36" s="428">
        <v>0</v>
      </c>
      <c r="AA36" s="429">
        <v>3.5589864620387957</v>
      </c>
      <c r="AB36" s="429"/>
      <c r="AC36" s="429">
        <v>315.57781071787269</v>
      </c>
      <c r="AD36" s="429">
        <v>1127771.1259795132</v>
      </c>
      <c r="AE36" s="429"/>
      <c r="AF36" s="429">
        <v>63.068485739060144</v>
      </c>
      <c r="AG36" s="429"/>
      <c r="AH36" s="429">
        <v>92446.110532541468</v>
      </c>
      <c r="AI36" s="429">
        <v>1453.1916016535686</v>
      </c>
      <c r="AJ36" s="429">
        <v>313.40609721703277</v>
      </c>
      <c r="AK36" s="429">
        <v>37598.282486844175</v>
      </c>
      <c r="AL36" s="333"/>
      <c r="AM36" s="429">
        <v>20943.713977831863</v>
      </c>
      <c r="AN36" s="430">
        <v>202133.97798000003</v>
      </c>
      <c r="AO36" s="430">
        <v>24921.753792093805</v>
      </c>
      <c r="AP36" s="430">
        <v>48644.654021340008</v>
      </c>
      <c r="AQ36" s="429">
        <v>48747.794019901492</v>
      </c>
      <c r="AR36" s="429">
        <v>25000.980957948967</v>
      </c>
      <c r="AS36" s="429">
        <v>92629.886421341827</v>
      </c>
      <c r="AT36" s="428">
        <v>128715.65450371492</v>
      </c>
      <c r="AU36" s="428">
        <v>571161.6586961617</v>
      </c>
      <c r="AV36" s="433"/>
      <c r="AW36" s="428">
        <v>191256.98840877783</v>
      </c>
      <c r="AX36" s="428">
        <v>1649291.0136444448</v>
      </c>
      <c r="AY36" s="428">
        <v>0</v>
      </c>
      <c r="AZ36" s="428">
        <v>776204.69039368606</v>
      </c>
      <c r="BA36" s="428">
        <v>33565.608233240484</v>
      </c>
      <c r="BB36" s="428">
        <v>545441.13379015739</v>
      </c>
      <c r="BC36" s="428">
        <v>512653.61059083464</v>
      </c>
      <c r="BD36" s="428">
        <v>22168.804782306368</v>
      </c>
      <c r="BE36" s="428">
        <v>360243.07771247817</v>
      </c>
      <c r="BF36" s="429">
        <v>79746.344658595102</v>
      </c>
      <c r="BG36" s="429">
        <v>17721.409924132244</v>
      </c>
      <c r="BH36" s="429">
        <v>24097.710973033907</v>
      </c>
      <c r="BI36" s="429">
        <v>2613655.1163447844</v>
      </c>
      <c r="BJ36" s="429">
        <v>10780524.753371596</v>
      </c>
      <c r="BK36" s="429">
        <v>41889.067068209297</v>
      </c>
      <c r="BL36" s="429">
        <v>110465.85422838613</v>
      </c>
      <c r="BM36" s="429">
        <v>102350.7242205927</v>
      </c>
      <c r="BN36" s="429">
        <v>2301786.7236384056</v>
      </c>
      <c r="BO36" s="429">
        <v>526172.33162664319</v>
      </c>
      <c r="BP36" s="428">
        <v>417852.34618807712</v>
      </c>
      <c r="BQ36" s="428">
        <v>249975.0957486963</v>
      </c>
      <c r="BR36" s="428">
        <v>412311.64016651578</v>
      </c>
      <c r="BS36" s="428">
        <v>1005887.7090136532</v>
      </c>
      <c r="BT36" s="428">
        <v>0</v>
      </c>
      <c r="BU36" s="428">
        <v>0</v>
      </c>
      <c r="BV36" s="431">
        <v>1.5676029312547772</v>
      </c>
      <c r="BW36" s="432"/>
      <c r="BX36" s="432">
        <v>277.82828659324502</v>
      </c>
      <c r="BY36" s="429">
        <v>1027744.6118920706</v>
      </c>
      <c r="BZ36" s="429"/>
      <c r="CA36" s="429">
        <v>83.950368282365062</v>
      </c>
      <c r="CB36" s="431"/>
      <c r="CC36" s="429">
        <v>78334.593617312668</v>
      </c>
      <c r="CD36" s="429">
        <v>1168.9866987447506</v>
      </c>
      <c r="CE36" s="429">
        <v>240.65270380919861</v>
      </c>
      <c r="CF36" s="429">
        <v>31161.594651464049</v>
      </c>
      <c r="CG36" s="333"/>
      <c r="CH36" s="429">
        <v>17235.093147993008</v>
      </c>
      <c r="CI36" s="430">
        <v>144603.23958000002</v>
      </c>
      <c r="CJ36" s="430">
        <v>17828.602446583649</v>
      </c>
      <c r="CK36" s="430">
        <v>40063.55369346001</v>
      </c>
      <c r="CL36" s="429">
        <v>98048.962200782684</v>
      </c>
      <c r="CM36" s="429">
        <v>20038.138030033115</v>
      </c>
      <c r="CN36" s="429">
        <v>76227.393214482334</v>
      </c>
      <c r="CO36" s="428">
        <v>166002.64787433448</v>
      </c>
      <c r="CP36" s="428">
        <v>775997.99890099873</v>
      </c>
      <c r="CQ36" s="420">
        <f t="shared" si="0"/>
        <v>26887980.085965563</v>
      </c>
      <c r="CR36" s="420">
        <f t="shared" si="1"/>
        <v>25270321.169637114</v>
      </c>
      <c r="CT36" s="420">
        <f t="shared" si="2"/>
        <v>19677607.616642717</v>
      </c>
      <c r="CU36" s="420">
        <f t="shared" si="3"/>
        <v>4904755.3177877488</v>
      </c>
      <c r="CV36" s="420">
        <f t="shared" si="4"/>
        <v>1141956.3603925025</v>
      </c>
      <c r="CW36" s="420">
        <f t="shared" si="5"/>
        <v>1280908.0359585204</v>
      </c>
      <c r="CX36" s="427"/>
      <c r="CY36" s="420">
        <f t="shared" si="6"/>
        <v>18848686.961557083</v>
      </c>
      <c r="CZ36" s="420">
        <f t="shared" si="7"/>
        <v>3926574.7931701653</v>
      </c>
      <c r="DA36" s="420">
        <f t="shared" si="8"/>
        <v>1338810.5359406751</v>
      </c>
      <c r="DB36" s="420">
        <f t="shared" si="9"/>
        <v>1156248.8789692014</v>
      </c>
    </row>
    <row r="37" spans="1:106">
      <c r="A37" s="434" t="s">
        <v>805</v>
      </c>
      <c r="B37" s="428">
        <v>11148609.415992003</v>
      </c>
      <c r="C37" s="428">
        <v>4330274.2754999995</v>
      </c>
      <c r="D37" s="428">
        <v>3098897.4855999998</v>
      </c>
      <c r="E37" s="428">
        <v>7279.4609320486588</v>
      </c>
      <c r="F37" s="428">
        <v>161.57120770406249</v>
      </c>
      <c r="G37" s="428">
        <v>2423.5681155609382</v>
      </c>
      <c r="H37" s="428">
        <v>4571.8127027401806</v>
      </c>
      <c r="I37" s="428">
        <v>158.16724203965236</v>
      </c>
      <c r="J37" s="428">
        <v>2434.6861972553284</v>
      </c>
      <c r="K37" s="429">
        <v>29553.602287216894</v>
      </c>
      <c r="L37" s="429">
        <v>6567.4671749370855</v>
      </c>
      <c r="M37" s="429">
        <v>1560.2219649885992</v>
      </c>
      <c r="N37" s="429">
        <v>1087311.9495053985</v>
      </c>
      <c r="O37" s="429">
        <v>498845.42293893907</v>
      </c>
      <c r="P37" s="429">
        <v>48397.165171580884</v>
      </c>
      <c r="Q37" s="429">
        <v>4581.9998421731216</v>
      </c>
      <c r="R37" s="429">
        <v>30964.262566700145</v>
      </c>
      <c r="S37" s="429">
        <v>1190919.542909595</v>
      </c>
      <c r="T37" s="429">
        <v>255345.73314239594</v>
      </c>
      <c r="U37" s="428">
        <v>1319043.551105005</v>
      </c>
      <c r="V37" s="428">
        <v>8950.2019038159942</v>
      </c>
      <c r="W37" s="428">
        <v>35307.115739221343</v>
      </c>
      <c r="X37" s="428">
        <v>268812.02200254588</v>
      </c>
      <c r="Y37" s="428">
        <v>1426203.9266995005</v>
      </c>
      <c r="Z37" s="428">
        <v>5875316.7351776306</v>
      </c>
      <c r="AA37" s="429"/>
      <c r="AB37" s="429"/>
      <c r="AC37" s="429">
        <v>182.17761853543979</v>
      </c>
      <c r="AD37" s="429"/>
      <c r="AE37" s="429"/>
      <c r="AF37" s="429">
        <v>107.83424428930499</v>
      </c>
      <c r="AG37" s="429"/>
      <c r="AH37" s="429">
        <v>18777.680415630661</v>
      </c>
      <c r="AI37" s="429">
        <v>1434.3156786966788</v>
      </c>
      <c r="AJ37" s="430"/>
      <c r="AK37" s="429">
        <v>10626.596343420359</v>
      </c>
      <c r="AL37" s="333"/>
      <c r="AM37" s="429">
        <v>16697.84199231923</v>
      </c>
      <c r="AN37" s="430">
        <v>454172.43036000011</v>
      </c>
      <c r="AO37" s="430">
        <v>57568.540588143725</v>
      </c>
      <c r="AP37" s="430">
        <v>33494.883768059997</v>
      </c>
      <c r="AQ37" s="429">
        <v>7969.5594546670172</v>
      </c>
      <c r="AR37" s="429">
        <v>17214.737531211947</v>
      </c>
      <c r="AS37" s="429">
        <v>246754.26913751196</v>
      </c>
      <c r="AT37" s="428">
        <v>60718.523310718498</v>
      </c>
      <c r="AU37" s="428">
        <v>321682.85207168217</v>
      </c>
      <c r="AV37" s="433"/>
      <c r="AW37" s="428">
        <v>11522036.786939779</v>
      </c>
      <c r="AX37" s="428">
        <v>4830353.4767222228</v>
      </c>
      <c r="AY37" s="428">
        <v>3432420.0597111112</v>
      </c>
      <c r="AZ37" s="428">
        <v>39753.821254171162</v>
      </c>
      <c r="BA37" s="428">
        <v>1316.4177413604762</v>
      </c>
      <c r="BB37" s="428">
        <v>19998.003435863116</v>
      </c>
      <c r="BC37" s="428">
        <v>62579.527099969433</v>
      </c>
      <c r="BD37" s="428">
        <v>2161.5978342848202</v>
      </c>
      <c r="BE37" s="428">
        <v>33242.754572713464</v>
      </c>
      <c r="BF37" s="429">
        <v>70408.647701844719</v>
      </c>
      <c r="BG37" s="429">
        <v>15646.366155965492</v>
      </c>
      <c r="BH37" s="429">
        <v>3472.7178506810683</v>
      </c>
      <c r="BI37" s="429">
        <v>1285934.0548997419</v>
      </c>
      <c r="BJ37" s="429">
        <v>50896.226595721302</v>
      </c>
      <c r="BK37" s="429">
        <v>40704.504684397762</v>
      </c>
      <c r="BL37" s="429">
        <v>4915.8224007453719</v>
      </c>
      <c r="BM37" s="429">
        <v>31575.745855357523</v>
      </c>
      <c r="BN37" s="429">
        <v>1254828.1452849235</v>
      </c>
      <c r="BO37" s="429">
        <v>263536.54742542055</v>
      </c>
      <c r="BP37" s="428">
        <v>1295100.1142214816</v>
      </c>
      <c r="BQ37" s="428">
        <v>8787.7367644357964</v>
      </c>
      <c r="BR37" s="428">
        <v>53652.826781893964</v>
      </c>
      <c r="BS37" s="428">
        <v>358797.53308634134</v>
      </c>
      <c r="BT37" s="428">
        <v>1774396.3127434892</v>
      </c>
      <c r="BU37" s="428">
        <v>5875316.7351776306</v>
      </c>
      <c r="BV37" s="431"/>
      <c r="BW37" s="432"/>
      <c r="BX37" s="432">
        <v>201.56333400718378</v>
      </c>
      <c r="BY37" s="429"/>
      <c r="BZ37" s="429"/>
      <c r="CA37" s="429">
        <v>137.99496443685422</v>
      </c>
      <c r="CB37" s="431"/>
      <c r="CC37" s="429">
        <v>16162.851917462674</v>
      </c>
      <c r="CD37" s="429">
        <v>1455.4324176059788</v>
      </c>
      <c r="CE37" s="430"/>
      <c r="CF37" s="429">
        <v>11109.805591132957</v>
      </c>
      <c r="CG37" s="333"/>
      <c r="CH37" s="429">
        <v>17351.075915788326</v>
      </c>
      <c r="CI37" s="430">
        <v>410266.06272000005</v>
      </c>
      <c r="CJ37" s="430">
        <v>52003.197254648607</v>
      </c>
      <c r="CK37" s="430">
        <v>34833.647407680008</v>
      </c>
      <c r="CL37" s="429">
        <v>10759.173454894775</v>
      </c>
      <c r="CM37" s="429">
        <v>17422.354496689077</v>
      </c>
      <c r="CN37" s="429">
        <v>256407.50812705269</v>
      </c>
      <c r="CO37" s="428">
        <v>65917.049982583703</v>
      </c>
      <c r="CP37" s="428">
        <v>350240.99210024031</v>
      </c>
      <c r="CQ37" s="420">
        <f t="shared" si="0"/>
        <v>31929893.606135894</v>
      </c>
      <c r="CR37" s="420">
        <f t="shared" si="1"/>
        <v>33576101.192625768</v>
      </c>
      <c r="CT37" s="420">
        <f t="shared" si="2"/>
        <v>3202040.8964679739</v>
      </c>
      <c r="CU37" s="420">
        <f t="shared" si="3"/>
        <v>27511414.729719721</v>
      </c>
      <c r="CV37" s="420">
        <f t="shared" si="4"/>
        <v>1199575.7962219955</v>
      </c>
      <c r="CW37" s="420">
        <f t="shared" si="5"/>
        <v>47826.446292891676</v>
      </c>
      <c r="CX37" s="427"/>
      <c r="CY37" s="420">
        <f t="shared" si="6"/>
        <v>3180970.9007931617</v>
      </c>
      <c r="CZ37" s="420">
        <f t="shared" si="7"/>
        <v>29150861.582148381</v>
      </c>
      <c r="DA37" s="420">
        <f t="shared" si="8"/>
        <v>1197849.9855437893</v>
      </c>
      <c r="DB37" s="420">
        <f t="shared" si="9"/>
        <v>46418.724140433973</v>
      </c>
    </row>
    <row r="38" spans="1:106">
      <c r="A38" s="434" t="s">
        <v>804</v>
      </c>
      <c r="B38" s="428">
        <v>954729.64082400023</v>
      </c>
      <c r="C38" s="428">
        <v>350421.3933</v>
      </c>
      <c r="D38" s="428">
        <v>0</v>
      </c>
      <c r="E38" s="431">
        <v>6671.1143542443724</v>
      </c>
      <c r="F38" s="431">
        <v>288.48062072408106</v>
      </c>
      <c r="G38" s="431">
        <v>4687.8100867663152</v>
      </c>
      <c r="H38" s="431">
        <v>5695.5951846970665</v>
      </c>
      <c r="I38" s="431">
        <v>246.29600798690029</v>
      </c>
      <c r="J38" s="429">
        <v>4002.3101297871276</v>
      </c>
      <c r="K38" s="429"/>
      <c r="L38" s="429"/>
      <c r="M38" s="429"/>
      <c r="N38" s="429">
        <v>72883.894302908448</v>
      </c>
      <c r="O38" s="429">
        <v>145397.86179329315</v>
      </c>
      <c r="P38" s="429"/>
      <c r="Q38" s="429">
        <v>12107.773453116713</v>
      </c>
      <c r="R38" s="429">
        <v>2946.5628992980296</v>
      </c>
      <c r="S38" s="429">
        <v>592309.79503476969</v>
      </c>
      <c r="T38" s="429">
        <v>91936.405691066888</v>
      </c>
      <c r="U38" s="428">
        <v>63486.49314297067</v>
      </c>
      <c r="V38" s="428">
        <v>10944.434427848706</v>
      </c>
      <c r="W38" s="428">
        <v>40214.283735299156</v>
      </c>
      <c r="X38" s="428">
        <v>107668.48532985085</v>
      </c>
      <c r="Y38" s="428">
        <v>3727.8287907839981</v>
      </c>
      <c r="Z38" s="428">
        <v>1670.6679360000001</v>
      </c>
      <c r="AA38" s="429"/>
      <c r="AB38" s="429"/>
      <c r="AC38" s="429">
        <v>28.571978690486894</v>
      </c>
      <c r="AD38" s="429">
        <v>10009.461977736513</v>
      </c>
      <c r="AE38" s="429">
        <v>0.18233489141063375</v>
      </c>
      <c r="AF38" s="429"/>
      <c r="AG38" s="429">
        <v>0.33071351436400975</v>
      </c>
      <c r="AH38" s="429">
        <v>38527.086684505848</v>
      </c>
      <c r="AI38" s="429">
        <v>259.35469719574252</v>
      </c>
      <c r="AJ38" s="429">
        <v>39.737964814056511</v>
      </c>
      <c r="AK38" s="429">
        <v>2001.7408687631541</v>
      </c>
      <c r="AL38" s="333"/>
      <c r="AM38" s="429">
        <v>2567.5144435433649</v>
      </c>
      <c r="AN38" s="430">
        <v>36607.77208000001</v>
      </c>
      <c r="AO38" s="430">
        <v>20669.374324392051</v>
      </c>
      <c r="AP38" s="430">
        <v>6356.4825511200006</v>
      </c>
      <c r="AQ38" s="429">
        <v>2531.3416509410999</v>
      </c>
      <c r="AR38" s="429">
        <v>3266.9221812199521</v>
      </c>
      <c r="AS38" s="429">
        <v>17551.014879602772</v>
      </c>
      <c r="AT38" s="428">
        <v>9850.5618651494442</v>
      </c>
      <c r="AU38" s="428">
        <v>47863.202127136748</v>
      </c>
      <c r="AV38" s="433"/>
      <c r="AW38" s="428">
        <v>0</v>
      </c>
      <c r="AX38" s="428">
        <v>329945.0738555555</v>
      </c>
      <c r="AY38" s="428">
        <v>0</v>
      </c>
      <c r="AZ38" s="431">
        <v>31786.378327422983</v>
      </c>
      <c r="BA38" s="431">
        <v>1374.5460898345077</v>
      </c>
      <c r="BB38" s="431">
        <v>22336.373959810731</v>
      </c>
      <c r="BC38" s="431">
        <v>73804.071767792004</v>
      </c>
      <c r="BD38" s="431">
        <v>3191.5274277964118</v>
      </c>
      <c r="BE38" s="431">
        <v>51862.320701691642</v>
      </c>
      <c r="BF38" s="429"/>
      <c r="BG38" s="429"/>
      <c r="BH38" s="429"/>
      <c r="BI38" s="429">
        <v>99488.41644936509</v>
      </c>
      <c r="BJ38" s="429">
        <v>18488.224376683971</v>
      </c>
      <c r="BK38" s="429"/>
      <c r="BL38" s="429">
        <v>12753.87088252755</v>
      </c>
      <c r="BM38" s="429">
        <v>2276.6871953785635</v>
      </c>
      <c r="BN38" s="429">
        <v>505249.94270722562</v>
      </c>
      <c r="BO38" s="429">
        <v>80225.434277492619</v>
      </c>
      <c r="BP38" s="428">
        <v>95851.406188438094</v>
      </c>
      <c r="BQ38" s="428">
        <v>16523.820704413934</v>
      </c>
      <c r="BR38" s="428">
        <v>58563.210232298232</v>
      </c>
      <c r="BS38" s="428">
        <v>159798.90962817398</v>
      </c>
      <c r="BT38" s="428">
        <v>3555.2441245439986</v>
      </c>
      <c r="BU38" s="428">
        <v>1670.6679360000001</v>
      </c>
      <c r="BV38" s="431"/>
      <c r="BW38" s="432"/>
      <c r="BX38" s="432">
        <v>27.927468319522834</v>
      </c>
      <c r="BY38" s="429">
        <v>1495.3739014359844</v>
      </c>
      <c r="BZ38" s="429">
        <v>0.21986349084114407</v>
      </c>
      <c r="CA38" s="429"/>
      <c r="CB38" s="431">
        <v>0.398781753584731</v>
      </c>
      <c r="CC38" s="429">
        <v>30992.232424358601</v>
      </c>
      <c r="CD38" s="429">
        <v>230.68003721637902</v>
      </c>
      <c r="CE38" s="429">
        <v>33.737906449391353</v>
      </c>
      <c r="CF38" s="429">
        <v>1834.3775561661164</v>
      </c>
      <c r="CG38" s="333"/>
      <c r="CH38" s="429">
        <v>2344.7060952727588</v>
      </c>
      <c r="CI38" s="430">
        <v>31829.784109881155</v>
      </c>
      <c r="CJ38" s="430">
        <v>13641.336047091922</v>
      </c>
      <c r="CK38" s="430">
        <v>5809.6074676199996</v>
      </c>
      <c r="CL38" s="429">
        <v>2655.7043001669435</v>
      </c>
      <c r="CM38" s="429">
        <v>2905.7261676585658</v>
      </c>
      <c r="CN38" s="429">
        <v>16027.941603177373</v>
      </c>
      <c r="CO38" s="428">
        <v>12795.458945537885</v>
      </c>
      <c r="CP38" s="428">
        <v>64041.013360958968</v>
      </c>
      <c r="CQ38" s="420">
        <f t="shared" si="0"/>
        <v>2670167.7803686294</v>
      </c>
      <c r="CR38" s="420">
        <f t="shared" si="1"/>
        <v>1755412.3528690017</v>
      </c>
      <c r="CT38" s="420">
        <f t="shared" si="2"/>
        <v>942120.46245795686</v>
      </c>
      <c r="CU38" s="420">
        <f t="shared" si="3"/>
        <v>1532863.2274867536</v>
      </c>
      <c r="CV38" s="420">
        <f t="shared" si="4"/>
        <v>144696.6716595621</v>
      </c>
      <c r="CW38" s="420">
        <f t="shared" si="5"/>
        <v>53433.981663654937</v>
      </c>
      <c r="CX38" s="427"/>
      <c r="CY38" s="420">
        <f t="shared" si="6"/>
        <v>902837.79416302172</v>
      </c>
      <c r="CZ38" s="420">
        <f t="shared" si="7"/>
        <v>665908.33266942378</v>
      </c>
      <c r="DA38" s="420">
        <f t="shared" si="8"/>
        <v>149706.57200209281</v>
      </c>
      <c r="DB38" s="420">
        <f t="shared" si="9"/>
        <v>36959.654034463179</v>
      </c>
    </row>
    <row r="39" spans="1:106">
      <c r="A39" s="434" t="s">
        <v>803</v>
      </c>
      <c r="B39" s="428">
        <v>584663.04122699995</v>
      </c>
      <c r="C39" s="428">
        <v>605550.92790000001</v>
      </c>
      <c r="D39" s="428">
        <v>0</v>
      </c>
      <c r="E39" s="431">
        <v>22498.665211516571</v>
      </c>
      <c r="F39" s="431">
        <v>904.81876274598028</v>
      </c>
      <c r="G39" s="431">
        <v>15189.807254578267</v>
      </c>
      <c r="H39" s="431">
        <v>17126.015811921679</v>
      </c>
      <c r="I39" s="431">
        <v>676.02653297324548</v>
      </c>
      <c r="J39" s="429">
        <v>11446.652990106166</v>
      </c>
      <c r="K39" s="432">
        <v>39623.089757329763</v>
      </c>
      <c r="L39" s="432">
        <v>8805.1310571843896</v>
      </c>
      <c r="M39" s="432">
        <v>3224.8861461757824</v>
      </c>
      <c r="N39" s="429">
        <v>591204.93500701303</v>
      </c>
      <c r="O39" s="429">
        <v>1949008.0221480092</v>
      </c>
      <c r="P39" s="429">
        <v>28929.022323279201</v>
      </c>
      <c r="Q39" s="429">
        <v>10123.297154711014</v>
      </c>
      <c r="R39" s="429">
        <v>25428.219563824165</v>
      </c>
      <c r="S39" s="429">
        <v>338350.10903951922</v>
      </c>
      <c r="T39" s="429">
        <v>66431.34169189044</v>
      </c>
      <c r="U39" s="428">
        <v>69190.336925245065</v>
      </c>
      <c r="V39" s="428">
        <v>25738.293208503845</v>
      </c>
      <c r="W39" s="428">
        <v>12892.077969796857</v>
      </c>
      <c r="X39" s="428">
        <v>107772.86310507245</v>
      </c>
      <c r="Y39" s="428">
        <v>74713.113054719928</v>
      </c>
      <c r="Z39" s="428">
        <v>509660.83391999977</v>
      </c>
      <c r="AA39" s="429"/>
      <c r="AB39" s="429"/>
      <c r="AC39" s="429">
        <v>76.542576437061925</v>
      </c>
      <c r="AD39" s="429"/>
      <c r="AE39" s="429"/>
      <c r="AF39" s="429">
        <v>66.289077406221537</v>
      </c>
      <c r="AG39" s="429"/>
      <c r="AH39" s="429">
        <v>13144.164414554067</v>
      </c>
      <c r="AI39" s="429">
        <v>705.4058415713705</v>
      </c>
      <c r="AJ39" s="429">
        <v>51.645927404690553</v>
      </c>
      <c r="AK39" s="429">
        <v>5125.6728614048361</v>
      </c>
      <c r="AL39" s="333"/>
      <c r="AM39" s="429">
        <v>2135.1726332687422</v>
      </c>
      <c r="AN39" s="430">
        <v>203483.30200000003</v>
      </c>
      <c r="AO39" s="430">
        <v>14039.344536093093</v>
      </c>
      <c r="AP39" s="430">
        <v>16419.143808600002</v>
      </c>
      <c r="AQ39" s="429">
        <v>6294.6742674627912</v>
      </c>
      <c r="AR39" s="429">
        <v>8438.6395578957909</v>
      </c>
      <c r="AS39" s="429">
        <v>208208.11861835403</v>
      </c>
      <c r="AT39" s="428">
        <v>16928.921641928926</v>
      </c>
      <c r="AU39" s="428">
        <v>53055.265928055174</v>
      </c>
      <c r="AV39" s="433"/>
      <c r="AW39" s="428">
        <v>567194.91569666669</v>
      </c>
      <c r="AX39" s="428">
        <v>625832.2964555556</v>
      </c>
      <c r="AY39" s="428">
        <v>0</v>
      </c>
      <c r="AZ39" s="431">
        <v>110572.61685563052</v>
      </c>
      <c r="BA39" s="431">
        <v>4445.8573625413137</v>
      </c>
      <c r="BB39" s="431">
        <v>74643.249484229469</v>
      </c>
      <c r="BC39" s="431">
        <v>226526.05343504471</v>
      </c>
      <c r="BD39" s="431">
        <v>8941.6966648834641</v>
      </c>
      <c r="BE39" s="431">
        <v>151403.98613984691</v>
      </c>
      <c r="BF39" s="429">
        <v>83577.636049933557</v>
      </c>
      <c r="BG39" s="429">
        <v>18572.808011096342</v>
      </c>
      <c r="BH39" s="429">
        <v>6891.3593438486141</v>
      </c>
      <c r="BI39" s="429">
        <v>574426.52845599246</v>
      </c>
      <c r="BJ39" s="429">
        <v>1544887.9572200589</v>
      </c>
      <c r="BK39" s="429">
        <v>17310.089442823624</v>
      </c>
      <c r="BL39" s="429">
        <v>8904.5699990186022</v>
      </c>
      <c r="BM39" s="429">
        <v>21764.539514219425</v>
      </c>
      <c r="BN39" s="429">
        <v>306073.93700425368</v>
      </c>
      <c r="BO39" s="429">
        <v>58528.813554800559</v>
      </c>
      <c r="BP39" s="428">
        <v>68655.517624807035</v>
      </c>
      <c r="BQ39" s="428">
        <v>25539.344387324993</v>
      </c>
      <c r="BR39" s="428">
        <v>16957.991981099931</v>
      </c>
      <c r="BS39" s="428">
        <v>127289.47879690856</v>
      </c>
      <c r="BT39" s="428">
        <v>71254.172635519921</v>
      </c>
      <c r="BU39" s="428">
        <v>509660.83391999977</v>
      </c>
      <c r="BV39" s="431"/>
      <c r="BW39" s="432"/>
      <c r="BX39" s="432">
        <v>67.341823706795807</v>
      </c>
      <c r="BY39" s="429"/>
      <c r="BZ39" s="429"/>
      <c r="CA39" s="429">
        <v>66.039187334410713</v>
      </c>
      <c r="CB39" s="431"/>
      <c r="CC39" s="429">
        <v>13337.679616434352</v>
      </c>
      <c r="CD39" s="429">
        <v>616.88880329557583</v>
      </c>
      <c r="CE39" s="429">
        <v>43.112234247294374</v>
      </c>
      <c r="CF39" s="429">
        <v>4618.316555209396</v>
      </c>
      <c r="CG39" s="333"/>
      <c r="CH39" s="429">
        <v>1901.1622866006619</v>
      </c>
      <c r="CI39" s="430">
        <v>157504.77900000001</v>
      </c>
      <c r="CJ39" s="430">
        <v>10867.053152411492</v>
      </c>
      <c r="CK39" s="430">
        <v>14631.576303300002</v>
      </c>
      <c r="CL39" s="429">
        <v>11142.305614161207</v>
      </c>
      <c r="CM39" s="429">
        <v>7318.1113139833005</v>
      </c>
      <c r="CN39" s="429">
        <v>185388.95483842125</v>
      </c>
      <c r="CO39" s="428">
        <v>22594.389147594404</v>
      </c>
      <c r="CP39" s="428">
        <v>84178.548459178463</v>
      </c>
      <c r="CQ39" s="420">
        <f t="shared" si="0"/>
        <v>5667323.8314535525</v>
      </c>
      <c r="CR39" s="420">
        <f t="shared" si="1"/>
        <v>5744132.5083719827</v>
      </c>
      <c r="CT39" s="420">
        <f t="shared" si="2"/>
        <v>3154398.260016602</v>
      </c>
      <c r="CU39" s="420">
        <f t="shared" si="3"/>
        <v>1990181.4873103378</v>
      </c>
      <c r="CV39" s="420">
        <f t="shared" si="4"/>
        <v>526867.41035838984</v>
      </c>
      <c r="CW39" s="420">
        <f t="shared" si="5"/>
        <v>21304.893332046988</v>
      </c>
      <c r="CX39" s="427"/>
      <c r="CY39" s="420">
        <f t="shared" si="6"/>
        <v>3217471.6985382224</v>
      </c>
      <c r="CZ39" s="420">
        <f t="shared" si="7"/>
        <v>2012384.5514978822</v>
      </c>
      <c r="DA39" s="420">
        <f t="shared" si="8"/>
        <v>493625.71782905015</v>
      </c>
      <c r="DB39" s="420">
        <f t="shared" si="9"/>
        <v>20650.540506828485</v>
      </c>
    </row>
    <row r="40" spans="1:106" hidden="1">
      <c r="A40" s="434" t="s">
        <v>802</v>
      </c>
      <c r="B40" s="428">
        <v>2025718.3485100002</v>
      </c>
      <c r="C40" s="428">
        <v>2871116.6784000006</v>
      </c>
      <c r="D40" s="428">
        <v>0</v>
      </c>
      <c r="E40" s="435">
        <v>250294</v>
      </c>
      <c r="F40" s="435">
        <v>11753</v>
      </c>
      <c r="G40" s="435">
        <v>163264</v>
      </c>
      <c r="H40" s="431">
        <v>0</v>
      </c>
      <c r="I40" s="431">
        <v>0</v>
      </c>
      <c r="J40" s="431">
        <v>0</v>
      </c>
      <c r="K40" s="432">
        <v>571094.22102389135</v>
      </c>
      <c r="L40" s="432">
        <v>142773.55525597263</v>
      </c>
      <c r="M40" s="432">
        <v>0</v>
      </c>
      <c r="N40" s="429">
        <v>80221.659823281268</v>
      </c>
      <c r="O40" s="429">
        <v>164953.72733955045</v>
      </c>
      <c r="P40" s="429">
        <v>3541.8094540700886</v>
      </c>
      <c r="Q40" s="429">
        <v>216407.63833159825</v>
      </c>
      <c r="R40" s="429">
        <v>115819.97659823511</v>
      </c>
      <c r="S40" s="429">
        <v>13911754.852122078</v>
      </c>
      <c r="T40" s="429">
        <v>2597187.7311481037</v>
      </c>
      <c r="U40" s="428">
        <v>283802.64512498194</v>
      </c>
      <c r="V40" s="428">
        <v>176261.24901939215</v>
      </c>
      <c r="W40" s="428">
        <v>220857.30610229817</v>
      </c>
      <c r="X40" s="428">
        <v>625574.82558793901</v>
      </c>
      <c r="Y40" s="428">
        <v>4366.4559143062979</v>
      </c>
      <c r="Z40" s="428">
        <v>0</v>
      </c>
      <c r="AA40" s="429">
        <v>58.483592665305139</v>
      </c>
      <c r="AB40" s="429">
        <v>10.21244561680213</v>
      </c>
      <c r="AC40" s="429"/>
      <c r="AD40" s="429">
        <v>215582.4487768939</v>
      </c>
      <c r="AE40" s="429">
        <v>81.875821619263562</v>
      </c>
      <c r="AF40" s="429">
        <v>520.89803202238591</v>
      </c>
      <c r="AG40" s="429">
        <v>125.79537386921101</v>
      </c>
      <c r="AH40" s="429">
        <v>5590.6739787697697</v>
      </c>
      <c r="AI40" s="429"/>
      <c r="AJ40" s="430"/>
      <c r="AK40" s="429">
        <v>219440.58193753433</v>
      </c>
      <c r="AL40" s="333"/>
      <c r="AM40" s="429">
        <v>50780.077350523643</v>
      </c>
      <c r="AN40" s="430">
        <v>688650.18207167927</v>
      </c>
      <c r="AO40" s="430">
        <v>63080.061848491976</v>
      </c>
      <c r="AP40" s="430"/>
      <c r="AQ40" s="429">
        <v>397305.87898705807</v>
      </c>
      <c r="AR40" s="429">
        <v>141959.71187254589</v>
      </c>
      <c r="AS40" s="429">
        <v>196621.44927918375</v>
      </c>
      <c r="AT40" s="428">
        <v>428526.59849999932</v>
      </c>
      <c r="AU40" s="428">
        <v>1040629.1377499995</v>
      </c>
      <c r="AV40" s="433"/>
      <c r="AW40" s="428">
        <v>1250319.2338648899</v>
      </c>
      <c r="AX40" s="428">
        <v>2527797.6166222226</v>
      </c>
      <c r="AY40" s="428">
        <v>0</v>
      </c>
      <c r="AZ40" s="435">
        <v>242039</v>
      </c>
      <c r="BA40" s="436">
        <v>11348</v>
      </c>
      <c r="BB40" s="435">
        <v>166649</v>
      </c>
      <c r="BC40" s="431">
        <v>0</v>
      </c>
      <c r="BD40" s="431">
        <v>0</v>
      </c>
      <c r="BE40" s="431">
        <v>0</v>
      </c>
      <c r="BF40" s="429">
        <v>1296048.0163613209</v>
      </c>
      <c r="BG40" s="429">
        <v>324012.00409033161</v>
      </c>
      <c r="BH40" s="429">
        <v>0</v>
      </c>
      <c r="BI40" s="429">
        <v>88516.609213827833</v>
      </c>
      <c r="BJ40" s="429">
        <v>104569.79033646907</v>
      </c>
      <c r="BK40" s="429">
        <v>3149.7958725558447</v>
      </c>
      <c r="BL40" s="429">
        <v>207322.50124165387</v>
      </c>
      <c r="BM40" s="429">
        <v>139414.32246994443</v>
      </c>
      <c r="BN40" s="429">
        <v>10925427.281264469</v>
      </c>
      <c r="BO40" s="429">
        <v>2688523.6175469132</v>
      </c>
      <c r="BP40" s="428">
        <v>329722.92991007288</v>
      </c>
      <c r="BQ40" s="428">
        <v>204780.95061689444</v>
      </c>
      <c r="BR40" s="428">
        <v>260876.08024262954</v>
      </c>
      <c r="BS40" s="428">
        <v>732923.82549407077</v>
      </c>
      <c r="BT40" s="428">
        <v>4164.3051775328513</v>
      </c>
      <c r="BU40" s="428">
        <v>0</v>
      </c>
      <c r="BV40" s="431">
        <v>212.54249812349201</v>
      </c>
      <c r="BW40" s="432">
        <v>10.239483471260611</v>
      </c>
      <c r="BX40" s="432">
        <v>0</v>
      </c>
      <c r="BY40" s="429">
        <v>202728.37525313324</v>
      </c>
      <c r="BZ40" s="429">
        <v>76.595755547550979</v>
      </c>
      <c r="CA40" s="429">
        <v>485.52012062346762</v>
      </c>
      <c r="CB40" s="431">
        <v>116.15842793876152</v>
      </c>
      <c r="CC40" s="429">
        <v>4972.5603408443794</v>
      </c>
      <c r="CD40" s="429"/>
      <c r="CE40" s="430"/>
      <c r="CF40" s="429">
        <v>233307.3157496074</v>
      </c>
      <c r="CG40" s="333"/>
      <c r="CH40" s="429">
        <v>53802.123100728575</v>
      </c>
      <c r="CI40" s="430">
        <v>131546.95830396586</v>
      </c>
      <c r="CJ40" s="430">
        <v>56377.267844556802</v>
      </c>
      <c r="CK40" s="430"/>
      <c r="CL40" s="429">
        <v>906262.80080640595</v>
      </c>
      <c r="CM40" s="429">
        <v>146491.20209129524</v>
      </c>
      <c r="CN40" s="429">
        <v>208322.86932806758</v>
      </c>
      <c r="CO40" s="428">
        <v>504077.74724999868</v>
      </c>
      <c r="CP40" s="428">
        <v>1455669.8644166668</v>
      </c>
      <c r="CQ40" s="420">
        <f t="shared" si="0"/>
        <v>27885727.74737417</v>
      </c>
      <c r="CR40" s="420">
        <f t="shared" si="1"/>
        <v>25412065.021096773</v>
      </c>
      <c r="CT40" s="420">
        <f t="shared" si="2"/>
        <v>18344886.147695016</v>
      </c>
      <c r="CU40" s="420">
        <f t="shared" si="3"/>
        <v>6207697.5086589186</v>
      </c>
      <c r="CV40" s="420">
        <f t="shared" si="4"/>
        <v>2956773.0203089579</v>
      </c>
      <c r="CW40" s="420">
        <f t="shared" si="5"/>
        <v>492191.0473095146</v>
      </c>
      <c r="CX40" s="427"/>
      <c r="CY40" s="420">
        <f t="shared" si="6"/>
        <v>16197019.938397486</v>
      </c>
      <c r="CZ40" s="420">
        <f t="shared" si="7"/>
        <v>5310584.9419283131</v>
      </c>
      <c r="DA40" s="420">
        <f t="shared" si="8"/>
        <v>3408748.7100409567</v>
      </c>
      <c r="DB40" s="420">
        <f t="shared" si="9"/>
        <v>495711.43073001812</v>
      </c>
    </row>
    <row r="41" spans="1:106" hidden="1">
      <c r="A41" s="434" t="s">
        <v>801</v>
      </c>
      <c r="B41" s="428">
        <v>5766613.4198350003</v>
      </c>
      <c r="C41" s="428">
        <v>1305152.0206000002</v>
      </c>
      <c r="D41" s="428">
        <v>512050.60370000004</v>
      </c>
      <c r="E41" s="428">
        <v>178080.37343749646</v>
      </c>
      <c r="F41" s="428">
        <v>8049.4657998946259</v>
      </c>
      <c r="G41" s="428">
        <v>133201.79012604943</v>
      </c>
      <c r="H41" s="428">
        <v>16144.41433708861</v>
      </c>
      <c r="I41" s="428">
        <v>711.03894911999089</v>
      </c>
      <c r="J41" s="428">
        <v>12262.907713306418</v>
      </c>
      <c r="K41" s="432">
        <v>0</v>
      </c>
      <c r="L41" s="432">
        <v>0</v>
      </c>
      <c r="M41" s="432">
        <v>40117.230811260757</v>
      </c>
      <c r="N41" s="429">
        <v>4324589.7133917315</v>
      </c>
      <c r="O41" s="429">
        <v>3948953.2337624789</v>
      </c>
      <c r="P41" s="429">
        <v>158830.84427207371</v>
      </c>
      <c r="Q41" s="429">
        <v>10585.273780857176</v>
      </c>
      <c r="R41" s="429">
        <v>134490.07168576788</v>
      </c>
      <c r="S41" s="429">
        <v>5263969.9353650799</v>
      </c>
      <c r="T41" s="429">
        <v>1491028.7013403194</v>
      </c>
      <c r="U41" s="428">
        <v>243556.24143089337</v>
      </c>
      <c r="V41" s="428">
        <v>6593.6766506292042</v>
      </c>
      <c r="W41" s="428">
        <v>31917.04853446296</v>
      </c>
      <c r="X41" s="428">
        <v>739431.16308009019</v>
      </c>
      <c r="Y41" s="428">
        <v>13910.39026272</v>
      </c>
      <c r="Z41" s="428">
        <v>0</v>
      </c>
      <c r="AA41" s="429"/>
      <c r="AB41" s="429"/>
      <c r="AC41" s="429">
        <v>1061.1928975570029</v>
      </c>
      <c r="AD41" s="429"/>
      <c r="AE41" s="429"/>
      <c r="AF41" s="429">
        <v>412.87556139145181</v>
      </c>
      <c r="AG41" s="429"/>
      <c r="AH41" s="429">
        <v>3882.8142371880117</v>
      </c>
      <c r="AI41" s="429"/>
      <c r="AJ41" s="430"/>
      <c r="AK41" s="429">
        <v>50148.579943069359</v>
      </c>
      <c r="AL41" s="333"/>
      <c r="AM41" s="429">
        <v>98631.046663237226</v>
      </c>
      <c r="AN41" s="430">
        <v>1949378.4947881547</v>
      </c>
      <c r="AO41" s="430">
        <v>229117.9350741891</v>
      </c>
      <c r="AP41" s="430"/>
      <c r="AQ41" s="429">
        <v>109430.25884798671</v>
      </c>
      <c r="AR41" s="429">
        <v>106475.35597568291</v>
      </c>
      <c r="AS41" s="429">
        <v>1527353.6295638997</v>
      </c>
      <c r="AT41" s="428">
        <v>427500.66889499885</v>
      </c>
      <c r="AU41" s="428">
        <v>1126642.9529967138</v>
      </c>
      <c r="AV41" s="433"/>
      <c r="AW41" s="428">
        <v>5796184.6059061103</v>
      </c>
      <c r="AX41" s="428">
        <v>960937.39782222209</v>
      </c>
      <c r="AY41" s="428">
        <v>416426.77655555564</v>
      </c>
      <c r="AZ41" s="428">
        <v>511879.06435982388</v>
      </c>
      <c r="BA41" s="428">
        <v>23113.180550780642</v>
      </c>
      <c r="BB41" s="428">
        <v>383123.07172398228</v>
      </c>
      <c r="BC41" s="428">
        <v>209017.49552980953</v>
      </c>
      <c r="BD41" s="428">
        <v>9207.5024305221104</v>
      </c>
      <c r="BE41" s="428">
        <v>158745.97033055031</v>
      </c>
      <c r="BF41" s="429">
        <v>0</v>
      </c>
      <c r="BG41" s="429">
        <v>0</v>
      </c>
      <c r="BH41" s="429">
        <v>88555.526751127079</v>
      </c>
      <c r="BI41" s="429">
        <v>4484706.0059620086</v>
      </c>
      <c r="BJ41" s="429">
        <v>3341261.4342344729</v>
      </c>
      <c r="BK41" s="429">
        <v>166659.65025205669</v>
      </c>
      <c r="BL41" s="429">
        <v>8759.5574506656212</v>
      </c>
      <c r="BM41" s="429">
        <v>124404.71203219284</v>
      </c>
      <c r="BN41" s="429">
        <v>5085597.822823463</v>
      </c>
      <c r="BO41" s="429">
        <v>1469409.6019895531</v>
      </c>
      <c r="BP41" s="428">
        <v>238439.25649346373</v>
      </c>
      <c r="BQ41" s="428">
        <v>6455.1470695134358</v>
      </c>
      <c r="BR41" s="428">
        <v>35542.099532984488</v>
      </c>
      <c r="BS41" s="428">
        <v>776799.50516144594</v>
      </c>
      <c r="BT41" s="428">
        <v>13266.390713520001</v>
      </c>
      <c r="BU41" s="428">
        <v>0</v>
      </c>
      <c r="BV41" s="431"/>
      <c r="BW41" s="432"/>
      <c r="BX41" s="432">
        <v>857.84648752200769</v>
      </c>
      <c r="BY41" s="429"/>
      <c r="BZ41" s="429"/>
      <c r="CA41" s="429">
        <v>606.5144728587801</v>
      </c>
      <c r="CB41" s="431"/>
      <c r="CC41" s="429">
        <v>3395.5837718358216</v>
      </c>
      <c r="CD41" s="429"/>
      <c r="CE41" s="430"/>
      <c r="CF41" s="429">
        <v>48867.69675427358</v>
      </c>
      <c r="CG41" s="333"/>
      <c r="CH41" s="429">
        <v>95779.268850483859</v>
      </c>
      <c r="CI41" s="430">
        <v>2052669.5189492928</v>
      </c>
      <c r="CJ41" s="430">
        <v>193417.48201694124</v>
      </c>
      <c r="CK41" s="430"/>
      <c r="CL41" s="429">
        <v>168488.63949133971</v>
      </c>
      <c r="CM41" s="430"/>
      <c r="CN41" s="429">
        <v>1483192.3503280568</v>
      </c>
      <c r="CO41" s="428">
        <v>444861.60219361034</v>
      </c>
      <c r="CP41" s="428">
        <v>1222015.3528059688</v>
      </c>
      <c r="CQ41" s="420">
        <f t="shared" si="0"/>
        <v>29970275.36431038</v>
      </c>
      <c r="CR41" s="420">
        <f t="shared" si="1"/>
        <v>30022643.631798003</v>
      </c>
      <c r="CT41" s="420">
        <f t="shared" si="2"/>
        <v>15855505.066458294</v>
      </c>
      <c r="CU41" s="420">
        <f t="shared" si="3"/>
        <v>8619224.5640937965</v>
      </c>
      <c r="CV41" s="420">
        <f t="shared" si="4"/>
        <v>5475899.2961416263</v>
      </c>
      <c r="CW41" s="420">
        <f t="shared" si="5"/>
        <v>154136.50930244307</v>
      </c>
      <c r="CX41" s="427"/>
      <c r="CY41" s="420">
        <f t="shared" si="6"/>
        <v>16064440.596421007</v>
      </c>
      <c r="CZ41" s="420">
        <f t="shared" si="7"/>
        <v>8244051.1792548159</v>
      </c>
      <c r="DA41" s="420">
        <f t="shared" si="8"/>
        <v>5564644.9457852095</v>
      </c>
      <c r="DB41" s="420">
        <f t="shared" si="9"/>
        <v>149506.91033697405</v>
      </c>
    </row>
    <row r="42" spans="1:106">
      <c r="A42" s="426" t="s">
        <v>800</v>
      </c>
      <c r="B42" s="476">
        <f>SUM(B7:B41)</f>
        <v>92109926.506357417</v>
      </c>
      <c r="C42" s="425">
        <f t="shared" ref="C42:AU42" si="10">SUM(C7:C41)</f>
        <v>37421449.720099628</v>
      </c>
      <c r="D42" s="425">
        <f t="shared" si="10"/>
        <v>5527045.699</v>
      </c>
      <c r="E42" s="425">
        <f t="shared" si="10"/>
        <v>2931502.111737099</v>
      </c>
      <c r="F42" s="476">
        <f t="shared" si="10"/>
        <v>130435.58834446636</v>
      </c>
      <c r="G42" s="425">
        <f t="shared" si="10"/>
        <v>1730572.2758140913</v>
      </c>
      <c r="H42" s="476">
        <f t="shared" si="10"/>
        <v>800518.47626006394</v>
      </c>
      <c r="I42" s="476">
        <f t="shared" si="10"/>
        <v>34955.636037065284</v>
      </c>
      <c r="J42" s="425">
        <f t="shared" si="10"/>
        <v>436962.65474211657</v>
      </c>
      <c r="K42" s="425">
        <f t="shared" si="10"/>
        <v>2181661.187806122</v>
      </c>
      <c r="L42" s="425">
        <f t="shared" si="10"/>
        <v>503987.46630662936</v>
      </c>
      <c r="M42" s="425">
        <f t="shared" si="10"/>
        <v>814868.68477814435</v>
      </c>
      <c r="N42" s="425">
        <f t="shared" si="10"/>
        <v>48944883.269946255</v>
      </c>
      <c r="O42" s="425">
        <f t="shared" si="10"/>
        <v>97260917.839262515</v>
      </c>
      <c r="P42" s="425">
        <f t="shared" si="10"/>
        <v>2192731.0418474525</v>
      </c>
      <c r="Q42" s="425">
        <f t="shared" si="10"/>
        <v>7309353.6816388313</v>
      </c>
      <c r="R42" s="425">
        <f t="shared" si="10"/>
        <v>2078054.5529712175</v>
      </c>
      <c r="S42" s="425">
        <f t="shared" si="10"/>
        <v>99703613.734694496</v>
      </c>
      <c r="T42" s="425">
        <f t="shared" si="10"/>
        <v>22163326.18562521</v>
      </c>
      <c r="U42" s="425">
        <f t="shared" si="10"/>
        <v>6112238.5362700373</v>
      </c>
      <c r="V42" s="425">
        <f t="shared" si="10"/>
        <v>1141119.4013098858</v>
      </c>
      <c r="W42" s="425">
        <f t="shared" si="10"/>
        <v>2133850.1624075356</v>
      </c>
      <c r="X42" s="425">
        <f t="shared" si="10"/>
        <v>9238433.8484489117</v>
      </c>
      <c r="Y42" s="425">
        <f t="shared" si="10"/>
        <v>4107187.0405009952</v>
      </c>
      <c r="Z42" s="425">
        <f t="shared" si="10"/>
        <v>19288462.769479431</v>
      </c>
      <c r="AA42" s="425">
        <f t="shared" si="10"/>
        <v>281.5178228193231</v>
      </c>
      <c r="AB42" s="425">
        <f t="shared" si="10"/>
        <v>40.710297638582112</v>
      </c>
      <c r="AC42" s="425">
        <f t="shared" si="10"/>
        <v>10797.9405262743</v>
      </c>
      <c r="AD42" s="425">
        <f t="shared" si="10"/>
        <v>3710966.9245122978</v>
      </c>
      <c r="AE42" s="425">
        <f t="shared" si="10"/>
        <v>765.89678505311451</v>
      </c>
      <c r="AF42" s="425">
        <f t="shared" si="10"/>
        <v>6184.6253889697136</v>
      </c>
      <c r="AG42" s="425">
        <f t="shared" si="10"/>
        <v>1298.6365314330992</v>
      </c>
      <c r="AH42" s="425">
        <f t="shared" si="10"/>
        <v>860646.66620907525</v>
      </c>
      <c r="AI42" s="425">
        <f t="shared" si="10"/>
        <v>168029.8326666792</v>
      </c>
      <c r="AJ42" s="425">
        <f t="shared" si="10"/>
        <v>21738.943779020126</v>
      </c>
      <c r="AK42" s="425">
        <f t="shared" si="10"/>
        <v>834272.52949184843</v>
      </c>
      <c r="AL42" s="425">
        <f t="shared" si="10"/>
        <v>200000</v>
      </c>
      <c r="AM42" s="425">
        <f t="shared" si="10"/>
        <v>1474757.7627361284</v>
      </c>
      <c r="AN42" s="425">
        <f t="shared" si="10"/>
        <v>16846568.571341213</v>
      </c>
      <c r="AO42" s="425">
        <f t="shared" si="10"/>
        <v>3410931.2278765519</v>
      </c>
      <c r="AP42" s="425">
        <f t="shared" si="10"/>
        <v>1260428.4773074801</v>
      </c>
      <c r="AQ42" s="425">
        <f t="shared" si="10"/>
        <v>2056071.7838161497</v>
      </c>
      <c r="AR42" s="425">
        <f t="shared" si="10"/>
        <v>923174.68915062328</v>
      </c>
      <c r="AS42" s="425">
        <f t="shared" si="10"/>
        <v>10765531.081328597</v>
      </c>
      <c r="AT42" s="425">
        <f t="shared" si="10"/>
        <v>3688808.6349204495</v>
      </c>
      <c r="AU42" s="425">
        <f t="shared" si="10"/>
        <v>11391213.757382555</v>
      </c>
      <c r="AV42" s="425"/>
      <c r="AW42" s="425">
        <f t="shared" ref="AW42:CR42" si="11">SUM(AW7:AW41)</f>
        <v>77011477.334045142</v>
      </c>
      <c r="AX42" s="425">
        <f t="shared" si="11"/>
        <v>36781859.686805457</v>
      </c>
      <c r="AY42" s="425">
        <f t="shared" si="11"/>
        <v>5937175.3291888898</v>
      </c>
      <c r="AZ42" s="425">
        <f t="shared" si="11"/>
        <v>12331920.780659931</v>
      </c>
      <c r="BA42" s="425">
        <f t="shared" si="11"/>
        <v>542956.59228116309</v>
      </c>
      <c r="BB42" s="425">
        <f t="shared" si="11"/>
        <v>7389217.451350634</v>
      </c>
      <c r="BC42" s="425">
        <f t="shared" si="11"/>
        <v>10982489.082223518</v>
      </c>
      <c r="BD42" s="425">
        <f t="shared" si="11"/>
        <v>479132.83619494416</v>
      </c>
      <c r="BE42" s="425">
        <f t="shared" si="11"/>
        <v>6110745.2494899556</v>
      </c>
      <c r="BF42" s="425">
        <f t="shared" si="11"/>
        <v>4617532.0396271227</v>
      </c>
      <c r="BG42" s="425">
        <f t="shared" si="11"/>
        <v>1068259.5507164784</v>
      </c>
      <c r="BH42" s="425">
        <f t="shared" si="11"/>
        <v>1754801.9037875673</v>
      </c>
      <c r="BI42" s="425">
        <f t="shared" si="11"/>
        <v>47573043.367830075</v>
      </c>
      <c r="BJ42" s="425">
        <f t="shared" si="11"/>
        <v>79555615.638573125</v>
      </c>
      <c r="BK42" s="425">
        <f t="shared" si="11"/>
        <v>1696547.9655961222</v>
      </c>
      <c r="BL42" s="425">
        <f t="shared" si="11"/>
        <v>7324445.6760537857</v>
      </c>
      <c r="BM42" s="425">
        <f t="shared" si="11"/>
        <v>1865464.8224337166</v>
      </c>
      <c r="BN42" s="425">
        <f t="shared" si="11"/>
        <v>93995478.53055495</v>
      </c>
      <c r="BO42" s="425">
        <f t="shared" si="11"/>
        <v>20310809.316629142</v>
      </c>
      <c r="BP42" s="425">
        <f t="shared" si="11"/>
        <v>6358080.6989966417</v>
      </c>
      <c r="BQ42" s="425">
        <f t="shared" si="11"/>
        <v>1352153.2241090455</v>
      </c>
      <c r="BR42" s="425">
        <f t="shared" si="11"/>
        <v>2528640.0056995614</v>
      </c>
      <c r="BS42" s="425">
        <f t="shared" si="11"/>
        <v>10532035.156677548</v>
      </c>
      <c r="BT42" s="425">
        <f t="shared" si="11"/>
        <v>4708788.9067035858</v>
      </c>
      <c r="BU42" s="425">
        <f t="shared" si="11"/>
        <v>19288462.769479431</v>
      </c>
      <c r="BV42" s="425">
        <f t="shared" si="11"/>
        <v>369.11439324937794</v>
      </c>
      <c r="BW42" s="425">
        <f t="shared" si="11"/>
        <v>45.717761183529007</v>
      </c>
      <c r="BX42" s="425">
        <f t="shared" si="11"/>
        <v>9751.1377032023302</v>
      </c>
      <c r="BY42" s="425">
        <f t="shared" si="11"/>
        <v>3229040.0938666379</v>
      </c>
      <c r="BZ42" s="425">
        <f t="shared" si="11"/>
        <v>834.83117708638201</v>
      </c>
      <c r="CA42" s="425">
        <f t="shared" si="11"/>
        <v>6884.0335155337216</v>
      </c>
      <c r="CB42" s="425">
        <f t="shared" si="11"/>
        <v>1412.5329920059958</v>
      </c>
      <c r="CC42" s="425">
        <f t="shared" si="11"/>
        <v>773680.85642226425</v>
      </c>
      <c r="CD42" s="425">
        <f t="shared" si="11"/>
        <v>152957.25833408299</v>
      </c>
      <c r="CE42" s="425">
        <f t="shared" si="11"/>
        <v>18902.821462782966</v>
      </c>
      <c r="CF42" s="425">
        <f t="shared" si="11"/>
        <v>803379.06127967092</v>
      </c>
      <c r="CG42" s="425">
        <f t="shared" si="11"/>
        <v>509529.77149278147</v>
      </c>
      <c r="CH42" s="425">
        <f t="shared" si="11"/>
        <v>1383552.8737154528</v>
      </c>
      <c r="CI42" s="425">
        <f t="shared" si="11"/>
        <v>14044545.512329701</v>
      </c>
      <c r="CJ42" s="425">
        <f t="shared" si="11"/>
        <v>2506789.4116266994</v>
      </c>
      <c r="CK42" s="425">
        <f t="shared" si="11"/>
        <v>1166217.7640117405</v>
      </c>
      <c r="CL42" s="425">
        <f t="shared" si="11"/>
        <v>4294373.0114489421</v>
      </c>
      <c r="CM42" s="425">
        <f t="shared" si="11"/>
        <v>751873.50702571555</v>
      </c>
      <c r="CN42" s="425">
        <f t="shared" si="11"/>
        <v>10050575.549484525</v>
      </c>
      <c r="CO42" s="425">
        <f t="shared" si="11"/>
        <v>4189541.6692964197</v>
      </c>
      <c r="CP42" s="425">
        <f t="shared" si="11"/>
        <v>14129213.657166548</v>
      </c>
      <c r="CQ42" s="424">
        <f t="shared" si="11"/>
        <v>523930568.28155661</v>
      </c>
      <c r="CR42" s="424">
        <f t="shared" si="11"/>
        <v>520120604.10221368</v>
      </c>
      <c r="CT42" s="422">
        <f t="shared" si="2"/>
        <v>291296398.94078296</v>
      </c>
      <c r="CU42" s="422">
        <f t="shared" si="3"/>
        <v>177079713.68387383</v>
      </c>
      <c r="CV42" s="422">
        <f t="shared" si="4"/>
        <v>50342728.223123625</v>
      </c>
      <c r="CW42" s="422">
        <f t="shared" si="5"/>
        <v>7289781.9867472379</v>
      </c>
      <c r="CX42" s="423"/>
      <c r="CY42" s="422">
        <f t="shared" si="6"/>
        <v>297598460.80400217</v>
      </c>
      <c r="CZ42" s="422">
        <f t="shared" si="7"/>
        <v>164498673.1117053</v>
      </c>
      <c r="DA42" s="422">
        <f t="shared" si="8"/>
        <v>51133130.082390293</v>
      </c>
      <c r="DB42" s="422">
        <f t="shared" si="9"/>
        <v>6890340.104115935</v>
      </c>
    </row>
    <row r="43" spans="1:106" s="40" customFormat="1">
      <c r="A43" s="474" t="s">
        <v>949</v>
      </c>
      <c r="B43" s="475">
        <f t="shared" ref="B43:J43" si="12">SUM(B8:B39)</f>
        <v>83908495.27776742</v>
      </c>
      <c r="C43" s="475">
        <f t="shared" si="12"/>
        <v>33123234.397299629</v>
      </c>
      <c r="D43" s="475">
        <f t="shared" si="12"/>
        <v>5014995.0953000002</v>
      </c>
      <c r="E43" s="475">
        <f t="shared" si="12"/>
        <v>2503127.7382996026</v>
      </c>
      <c r="F43" s="475">
        <f t="shared" si="12"/>
        <v>110633.12254457174</v>
      </c>
      <c r="G43" s="475">
        <f t="shared" si="12"/>
        <v>1434106.4856880419</v>
      </c>
      <c r="H43" s="475">
        <f t="shared" si="12"/>
        <v>784374.06192297535</v>
      </c>
      <c r="I43" s="475">
        <f t="shared" si="12"/>
        <v>34244.597087945294</v>
      </c>
      <c r="J43" s="475">
        <f t="shared" si="12"/>
        <v>424699.74702881015</v>
      </c>
    </row>
    <row r="45" spans="1:106">
      <c r="C45" t="s">
        <v>799</v>
      </c>
      <c r="D45" t="s">
        <v>798</v>
      </c>
      <c r="I45" s="428"/>
    </row>
    <row r="46" spans="1:106" ht="29">
      <c r="A46" t="s">
        <v>272</v>
      </c>
      <c r="B46" s="107" t="s">
        <v>273</v>
      </c>
      <c r="C46" s="9">
        <f>(N42+O42+P42)/1000000</f>
        <v>148.39853215105623</v>
      </c>
      <c r="D46">
        <f>(BI42+BJ42+BK42)/1000000</f>
        <v>128.82520697199934</v>
      </c>
    </row>
    <row r="47" spans="1:106" ht="29">
      <c r="A47" t="s">
        <v>290</v>
      </c>
      <c r="B47" s="107" t="s">
        <v>291</v>
      </c>
      <c r="C47" s="9">
        <f>(Q42+R42)/1000000</f>
        <v>9.3874082346100494</v>
      </c>
      <c r="D47">
        <f>(BL42+BM42)/1000000</f>
        <v>9.1899104984875031</v>
      </c>
    </row>
    <row r="48" spans="1:106" ht="29">
      <c r="A48" t="s">
        <v>797</v>
      </c>
      <c r="B48" s="107" t="s">
        <v>796</v>
      </c>
      <c r="C48" s="9">
        <f>(S42+T42+AS42)/1000000</f>
        <v>132.6324710016483</v>
      </c>
      <c r="D48">
        <f>(BN42+BO42+CN42)/1000000</f>
        <v>124.35686339666861</v>
      </c>
    </row>
    <row r="49" spans="1:4" ht="87">
      <c r="A49" t="s">
        <v>281</v>
      </c>
      <c r="B49" s="107" t="s">
        <v>795</v>
      </c>
      <c r="C49" s="9">
        <f>(AA42+AB42+AC42+AC42+AD42+AE42+AF42+AG42+AH42+AI42+AJ42+AK42+AL42)/1000000</f>
        <v>5.8258221645373833</v>
      </c>
      <c r="D49">
        <f>(BV42+BW42+BX42+BY42+BZ42+CA42+CB42+CC42+CD42+CE42+CF42+CG42)/1000000</f>
        <v>5.5067872304004819</v>
      </c>
    </row>
    <row r="50" spans="1:4" ht="29">
      <c r="A50" t="s">
        <v>274</v>
      </c>
      <c r="B50" s="107" t="s">
        <v>275</v>
      </c>
      <c r="C50" s="9">
        <f>(E42+G42+H42+J42)/1000000</f>
        <v>5.8995555185533703</v>
      </c>
      <c r="D50">
        <f>(AZ42+BB42+BC42+BE42)/1000000</f>
        <v>36.814372563724042</v>
      </c>
    </row>
    <row r="51" spans="1:4">
      <c r="A51" t="s">
        <v>276</v>
      </c>
      <c r="B51" s="107" t="s">
        <v>277</v>
      </c>
      <c r="C51" s="9">
        <f>(K42+M42)/1000000</f>
        <v>2.9965298725842664</v>
      </c>
      <c r="D51">
        <f>(BF42+BH42)/1000000</f>
        <v>6.3723339434146897</v>
      </c>
    </row>
    <row r="52" spans="1:4" ht="29">
      <c r="A52" t="s">
        <v>264</v>
      </c>
      <c r="B52" s="107" t="s">
        <v>265</v>
      </c>
      <c r="C52" s="9">
        <f>(F42+I42+L42)/1000000</f>
        <v>0.66937869068816092</v>
      </c>
      <c r="D52">
        <f>(BA42+BD42+BG42)/1000000</f>
        <v>2.0903489791925858</v>
      </c>
    </row>
    <row r="53" spans="1:4">
      <c r="A53" t="s">
        <v>794</v>
      </c>
      <c r="B53" s="421">
        <v>1100</v>
      </c>
      <c r="C53" s="9">
        <f>B42/1000000</f>
        <v>92.109926506357411</v>
      </c>
      <c r="D53">
        <f>AW42/1000000</f>
        <v>77.011477334045139</v>
      </c>
    </row>
    <row r="54" spans="1:4">
      <c r="A54" t="s">
        <v>293</v>
      </c>
      <c r="B54" s="107" t="s">
        <v>294</v>
      </c>
      <c r="C54" s="9">
        <f>(C42+D42)/1000000</f>
        <v>42.948495419099629</v>
      </c>
      <c r="D54">
        <f>(AX42+AY42)/1000000</f>
        <v>42.719035015994351</v>
      </c>
    </row>
    <row r="55" spans="1:4" ht="43.5">
      <c r="A55" t="s">
        <v>270</v>
      </c>
      <c r="B55" s="107" t="s">
        <v>271</v>
      </c>
      <c r="C55" s="9">
        <f>(U42+V42+W42+X42+Y42+Z42)/1000000</f>
        <v>42.021291758416801</v>
      </c>
      <c r="D55">
        <f>(BP42+BQ42+BR42+BS42+BT42+BU42)/1000000</f>
        <v>44.768160761665811</v>
      </c>
    </row>
    <row r="56" spans="1:4" ht="43.5">
      <c r="A56" t="s">
        <v>793</v>
      </c>
      <c r="B56" s="107" t="s">
        <v>792</v>
      </c>
      <c r="C56" s="9">
        <f>(AN42+AO42+AP42+AT42+AU42)/1000000</f>
        <v>36.597950668828247</v>
      </c>
      <c r="D56">
        <f>(CI42+CJ42+CK42+CO42+CP42)/1000000</f>
        <v>36.036308014431114</v>
      </c>
    </row>
    <row r="57" spans="1:4" ht="29">
      <c r="A57" t="s">
        <v>266</v>
      </c>
      <c r="B57" s="107" t="s">
        <v>791</v>
      </c>
      <c r="C57" s="9">
        <f>(AM42+AQ42+AR42)/1000000</f>
        <v>4.454004235702901</v>
      </c>
      <c r="D57">
        <f>(CH42+CM42+CN42)/1000000</f>
        <v>12.186001930225693</v>
      </c>
    </row>
    <row r="58" spans="1:4">
      <c r="C58" s="9">
        <f>SUM(C46:C57)</f>
        <v>523.94136622208271</v>
      </c>
      <c r="D58" s="9">
        <f>SUM(D46:D57)</f>
        <v>525.87680664024924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3D12-568A-4380-9B82-81ADD97F0F89}">
  <sheetPr codeName="Tabelle13"/>
  <dimension ref="A1:P37"/>
  <sheetViews>
    <sheetView zoomScale="90" zoomScaleNormal="90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C35" sqref="C35"/>
    </sheetView>
  </sheetViews>
  <sheetFormatPr baseColWidth="10" defaultRowHeight="14.5"/>
  <cols>
    <col min="1" max="1" width="4.453125" customWidth="1"/>
    <col min="2" max="2" width="38.7265625" customWidth="1"/>
    <col min="3" max="3" width="17.1796875" bestFit="1" customWidth="1"/>
    <col min="4" max="4" width="19.54296875" bestFit="1" customWidth="1"/>
    <col min="5" max="6" width="4.453125" bestFit="1" customWidth="1"/>
    <col min="7" max="7" width="36" bestFit="1" customWidth="1"/>
    <col min="8" max="8" width="27.453125" bestFit="1" customWidth="1"/>
    <col min="9" max="9" width="40.7265625" bestFit="1" customWidth="1"/>
    <col min="10" max="10" width="15.1796875" bestFit="1" customWidth="1"/>
    <col min="11" max="11" width="30.7265625" bestFit="1" customWidth="1"/>
    <col min="12" max="12" width="21.54296875" bestFit="1" customWidth="1"/>
    <col min="13" max="13" width="24.7265625" bestFit="1" customWidth="1"/>
    <col min="14" max="14" width="14.1796875" bestFit="1" customWidth="1"/>
    <col min="15" max="15" width="17.54296875" bestFit="1" customWidth="1"/>
    <col min="16" max="16" width="18.81640625" style="1" bestFit="1" customWidth="1"/>
  </cols>
  <sheetData>
    <row r="1" spans="1:16" ht="15" customHeight="1">
      <c r="E1" s="1080" t="str">
        <f>Overview!E1</f>
        <v>Demoplants Database</v>
      </c>
      <c r="F1" s="1080"/>
      <c r="G1" t="str">
        <f>Overview!H1</f>
        <v xml:space="preserve"> Tender 1, Task 2</v>
      </c>
      <c r="H1" t="str">
        <f>Overview!P1</f>
        <v>literature, mainly JEC-WTT-v5</v>
      </c>
      <c r="I1" t="str">
        <f>Overview!R1</f>
        <v xml:space="preserve">calculation: 2030 Medium I 2040 2050 High </v>
      </c>
      <c r="J1" t="str">
        <f>Overview!U1</f>
        <v>Tender 1, Task 1</v>
      </c>
      <c r="K1" t="str">
        <f>Overview!X1</f>
        <v>calculation</v>
      </c>
      <c r="L1" t="str">
        <f>Overview!AA1</f>
        <v>qualitative assessment</v>
      </c>
      <c r="M1" t="str">
        <f>Overview!AD1</f>
        <v>qualitative assessment</v>
      </c>
      <c r="N1" t="str">
        <f>Overview!AG1</f>
        <v>literature</v>
      </c>
      <c r="O1" t="str">
        <f>Overview!AH1</f>
        <v>assessment</v>
      </c>
      <c r="P1" s="1" t="str">
        <f>Overview!AI1</f>
        <v>Tender 1 (Task 3)</v>
      </c>
    </row>
    <row r="2" spans="1:16">
      <c r="A2" s="6"/>
      <c r="B2" s="6"/>
      <c r="C2" s="6"/>
      <c r="D2" s="6"/>
      <c r="E2" s="1081" t="s">
        <v>441</v>
      </c>
      <c r="F2" s="1081"/>
      <c r="G2" s="107">
        <f>Overview!H2</f>
        <v>2030</v>
      </c>
      <c r="H2" s="6" t="str">
        <f>Overview!P2</f>
        <v>JEC</v>
      </c>
      <c r="I2" s="33" t="str">
        <f>Overview!R2</f>
        <v>feedstocks shared over pathways</v>
      </c>
      <c r="J2" s="6" t="str">
        <f>Overview!U2</f>
        <v>2025-2030</v>
      </c>
      <c r="K2" s="358" t="str">
        <f>Overview!X2</f>
        <v>feedstocks shared over pathways</v>
      </c>
      <c r="L2" s="6" t="str">
        <f>Overview!AA2</f>
        <v>2025-2030</v>
      </c>
      <c r="M2" s="6" t="str">
        <f>Overview!AD2</f>
        <v>2025-2030</v>
      </c>
      <c r="N2" s="6" t="str">
        <f>Overview!AG2</f>
        <v>JEC/Tender 1</v>
      </c>
      <c r="O2" t="str">
        <f>Overview!AH2</f>
        <v>assessment</v>
      </c>
      <c r="P2" s="1" t="str">
        <f>Overview!AI2</f>
        <v>Tender 1 (Task 3)</v>
      </c>
    </row>
    <row r="3" spans="1:16">
      <c r="A3" s="10" t="str">
        <f>Overview!A3</f>
        <v xml:space="preserve">Nr. </v>
      </c>
      <c r="B3" s="10" t="str">
        <f>Overview!B3</f>
        <v>Value Chain</v>
      </c>
      <c r="C3" s="10" t="str">
        <f>Overview!C3</f>
        <v>Fuel</v>
      </c>
      <c r="D3" s="10" t="str">
        <f>Overview!D3</f>
        <v>Sector</v>
      </c>
      <c r="E3" s="11" t="str">
        <f>Overview!E3</f>
        <v>TRL</v>
      </c>
      <c r="F3" s="11" t="str">
        <f>Overview!F3</f>
        <v>CRL</v>
      </c>
      <c r="G3" s="11" t="str">
        <f>Overview!H3</f>
        <v>Feedstock availability and mobilization</v>
      </c>
      <c r="H3" s="11" t="str">
        <f>Overview!P3</f>
        <v>Yields</v>
      </c>
      <c r="I3" s="11" t="str">
        <f>Overview!R3</f>
        <v xml:space="preserve">Potential quantity </v>
      </c>
      <c r="J3" s="11" t="str">
        <f>Overview!U3</f>
        <v>Market demand</v>
      </c>
      <c r="K3" s="11" t="str">
        <f>Overview!X3</f>
        <v>Contribution to market demand</v>
      </c>
      <c r="L3" s="11" t="str">
        <f>Overview!AA3</f>
        <v>Market demand</v>
      </c>
      <c r="M3" s="11" t="str">
        <f>Overview!AD3</f>
        <v>Infrastrucuture availability</v>
      </c>
      <c r="N3" s="11" t="str">
        <f>Overview!AG3</f>
        <v>GHG reduction</v>
      </c>
      <c r="O3" s="11" t="str">
        <f>Overview!AH3</f>
        <v>Fossil comparator</v>
      </c>
      <c r="P3" s="384" t="str">
        <f>Overview!AI3</f>
        <v xml:space="preserve">Production capacity </v>
      </c>
    </row>
    <row r="4" spans="1:16">
      <c r="A4" s="20"/>
      <c r="B4" s="20"/>
      <c r="C4" s="20"/>
      <c r="D4" s="20"/>
      <c r="E4" s="21" t="str">
        <f>Overview!E4</f>
        <v xml:space="preserve"> 1-9</v>
      </c>
      <c r="F4" s="21" t="str">
        <f>Overview!F4</f>
        <v xml:space="preserve"> 1-6</v>
      </c>
      <c r="G4" s="86" t="str">
        <f>Overview!H4</f>
        <v>Medium [Mt/y]</v>
      </c>
      <c r="H4" s="21" t="str">
        <f>Overview!P4</f>
        <v>[toe product/t feedstock]</v>
      </c>
      <c r="I4" s="21" t="str">
        <f>Overview!R4</f>
        <v>2030 [Mtoe/y]</v>
      </c>
      <c r="J4" s="21" t="str">
        <f>Overview!U4</f>
        <v>2030 [Mtoe/y]</v>
      </c>
      <c r="K4" s="21" t="str">
        <f>Overview!X4</f>
        <v>2030 [%]</v>
      </c>
      <c r="L4" s="21">
        <f>Overview!AA4</f>
        <v>2030</v>
      </c>
      <c r="M4" s="21">
        <f>Overview!AD4</f>
        <v>2030</v>
      </c>
      <c r="N4" s="21" t="str">
        <f>Overview!AG4</f>
        <v>%</v>
      </c>
      <c r="O4" s="22"/>
      <c r="P4" s="117" t="str">
        <f>Overview!AI4</f>
        <v>2030 [Mtoe/y]</v>
      </c>
    </row>
    <row r="5" spans="1:16">
      <c r="A5">
        <f>Overview!A5</f>
        <v>1</v>
      </c>
      <c r="B5" s="1" t="str">
        <f>Overview!B5</f>
        <v>Transesterification</v>
      </c>
      <c r="C5" s="1" t="str">
        <f>Overview!C5</f>
        <v>FAME</v>
      </c>
      <c r="D5" s="1" t="str">
        <f>Overview!D5</f>
        <v>Road-bio</v>
      </c>
      <c r="E5" s="63">
        <f>Overview!E5</f>
        <v>9</v>
      </c>
      <c r="F5">
        <f>Overview!F5</f>
        <v>6</v>
      </c>
      <c r="G5" s="64">
        <f>Overview!H5</f>
        <v>5.123382926391062</v>
      </c>
      <c r="H5" s="130">
        <f>Overview!P5</f>
        <v>0.85279927390847421</v>
      </c>
      <c r="I5" s="114">
        <f>Overview!R5</f>
        <v>2.1846086197906858</v>
      </c>
      <c r="J5" s="65">
        <f>Overview!U5</f>
        <v>22.442503287543463</v>
      </c>
      <c r="K5" s="119">
        <f>Overview!X5</f>
        <v>9.734246629266334E-2</v>
      </c>
      <c r="L5" s="3" t="str">
        <f>Overview!AA5</f>
        <v>Stable</v>
      </c>
      <c r="M5" s="121" t="str">
        <f>Overview!AD5</f>
        <v>Yes</v>
      </c>
      <c r="N5" s="119">
        <f>Overview!AG5</f>
        <v>0.9</v>
      </c>
      <c r="O5" s="3" t="str">
        <f>Overview!AH5</f>
        <v>Diesel</v>
      </c>
      <c r="P5" s="129">
        <f>Overview!AI5</f>
        <v>5.9</v>
      </c>
    </row>
    <row r="6" spans="1:16">
      <c r="A6">
        <f>Overview!A6</f>
        <v>2</v>
      </c>
      <c r="B6" s="1" t="str">
        <f>Overview!B6</f>
        <v>Hydrotreatment of Lipids</v>
      </c>
      <c r="C6" s="1" t="str">
        <f>Overview!C6</f>
        <v>HVO</v>
      </c>
      <c r="D6" s="1" t="str">
        <f>Overview!D6</f>
        <v>Road-bio</v>
      </c>
      <c r="E6" s="63">
        <f>Overview!E6</f>
        <v>9</v>
      </c>
      <c r="F6">
        <f>Overview!F6</f>
        <v>5</v>
      </c>
      <c r="G6" s="64">
        <f>Overview!H6</f>
        <v>10.953382926391061</v>
      </c>
      <c r="H6" s="130">
        <f>Overview!P6</f>
        <v>0.54595395051113016</v>
      </c>
      <c r="I6" s="114">
        <f>Overview!R6</f>
        <v>2.9900213400621816</v>
      </c>
      <c r="J6" s="65">
        <f>Overview!U6</f>
        <v>22.442503287543463</v>
      </c>
      <c r="K6" s="119">
        <f>Overview!X6</f>
        <v>0.13323029529071159</v>
      </c>
      <c r="L6" s="3" t="str">
        <f>Overview!AA6</f>
        <v>Increasing</v>
      </c>
      <c r="M6" s="121" t="str">
        <f>Overview!AD6</f>
        <v>Yes</v>
      </c>
      <c r="N6" s="119">
        <f>Overview!AG6</f>
        <v>0.86</v>
      </c>
      <c r="O6" s="3" t="str">
        <f>Overview!AH6</f>
        <v>Diesel</v>
      </c>
      <c r="P6" s="129">
        <f>Overview!AI6</f>
        <v>6.5</v>
      </c>
    </row>
    <row r="7" spans="1:16">
      <c r="A7">
        <f>Overview!A7</f>
        <v>2</v>
      </c>
      <c r="B7" s="1" t="str">
        <f>Overview!B7</f>
        <v>Hydrotreatment of Lipids</v>
      </c>
      <c r="C7" s="1" t="str">
        <f>Overview!C7</f>
        <v>HEFA</v>
      </c>
      <c r="D7" s="1" t="str">
        <f>Overview!D7</f>
        <v>Aviation-bio</v>
      </c>
      <c r="E7" s="63">
        <f>Overview!E7</f>
        <v>9</v>
      </c>
      <c r="F7">
        <f>Overview!F7</f>
        <v>5</v>
      </c>
      <c r="G7" s="64">
        <f>Overview!H7</f>
        <v>10.953382926391061</v>
      </c>
      <c r="H7" s="130">
        <f>Overview!P7</f>
        <v>0.53354590618133169</v>
      </c>
      <c r="I7" s="114">
        <f>Overview!R7</f>
        <v>2.9220663096062229</v>
      </c>
      <c r="J7" s="65">
        <f>Overview!U7</f>
        <v>2.1744817538448755</v>
      </c>
      <c r="K7" s="119">
        <f>Overview!X7</f>
        <v>1.3437989555164045</v>
      </c>
      <c r="L7" s="3" t="str">
        <f>Overview!AA7</f>
        <v>Increasing</v>
      </c>
      <c r="M7" s="121" t="str">
        <f>Overview!AD7</f>
        <v>Medium</v>
      </c>
      <c r="N7" s="119">
        <f>Overview!AG7</f>
        <v>0.86</v>
      </c>
      <c r="O7" s="18" t="str">
        <f>Overview!AH7</f>
        <v>Kerosene</v>
      </c>
      <c r="P7" s="129">
        <f>Overview!AI7</f>
        <v>6.5</v>
      </c>
    </row>
    <row r="8" spans="1:16">
      <c r="A8">
        <f>Overview!A8</f>
        <v>3</v>
      </c>
      <c r="B8" s="1" t="str">
        <f>Overview!B8</f>
        <v xml:space="preserve">Lignin Boost of Fatty Acids and Co-processing in Refinery </v>
      </c>
      <c r="C8" s="1" t="str">
        <f>Overview!C8</f>
        <v>Renewable diesel</v>
      </c>
      <c r="D8" s="1" t="str">
        <f>Overview!D8</f>
        <v>Road-bio</v>
      </c>
      <c r="E8" s="121">
        <f>Overview!E8</f>
        <v>6</v>
      </c>
      <c r="F8">
        <f>Overview!F8</f>
        <v>1</v>
      </c>
      <c r="G8" s="64">
        <f>Overview!H8</f>
        <v>4.454004235702901</v>
      </c>
      <c r="H8" s="131">
        <f>Overview!P8</f>
        <v>2.1018438903219643</v>
      </c>
      <c r="I8" s="114">
        <f>Overview!R8</f>
        <v>9.3616215902802935</v>
      </c>
      <c r="J8" s="65">
        <f>Overview!U8</f>
        <v>22.442503287543463</v>
      </c>
      <c r="K8" s="119">
        <f>Overview!X8</f>
        <v>0.41713802913761355</v>
      </c>
      <c r="L8" s="3" t="str">
        <f>Overview!AA8</f>
        <v>Increasing</v>
      </c>
      <c r="M8" s="121" t="str">
        <f>Overview!AD8</f>
        <v>Yes</v>
      </c>
      <c r="N8" s="119">
        <f>Overview!AG8</f>
        <v>0.84</v>
      </c>
      <c r="O8" s="3" t="str">
        <f>Overview!AH8</f>
        <v>Diesel</v>
      </c>
      <c r="P8" s="129">
        <f>Overview!AI8</f>
        <v>2.2999999999999998</v>
      </c>
    </row>
    <row r="9" spans="1:16">
      <c r="A9">
        <f>Overview!A9</f>
        <v>4</v>
      </c>
      <c r="B9" s="1" t="str">
        <f>Overview!B9</f>
        <v>Sugar and Starch Fermentation to Ethanol</v>
      </c>
      <c r="C9" s="1" t="str">
        <f>Overview!C9</f>
        <v>Ethanol</v>
      </c>
      <c r="D9" s="1" t="str">
        <f>Overview!D9</f>
        <v>Road-bio 2030</v>
      </c>
      <c r="E9" s="121">
        <f>Overview!E9</f>
        <v>9</v>
      </c>
      <c r="F9">
        <f>Overview!F9</f>
        <v>6</v>
      </c>
      <c r="G9" s="64">
        <f>Overview!H9</f>
        <v>1.24</v>
      </c>
      <c r="H9" s="132">
        <f>Overview!P9</f>
        <v>0.11725162198077073</v>
      </c>
      <c r="I9" s="114">
        <f>Overview!R9</f>
        <v>0.1453920112561557</v>
      </c>
      <c r="J9" s="65">
        <f>Overview!U9</f>
        <v>22.442503287543463</v>
      </c>
      <c r="K9" s="119">
        <f>Overview!X9</f>
        <v>6.4784221881724934E-3</v>
      </c>
      <c r="L9" s="18" t="str">
        <f>Overview!AA9</f>
        <v>Increasing</v>
      </c>
      <c r="M9" s="121" t="str">
        <f>Overview!AD9</f>
        <v>Yes</v>
      </c>
      <c r="N9" s="119">
        <f>Overview!AG9</f>
        <v>0.69</v>
      </c>
      <c r="O9" s="3" t="str">
        <f>Overview!AH9</f>
        <v>Gasoline</v>
      </c>
      <c r="P9" s="129" t="str">
        <f>Overview!AI9</f>
        <v>n.a.</v>
      </c>
    </row>
    <row r="10" spans="1:16">
      <c r="A10">
        <f>Overview!A10</f>
        <v>4</v>
      </c>
      <c r="B10" s="1" t="str">
        <f>Overview!B10</f>
        <v>Sugar and Starch Fermentation to Ethanol</v>
      </c>
      <c r="C10" s="1" t="str">
        <f>Overview!C10</f>
        <v>ATJ-SPK</v>
      </c>
      <c r="D10" s="1" t="str">
        <f>Overview!D10</f>
        <v>Aviation-bio 2040/2050</v>
      </c>
      <c r="E10" s="121">
        <f>Overview!E10</f>
        <v>9</v>
      </c>
      <c r="F10">
        <f>Overview!F10</f>
        <v>6</v>
      </c>
      <c r="G10" s="64">
        <f>Overview!H10</f>
        <v>1.24</v>
      </c>
      <c r="H10" s="132">
        <f>Overview!P10</f>
        <v>7.0350973188462423E-2</v>
      </c>
      <c r="I10" s="114">
        <f>Overview!R10</f>
        <v>0</v>
      </c>
      <c r="J10" s="112">
        <f>Overview!U10</f>
        <v>0</v>
      </c>
      <c r="K10" s="120">
        <f>Overview!X10</f>
        <v>0</v>
      </c>
      <c r="L10" s="110" t="str">
        <f>Overview!AA10</f>
        <v>Increasing</v>
      </c>
      <c r="M10" s="124" t="str">
        <f>Overview!AD10</f>
        <v>Medium</v>
      </c>
      <c r="N10" s="119">
        <f>Overview!AG10</f>
        <v>0</v>
      </c>
      <c r="O10" s="3" t="str">
        <f>Overview!AH10</f>
        <v>n.a.</v>
      </c>
      <c r="P10" s="129" t="str">
        <f>Overview!AI10</f>
        <v>n.a.</v>
      </c>
    </row>
    <row r="11" spans="1:16">
      <c r="A11">
        <f>Overview!A11</f>
        <v>5</v>
      </c>
      <c r="B11" s="1" t="str">
        <f>Overview!B11</f>
        <v>Fermentation of Lignocellulosic Materials to Ethanol</v>
      </c>
      <c r="C11" s="1" t="str">
        <f>Overview!C11</f>
        <v>Advanced ethanol</v>
      </c>
      <c r="D11" s="1" t="str">
        <f>Overview!D11</f>
        <v>Road-bio 2030</v>
      </c>
      <c r="E11" s="121">
        <f>Overview!E11</f>
        <v>8</v>
      </c>
      <c r="F11">
        <f>Overview!F11</f>
        <v>2</v>
      </c>
      <c r="G11" s="64">
        <f>Overview!H11</f>
        <v>199.31590930061066</v>
      </c>
      <c r="H11" s="130">
        <f>Overview!P11</f>
        <v>0.11736887360275149</v>
      </c>
      <c r="I11" s="114">
        <f>Overview!R11</f>
        <v>7.7978279219069506</v>
      </c>
      <c r="J11" s="65">
        <f>Overview!U11</f>
        <v>22.442503287543463</v>
      </c>
      <c r="K11" s="119">
        <f>Overview!X11</f>
        <v>0.34745802738659171</v>
      </c>
      <c r="L11" s="18" t="str">
        <f>Overview!AA11</f>
        <v>Increasing</v>
      </c>
      <c r="M11" s="121" t="str">
        <f>Overview!AD11</f>
        <v>Yes</v>
      </c>
      <c r="N11" s="119">
        <f>Overview!AG11</f>
        <v>0.77</v>
      </c>
      <c r="O11" s="3" t="str">
        <f>Overview!AH11</f>
        <v>Gasoline</v>
      </c>
      <c r="P11" s="129">
        <f>Overview!AI11</f>
        <v>5</v>
      </c>
    </row>
    <row r="12" spans="1:16">
      <c r="A12">
        <f>Overview!A12</f>
        <v>5</v>
      </c>
      <c r="B12" s="1" t="str">
        <f>Overview!B12</f>
        <v>Fermentation of Lignocellulosic Materials to Ethanol</v>
      </c>
      <c r="C12" s="1" t="str">
        <f>Overview!C12</f>
        <v>ATJ-SPK</v>
      </c>
      <c r="D12" s="1" t="str">
        <f>Overview!D12</f>
        <v>Aviation-bio 2040/2050</v>
      </c>
      <c r="E12" s="121">
        <f>Overview!E12</f>
        <v>8</v>
      </c>
      <c r="F12">
        <f>Overview!F12</f>
        <v>2</v>
      </c>
      <c r="G12" s="64">
        <f>Overview!H12</f>
        <v>199.31590930061066</v>
      </c>
      <c r="H12" s="130">
        <f>Overview!P12</f>
        <v>7.0421324161650894E-2</v>
      </c>
      <c r="I12" s="114">
        <f>Overview!R12</f>
        <v>0</v>
      </c>
      <c r="J12" s="112">
        <f>Overview!U12</f>
        <v>0</v>
      </c>
      <c r="K12" s="120">
        <f>Overview!X12</f>
        <v>0</v>
      </c>
      <c r="L12" s="110" t="str">
        <f>Overview!AA12</f>
        <v>Increasing</v>
      </c>
      <c r="M12" s="124" t="str">
        <f>Overview!AD12</f>
        <v>Medium</v>
      </c>
      <c r="N12" s="119">
        <f>Overview!AG12</f>
        <v>0</v>
      </c>
      <c r="O12" s="3" t="str">
        <f>Overview!AH12</f>
        <v>n.a.</v>
      </c>
      <c r="P12" s="129">
        <f>Overview!AI12</f>
        <v>5</v>
      </c>
    </row>
    <row r="13" spans="1:16">
      <c r="A13">
        <f>Overview!A13</f>
        <v>6</v>
      </c>
      <c r="B13" s="2" t="str">
        <f>Overview!B13</f>
        <v>ATJ / MTJ</v>
      </c>
      <c r="C13" s="2" t="str">
        <f>Overview!C13</f>
        <v>ATJ-SPK</v>
      </c>
      <c r="D13" s="2" t="str">
        <f>Overview!D13</f>
        <v>Aviation-bio</v>
      </c>
      <c r="E13" s="121">
        <f>Overview!E13</f>
        <v>8</v>
      </c>
      <c r="F13">
        <f>Overview!F13</f>
        <v>2</v>
      </c>
      <c r="G13" s="63">
        <f>Overview!H13</f>
        <v>6.35</v>
      </c>
      <c r="H13" s="130">
        <f>Overview!P13</f>
        <v>0.61622241329893945</v>
      </c>
      <c r="I13" s="114">
        <f>Overview!R13</f>
        <v>3.9130123244482653</v>
      </c>
      <c r="J13" s="65">
        <f>Overview!U13</f>
        <v>2.1744817538448755</v>
      </c>
      <c r="K13" s="119">
        <f>Overview!X13</f>
        <v>1.7995149039670508</v>
      </c>
      <c r="L13" s="3" t="str">
        <f>Overview!AA13</f>
        <v>Increasing</v>
      </c>
      <c r="M13" s="121" t="str">
        <f>Overview!AD13</f>
        <v>Medium</v>
      </c>
      <c r="N13" s="119">
        <f>Overview!AG13</f>
        <v>0.72</v>
      </c>
      <c r="O13" s="3" t="str">
        <f>Overview!AH13</f>
        <v>Kerosene</v>
      </c>
      <c r="P13" s="129">
        <f>Overview!AI13</f>
        <v>2.8</v>
      </c>
    </row>
    <row r="14" spans="1:16">
      <c r="A14">
        <f>Overview!A14</f>
        <v>7</v>
      </c>
      <c r="B14" s="1" t="str">
        <f>Overview!B14</f>
        <v>Biomethane from Anaerobic Digestion</v>
      </c>
      <c r="C14" s="1" t="str">
        <f>Overview!C14</f>
        <v>Biomethane</v>
      </c>
      <c r="D14" s="1" t="str">
        <f>Overview!D14</f>
        <v>Road-bio 2030</v>
      </c>
      <c r="E14" s="63">
        <f>Overview!E14</f>
        <v>9</v>
      </c>
      <c r="F14">
        <f>Overview!F14</f>
        <v>4</v>
      </c>
      <c r="G14" s="64">
        <f>Overview!H14</f>
        <v>354.1873537820573</v>
      </c>
      <c r="H14" s="130">
        <f>Overview!P14</f>
        <v>0.33465176268271707</v>
      </c>
      <c r="I14" s="114">
        <f>Overview!R14</f>
        <v>59.264711131546299</v>
      </c>
      <c r="J14" s="65">
        <f>Overview!U14</f>
        <v>22.442503287543463</v>
      </c>
      <c r="K14" s="119">
        <f>Overview!X14</f>
        <v>2.6407353213774827</v>
      </c>
      <c r="L14" s="3" t="str">
        <f>Overview!AA14</f>
        <v>Increasing</v>
      </c>
      <c r="M14" s="121" t="str">
        <f>Overview!AD14</f>
        <v>Yes</v>
      </c>
      <c r="N14" s="125">
        <f>Overview!AG14</f>
        <v>2.5299999999999998</v>
      </c>
      <c r="O14" s="3" t="str">
        <f>Overview!AH14</f>
        <v>Natural gas</v>
      </c>
      <c r="P14" s="129">
        <f>Overview!AI14</f>
        <v>15</v>
      </c>
    </row>
    <row r="15" spans="1:16">
      <c r="A15">
        <f>Overview!A15</f>
        <v>7</v>
      </c>
      <c r="B15" s="1" t="str">
        <f>Overview!B15</f>
        <v>Biomethane from Anaerobic Digestion</v>
      </c>
      <c r="C15" s="1" t="str">
        <f>Overview!C15</f>
        <v>Biomethane</v>
      </c>
      <c r="D15" s="1" t="str">
        <f>Overview!D15</f>
        <v>Maritime-bio 2040/2050</v>
      </c>
      <c r="E15" s="63">
        <f>Overview!E15</f>
        <v>9</v>
      </c>
      <c r="F15">
        <f>Overview!F15</f>
        <v>4</v>
      </c>
      <c r="G15" s="64">
        <f>Overview!H15</f>
        <v>354.1873537820573</v>
      </c>
      <c r="H15" s="130">
        <f>Overview!P15</f>
        <v>0.33465176268271707</v>
      </c>
      <c r="I15" s="114">
        <f>Overview!R15</f>
        <v>0</v>
      </c>
      <c r="J15" s="65">
        <f>Overview!U15</f>
        <v>1.9344283886629341</v>
      </c>
      <c r="K15" s="119">
        <f>Overview!X15</f>
        <v>0</v>
      </c>
      <c r="L15" s="3" t="str">
        <f>Overview!AA15</f>
        <v>Increasing</v>
      </c>
      <c r="M15" s="121" t="str">
        <f>Overview!AD15</f>
        <v>No</v>
      </c>
      <c r="N15" s="125">
        <f>Overview!AG15</f>
        <v>2.33</v>
      </c>
      <c r="O15" s="18" t="str">
        <f>Overview!AH15</f>
        <v>MFO</v>
      </c>
      <c r="P15" s="129">
        <f>Overview!AI15</f>
        <v>15</v>
      </c>
    </row>
    <row r="16" spans="1:16">
      <c r="A16" s="3" t="str">
        <f>Overview!A16</f>
        <v>8a</v>
      </c>
      <c r="B16" s="1" t="str">
        <f>Overview!B16</f>
        <v>Gasification and Methanol Synthesis</v>
      </c>
      <c r="C16" s="1" t="str">
        <f>Overview!C16</f>
        <v>Methanol</v>
      </c>
      <c r="D16" s="1" t="str">
        <f>Overview!D16</f>
        <v>Maritime-bio</v>
      </c>
      <c r="E16" s="121" t="str">
        <f>Overview!E16</f>
        <v xml:space="preserve"> 6-7</v>
      </c>
      <c r="F16">
        <f>Overview!F16</f>
        <v>2</v>
      </c>
      <c r="G16" s="64">
        <f>Overview!H16</f>
        <v>302.4538706095222</v>
      </c>
      <c r="H16" s="130">
        <f>Overview!P16</f>
        <v>0.23260469731863673</v>
      </c>
      <c r="I16" s="114">
        <f>Overview!R16</f>
        <v>17.588047756494507</v>
      </c>
      <c r="J16" s="65">
        <f>Overview!U16</f>
        <v>1.9344283886629341</v>
      </c>
      <c r="K16" s="119">
        <f>Overview!X16</f>
        <v>9.0921162342180395</v>
      </c>
      <c r="L16" s="3" t="str">
        <f>Overview!AA16</f>
        <v>Increasing</v>
      </c>
      <c r="M16" s="121" t="str">
        <f>Overview!AD16</f>
        <v>No</v>
      </c>
      <c r="N16" s="119">
        <f>Overview!AG16</f>
        <v>0.87</v>
      </c>
      <c r="O16" s="3" t="str">
        <f>Overview!AH16</f>
        <v>Methanol from NG</v>
      </c>
      <c r="P16" s="129">
        <f>Overview!AI16</f>
        <v>1.4</v>
      </c>
    </row>
    <row r="17" spans="1:16">
      <c r="A17" s="3" t="str">
        <f>Overview!A17</f>
        <v>8b</v>
      </c>
      <c r="B17" s="2" t="str">
        <f>Overview!B17</f>
        <v>Methane reforming and Methanol Synthesis</v>
      </c>
      <c r="C17" s="2" t="str">
        <f>Overview!C17</f>
        <v>Methanol</v>
      </c>
      <c r="D17" s="2" t="str">
        <f>Overview!D17</f>
        <v>Maritime-bio</v>
      </c>
      <c r="E17" s="121">
        <f>Overview!E17</f>
        <v>8</v>
      </c>
      <c r="F17">
        <f>Overview!F17</f>
        <v>2</v>
      </c>
      <c r="G17" s="64">
        <f>Overview!H17</f>
        <v>15</v>
      </c>
      <c r="H17" s="130">
        <f>Overview!P17</f>
        <v>0.80664140421223363</v>
      </c>
      <c r="I17" s="114">
        <f>Overview!R17</f>
        <v>12.099621063183504</v>
      </c>
      <c r="J17" s="65">
        <f>Overview!U17</f>
        <v>1.9344283886629341</v>
      </c>
      <c r="K17" s="119">
        <f>Overview!X17</f>
        <v>6.254881873164968</v>
      </c>
      <c r="L17" s="3" t="str">
        <f>Overview!AA17</f>
        <v>Increasing</v>
      </c>
      <c r="M17" s="121" t="str">
        <f>Overview!AD17</f>
        <v>No</v>
      </c>
      <c r="N17" s="119">
        <f>Overview!AG17</f>
        <v>2.1800000000000002</v>
      </c>
      <c r="O17" s="3" t="str">
        <f>Overview!AH17</f>
        <v>Methanol from NG</v>
      </c>
      <c r="P17" s="128">
        <f>Overview!AI17</f>
        <v>1.4</v>
      </c>
    </row>
    <row r="18" spans="1:16">
      <c r="A18" s="3" t="str">
        <f>Overview!A18</f>
        <v>8c</v>
      </c>
      <c r="B18" s="4" t="str">
        <f>Overview!B18</f>
        <v>Methanol Synthesis from biogenic CO2 and H2</v>
      </c>
      <c r="C18" s="4" t="str">
        <f>Overview!C18</f>
        <v>e-Methanol</v>
      </c>
      <c r="D18" s="4" t="str">
        <f>Overview!D18</f>
        <v>Maritime-e</v>
      </c>
      <c r="E18" s="121">
        <f>Overview!E18</f>
        <v>8</v>
      </c>
      <c r="F18">
        <f>Overview!F18</f>
        <v>2</v>
      </c>
      <c r="G18" s="64">
        <f>Overview!H18</f>
        <v>32.68</v>
      </c>
      <c r="H18" s="130">
        <f>Overview!P18</f>
        <v>0.32220956679706714</v>
      </c>
      <c r="I18" s="114">
        <f>Overview!R18</f>
        <v>2.6324521607320386</v>
      </c>
      <c r="J18" s="65">
        <f>Overview!U18</f>
        <v>6.0992998641585271E-2</v>
      </c>
      <c r="K18" s="119">
        <f>Overview!X18</f>
        <v>43.159907191990754</v>
      </c>
      <c r="L18" s="3" t="str">
        <f>Overview!AA18</f>
        <v>Increasing</v>
      </c>
      <c r="M18" s="121" t="str">
        <f>Overview!AD18</f>
        <v>No</v>
      </c>
      <c r="N18" s="119">
        <f>Overview!AG18</f>
        <v>0.98</v>
      </c>
      <c r="O18" s="3" t="str">
        <f>Overview!AH18</f>
        <v>Methanol from NG</v>
      </c>
      <c r="P18" s="128">
        <f>Overview!AI18</f>
        <v>1.4</v>
      </c>
    </row>
    <row r="19" spans="1:16">
      <c r="A19" s="3" t="str">
        <f>Overview!A19</f>
        <v>8d</v>
      </c>
      <c r="B19" s="2" t="str">
        <f>Overview!B19</f>
        <v>Methanol from pulping</v>
      </c>
      <c r="C19" s="2" t="str">
        <f>Overview!C19</f>
        <v>Methanol</v>
      </c>
      <c r="D19" s="2" t="str">
        <f>Overview!D19</f>
        <v>Maritime-bio</v>
      </c>
      <c r="E19" s="121">
        <f>Overview!E19</f>
        <v>9</v>
      </c>
      <c r="F19">
        <f>Overview!F19</f>
        <v>3</v>
      </c>
      <c r="G19" s="63">
        <f>Overview!H19</f>
        <v>24.7</v>
      </c>
      <c r="H19" s="133">
        <f>Overview!P19</f>
        <v>4.7769179325499187E-3</v>
      </c>
      <c r="I19" s="115">
        <f>Overview!R19</f>
        <v>0.11798987293398298</v>
      </c>
      <c r="J19" s="65">
        <f>Overview!U19</f>
        <v>1.9344283886629341</v>
      </c>
      <c r="K19" s="119">
        <f>Overview!X19</f>
        <v>6.0994696741158205E-2</v>
      </c>
      <c r="L19" s="3" t="str">
        <f>Overview!AA19</f>
        <v>Increasing</v>
      </c>
      <c r="M19" s="121" t="str">
        <f>Overview!AD19</f>
        <v>No</v>
      </c>
      <c r="N19" s="119">
        <f>Overview!AG19</f>
        <v>0.99</v>
      </c>
      <c r="O19" s="3" t="str">
        <f>Overview!AH19</f>
        <v>Methanol from NG</v>
      </c>
      <c r="P19" s="128">
        <f>Overview!AI19</f>
        <v>1.4</v>
      </c>
    </row>
    <row r="20" spans="1:16">
      <c r="A20" s="3" t="str">
        <f>Overview!A20</f>
        <v>9a</v>
      </c>
      <c r="B20" s="1" t="str">
        <f>Overview!B20</f>
        <v>Gasification and Methanation</v>
      </c>
      <c r="C20" s="1" t="str">
        <f>Overview!C20</f>
        <v>Methane</v>
      </c>
      <c r="D20" s="1" t="str">
        <f>Overview!D20</f>
        <v>Road-bio 2030</v>
      </c>
      <c r="E20" s="121">
        <f>Overview!E20</f>
        <v>8</v>
      </c>
      <c r="F20">
        <f>Overview!F20</f>
        <v>2</v>
      </c>
      <c r="G20" s="64">
        <f>Overview!H20</f>
        <v>317.53387060952218</v>
      </c>
      <c r="H20" s="130">
        <f>Overview!P20</f>
        <v>0.32708139432949784</v>
      </c>
      <c r="I20" s="114">
        <f>Overview!R20</f>
        <v>25.964855286451218</v>
      </c>
      <c r="J20" s="65">
        <f>Overview!U20</f>
        <v>22.442503287543463</v>
      </c>
      <c r="K20" s="119">
        <f>Overview!X20</f>
        <v>1.1569500493673899</v>
      </c>
      <c r="L20" s="3" t="str">
        <f>Overview!AA20</f>
        <v>Increasing</v>
      </c>
      <c r="M20" s="121" t="str">
        <f>Overview!AD20</f>
        <v>Yes</v>
      </c>
      <c r="N20" s="119">
        <f>Overview!AG20</f>
        <v>0.69</v>
      </c>
      <c r="O20" s="3" t="str">
        <f>Overview!AH20</f>
        <v>Natural gas</v>
      </c>
      <c r="P20" s="129">
        <f>Overview!AI20</f>
        <v>14.9</v>
      </c>
    </row>
    <row r="21" spans="1:16">
      <c r="A21" s="3" t="str">
        <f>Overview!A21</f>
        <v>9a</v>
      </c>
      <c r="B21" s="1" t="str">
        <f>Overview!B21</f>
        <v>Gasification and Methanation</v>
      </c>
      <c r="C21" s="1" t="str">
        <f>Overview!C21</f>
        <v>Methane</v>
      </c>
      <c r="D21" s="1" t="str">
        <f>Overview!D21</f>
        <v>Maritime-bio 2040/2050</v>
      </c>
      <c r="E21" s="121">
        <f>Overview!E21</f>
        <v>8</v>
      </c>
      <c r="F21">
        <f>Overview!F21</f>
        <v>2</v>
      </c>
      <c r="G21" s="64">
        <f>Overview!H21</f>
        <v>317.53387060952218</v>
      </c>
      <c r="H21" s="130">
        <f>Overview!P21</f>
        <v>0.32708139432949784</v>
      </c>
      <c r="I21" s="114">
        <f>Overview!R21</f>
        <v>0</v>
      </c>
      <c r="J21" s="65">
        <f>Overview!U21</f>
        <v>0</v>
      </c>
      <c r="K21" s="119">
        <f>Overview!X21</f>
        <v>0</v>
      </c>
      <c r="L21" s="3" t="str">
        <f>Overview!AA21</f>
        <v>Increasing</v>
      </c>
      <c r="M21" s="121" t="str">
        <f>Overview!AD21</f>
        <v>No</v>
      </c>
      <c r="N21" s="119">
        <f>Overview!AG21</f>
        <v>0.73</v>
      </c>
      <c r="O21" s="18" t="str">
        <f>Overview!AH21</f>
        <v>MFO</v>
      </c>
      <c r="P21" s="129">
        <f>Overview!AI21</f>
        <v>14.9</v>
      </c>
    </row>
    <row r="22" spans="1:16">
      <c r="A22" s="3" t="str">
        <f>Overview!A22</f>
        <v>9b</v>
      </c>
      <c r="B22" s="4" t="str">
        <f>Overview!B22</f>
        <v>Methanation from biogenic CO2 and H2</v>
      </c>
      <c r="C22" s="4" t="str">
        <f>Overview!C22</f>
        <v>e-Methane</v>
      </c>
      <c r="D22" s="4" t="str">
        <f>Overview!D22</f>
        <v>Road-e 2030</v>
      </c>
      <c r="E22" s="121">
        <f>Overview!E22</f>
        <v>9</v>
      </c>
      <c r="F22">
        <f>Overview!F22</f>
        <v>3</v>
      </c>
      <c r="G22" s="64">
        <f>Overview!H22</f>
        <v>32.68</v>
      </c>
      <c r="H22" s="130">
        <f>Overview!P22</f>
        <v>0.43461267880872345</v>
      </c>
      <c r="I22" s="114">
        <f>Overview!R22</f>
        <v>3.5507855858672706</v>
      </c>
      <c r="J22" s="65">
        <f>Overview!U22</f>
        <v>0.48601379959576846</v>
      </c>
      <c r="K22" s="119">
        <f>Overview!X22</f>
        <v>7.3059357343774192</v>
      </c>
      <c r="L22" s="3" t="str">
        <f>Overview!AA22</f>
        <v>Increasing</v>
      </c>
      <c r="M22" s="121" t="str">
        <f>Overview!AD22</f>
        <v>Yes</v>
      </c>
      <c r="N22" s="119">
        <f>Overview!AG22</f>
        <v>0.96</v>
      </c>
      <c r="O22" s="3" t="str">
        <f>Overview!AH22</f>
        <v>Natural gas</v>
      </c>
      <c r="P22" s="128">
        <f>Overview!AI22</f>
        <v>1.5</v>
      </c>
    </row>
    <row r="23" spans="1:16">
      <c r="A23" s="3" t="str">
        <f>Overview!A23</f>
        <v>9b</v>
      </c>
      <c r="B23" s="4" t="str">
        <f>Overview!B23</f>
        <v>Methanation from biogenic CO2 and H2</v>
      </c>
      <c r="C23" s="4" t="str">
        <f>Overview!C23</f>
        <v>e-Methane</v>
      </c>
      <c r="D23" s="4" t="str">
        <f>Overview!D23</f>
        <v>Maritime-e 2040/2050</v>
      </c>
      <c r="E23" s="121">
        <f>Overview!E23</f>
        <v>9</v>
      </c>
      <c r="F23">
        <f>Overview!F23</f>
        <v>3</v>
      </c>
      <c r="G23" s="64">
        <f>Overview!H23</f>
        <v>32.68</v>
      </c>
      <c r="H23" s="130">
        <f>Overview!P23</f>
        <v>0.43461267880872345</v>
      </c>
      <c r="I23" s="114">
        <f>Overview!R23</f>
        <v>0</v>
      </c>
      <c r="J23" s="65">
        <f>Overview!U23</f>
        <v>0</v>
      </c>
      <c r="K23" s="119">
        <f>Overview!X23</f>
        <v>0</v>
      </c>
      <c r="L23" s="3" t="str">
        <f>Overview!AA23</f>
        <v>Increasing</v>
      </c>
      <c r="M23" s="121" t="str">
        <f>Overview!AD23</f>
        <v>No</v>
      </c>
      <c r="N23" s="119">
        <f>Overview!AG23</f>
        <v>0.97</v>
      </c>
      <c r="O23" s="18" t="str">
        <f>Overview!AH23</f>
        <v>MFO</v>
      </c>
      <c r="P23" s="128">
        <f>Overview!AI23</f>
        <v>1.5</v>
      </c>
    </row>
    <row r="24" spans="1:16">
      <c r="A24">
        <f>Overview!A24</f>
        <v>10</v>
      </c>
      <c r="B24" s="1" t="str">
        <f>Overview!B24</f>
        <v>Gasification to Hydrogen</v>
      </c>
      <c r="C24" s="1" t="str">
        <f>Overview!C24</f>
        <v>Hydrogen</v>
      </c>
      <c r="D24" s="1" t="str">
        <f>Overview!D24</f>
        <v>Road-bio 2040/2050</v>
      </c>
      <c r="E24" s="121">
        <f>Overview!E24</f>
        <v>8</v>
      </c>
      <c r="F24">
        <f>Overview!F24</f>
        <v>2</v>
      </c>
      <c r="G24" s="64">
        <f>Overview!H24</f>
        <v>317.53387060952218</v>
      </c>
      <c r="H24" s="130">
        <f>Overview!P24</f>
        <v>0.28999999999999998</v>
      </c>
      <c r="I24" s="114">
        <f>Overview!R24</f>
        <v>0</v>
      </c>
      <c r="J24" s="65">
        <f>Overview!U24</f>
        <v>0</v>
      </c>
      <c r="K24" s="119">
        <f>Overview!X24</f>
        <v>0</v>
      </c>
      <c r="L24" s="3" t="str">
        <f>Overview!AA24</f>
        <v>Increasing</v>
      </c>
      <c r="M24" s="121" t="str">
        <f>Overview!AD24</f>
        <v>No</v>
      </c>
      <c r="N24" s="126">
        <f>Overview!AG24</f>
        <v>0.89</v>
      </c>
      <c r="O24" s="3" t="str">
        <f>Overview!AH24</f>
        <v>Hydrogen from NG</v>
      </c>
      <c r="P24" s="128">
        <f>Overview!AI24</f>
        <v>0.14299999999999999</v>
      </c>
    </row>
    <row r="25" spans="1:16">
      <c r="A25" s="3" t="str">
        <f>Overview!A25</f>
        <v>11a</v>
      </c>
      <c r="B25" s="1" t="str">
        <f>Overview!B25</f>
        <v>Gasification and FT-Synthesis</v>
      </c>
      <c r="C25" s="1" t="str">
        <f>Overview!C25</f>
        <v>FT-diesel</v>
      </c>
      <c r="D25" s="1" t="str">
        <f>Overview!D25</f>
        <v>Road-bio 2030</v>
      </c>
      <c r="E25" s="121" t="str">
        <f>Overview!E25</f>
        <v xml:space="preserve"> 6-7</v>
      </c>
      <c r="F25">
        <f>Overview!F25</f>
        <v>1</v>
      </c>
      <c r="G25" s="64">
        <f>Overview!H25</f>
        <v>317.53387060952218</v>
      </c>
      <c r="H25" s="130">
        <f>Overview!P25</f>
        <v>0.20466704882010128</v>
      </c>
      <c r="I25" s="114">
        <f>Overview!R25</f>
        <v>16.2471800495187</v>
      </c>
      <c r="J25" s="65">
        <f>Overview!U25</f>
        <v>22.442503287543463</v>
      </c>
      <c r="K25" s="119">
        <f>Overview!X25</f>
        <v>0.72394687176169747</v>
      </c>
      <c r="L25" s="3" t="str">
        <f>Overview!AA25</f>
        <v>Increasing</v>
      </c>
      <c r="M25" s="121" t="str">
        <f>Overview!AD25</f>
        <v>Yes</v>
      </c>
      <c r="N25" s="119">
        <f>Overview!AG25</f>
        <v>0.88</v>
      </c>
      <c r="O25" s="18" t="str">
        <f>Overview!AH25</f>
        <v>Diesel</v>
      </c>
      <c r="P25" s="129">
        <f>Overview!AI25</f>
        <v>8.1999999999999993</v>
      </c>
    </row>
    <row r="26" spans="1:16">
      <c r="A26" s="3" t="str">
        <f>Overview!A26</f>
        <v>11a</v>
      </c>
      <c r="B26" s="1" t="str">
        <f>Overview!B26</f>
        <v>Gasification and FT-Synthesis</v>
      </c>
      <c r="C26" s="1" t="str">
        <f>Overview!C26</f>
        <v>FT-SPK</v>
      </c>
      <c r="D26" s="1" t="str">
        <f>Overview!D26</f>
        <v>Aviation-bio 2040/2050</v>
      </c>
      <c r="E26" s="121" t="str">
        <f>Overview!E26</f>
        <v xml:space="preserve"> 6-7</v>
      </c>
      <c r="F26">
        <f>Overview!F26</f>
        <v>1</v>
      </c>
      <c r="G26" s="64">
        <f>Overview!H26</f>
        <v>317.53387060952218</v>
      </c>
      <c r="H26" s="130">
        <f>Overview!P26</f>
        <v>0.10000776249164038</v>
      </c>
      <c r="I26" s="114">
        <f>Overview!R26</f>
        <v>0</v>
      </c>
      <c r="J26" s="65">
        <f>Overview!U26</f>
        <v>0</v>
      </c>
      <c r="K26" s="119">
        <f>Overview!X26</f>
        <v>0</v>
      </c>
      <c r="L26" s="3" t="str">
        <f>Overview!AA26</f>
        <v>Increasing</v>
      </c>
      <c r="M26" s="121" t="str">
        <f>Overview!AD26</f>
        <v>Medium</v>
      </c>
      <c r="N26" s="119">
        <f>Overview!AG26</f>
        <v>0.88</v>
      </c>
      <c r="O26" s="18" t="str">
        <f>Overview!AH26</f>
        <v>Kerosene</v>
      </c>
      <c r="P26" s="129">
        <f>Overview!AI26</f>
        <v>8.1999999999999993</v>
      </c>
    </row>
    <row r="27" spans="1:16">
      <c r="A27" s="3" t="str">
        <f>Overview!A27</f>
        <v>11b</v>
      </c>
      <c r="B27" s="4" t="str">
        <f>Overview!B27</f>
        <v>FT-Synthesis from biogenic CO2 and H2</v>
      </c>
      <c r="C27" s="4" t="str">
        <f>Overview!C27</f>
        <v>e-FT-diesel</v>
      </c>
      <c r="D27" s="4" t="str">
        <f>Overview!D27</f>
        <v>Road-e 2030</v>
      </c>
      <c r="E27" s="122" t="str">
        <f>Overview!E27</f>
        <v>4-5</v>
      </c>
      <c r="F27">
        <f>Overview!F27</f>
        <v>1</v>
      </c>
      <c r="G27" s="64">
        <f>Overview!H27</f>
        <v>32.68</v>
      </c>
      <c r="H27" s="130">
        <f>Overview!P27</f>
        <v>0.18916595012897677</v>
      </c>
      <c r="I27" s="114">
        <f>Overview!R27</f>
        <v>1.5454858125537403</v>
      </c>
      <c r="J27" s="65">
        <f>Overview!U27</f>
        <v>0.48601379959576846</v>
      </c>
      <c r="K27" s="119">
        <f>Overview!X27</f>
        <v>3.1799216685599565</v>
      </c>
      <c r="L27" s="3" t="str">
        <f>Overview!AA27</f>
        <v>Increasing</v>
      </c>
      <c r="M27" s="121" t="str">
        <f>Overview!AD27</f>
        <v>Yes</v>
      </c>
      <c r="N27" s="126">
        <f>Overview!AG27</f>
        <v>0.99</v>
      </c>
      <c r="O27" s="3" t="str">
        <f>Overview!AH27</f>
        <v>Diesel</v>
      </c>
      <c r="P27" s="128">
        <f>Overview!AI27</f>
        <v>8.1999999999999993</v>
      </c>
    </row>
    <row r="28" spans="1:16">
      <c r="A28" s="3" t="str">
        <f>Overview!A28</f>
        <v>11b</v>
      </c>
      <c r="B28" s="4" t="str">
        <f>Overview!B28</f>
        <v>FT-Synthesis from biogenic CO2 and H2</v>
      </c>
      <c r="C28" s="4" t="str">
        <f>Overview!C28</f>
        <v>e-FT-SPK</v>
      </c>
      <c r="D28" s="4" t="str">
        <f>Overview!D28</f>
        <v>Aviation-e 2040/2050</v>
      </c>
      <c r="E28" s="122" t="str">
        <f>Overview!E28</f>
        <v>4-5</v>
      </c>
      <c r="F28">
        <f>Overview!F28</f>
        <v>1</v>
      </c>
      <c r="G28" s="64">
        <f>Overview!H28</f>
        <v>32.68</v>
      </c>
      <c r="H28" s="130">
        <f>Overview!P28</f>
        <v>9.243336199484091E-2</v>
      </c>
      <c r="I28" s="114">
        <f>Overview!R28</f>
        <v>0</v>
      </c>
      <c r="J28" s="65">
        <f>Overview!U28</f>
        <v>0</v>
      </c>
      <c r="K28" s="119">
        <f>Overview!X28</f>
        <v>0</v>
      </c>
      <c r="L28" s="3" t="str">
        <f>Overview!AA28</f>
        <v>Increasing</v>
      </c>
      <c r="M28" s="121" t="str">
        <f>Overview!AD28</f>
        <v>Medium</v>
      </c>
      <c r="N28" s="126">
        <f>Overview!AG28</f>
        <v>0.99</v>
      </c>
      <c r="O28" s="18" t="str">
        <f>Overview!AH28</f>
        <v>Kerosene</v>
      </c>
      <c r="P28" s="128">
        <f>Overview!AI28</f>
        <v>8.1999999999999993</v>
      </c>
    </row>
    <row r="29" spans="1:16">
      <c r="A29">
        <f>Overview!A29</f>
        <v>12</v>
      </c>
      <c r="B29" s="2" t="str">
        <f>Overview!B29</f>
        <v>Gas Fermentation to Ethanol</v>
      </c>
      <c r="C29" s="2" t="str">
        <f>Overview!C29</f>
        <v>Ethanol</v>
      </c>
      <c r="D29" s="2" t="str">
        <f>Overview!D29</f>
        <v>Road-bio 2030</v>
      </c>
      <c r="E29" s="123">
        <f>Overview!E29</f>
        <v>9</v>
      </c>
      <c r="F29" s="8">
        <f>Overview!F29</f>
        <v>3</v>
      </c>
      <c r="G29" s="64">
        <f>Overview!H29</f>
        <v>32.68</v>
      </c>
      <c r="H29" s="134">
        <f>Overview!P29</f>
        <v>0.30419052872369762</v>
      </c>
      <c r="I29" s="114">
        <f>Overview!R29</f>
        <v>2.4852366196726097</v>
      </c>
      <c r="J29" s="65">
        <f>Overview!U29</f>
        <v>22.442503287543463</v>
      </c>
      <c r="K29" s="119">
        <f>Overview!X29</f>
        <v>0.1107379416560906</v>
      </c>
      <c r="L29" s="18" t="str">
        <f>Overview!AA29</f>
        <v>Increasing</v>
      </c>
      <c r="M29" s="121" t="str">
        <f>Overview!AD29</f>
        <v>Yes</v>
      </c>
      <c r="N29" s="126">
        <f>Overview!AG29</f>
        <v>0.6</v>
      </c>
      <c r="O29" s="3" t="str">
        <f>Overview!AH29</f>
        <v>Gasoline</v>
      </c>
      <c r="P29" s="128">
        <f>Overview!AI29</f>
        <v>0.96699999999999997</v>
      </c>
    </row>
    <row r="30" spans="1:16">
      <c r="A30">
        <f>Overview!A30</f>
        <v>12</v>
      </c>
      <c r="B30" s="2" t="str">
        <f>Overview!B30</f>
        <v>Gas Fermentation to Ethanol</v>
      </c>
      <c r="C30" s="2" t="str">
        <f>Overview!C30</f>
        <v>ATJ-SPK</v>
      </c>
      <c r="D30" s="2" t="str">
        <f>Overview!D30</f>
        <v>Aviation-bio 2040/2050</v>
      </c>
      <c r="E30" s="123">
        <f>Overview!E30</f>
        <v>9</v>
      </c>
      <c r="F30" s="8">
        <f>Overview!F30</f>
        <v>3</v>
      </c>
      <c r="G30" s="64">
        <f>Overview!H30</f>
        <v>32.68</v>
      </c>
      <c r="H30" s="134">
        <f>Overview!P30</f>
        <v>0.18251431723421854</v>
      </c>
      <c r="I30" s="114">
        <f>Overview!R30</f>
        <v>0</v>
      </c>
      <c r="J30" s="112">
        <f>Overview!U30</f>
        <v>0</v>
      </c>
      <c r="K30" s="120">
        <f>Overview!X30</f>
        <v>0</v>
      </c>
      <c r="L30" s="110" t="str">
        <f>Overview!AA30</f>
        <v>Increasing</v>
      </c>
      <c r="M30" s="124">
        <f>Overview!AD30</f>
        <v>0</v>
      </c>
      <c r="N30" s="127">
        <f>Overview!AG30</f>
        <v>0</v>
      </c>
      <c r="O30" s="3" t="str">
        <f>Overview!AH30</f>
        <v>n.a.</v>
      </c>
      <c r="P30" s="128" t="str">
        <f>Overview!AI30</f>
        <v>n.a.</v>
      </c>
    </row>
    <row r="31" spans="1:16">
      <c r="A31" s="3" t="str">
        <f>Overview!A31</f>
        <v>13a</v>
      </c>
      <c r="B31" s="1" t="str">
        <f>Overview!B31</f>
        <v>Pyrolysis and Co-processing in Refinery</v>
      </c>
      <c r="C31" s="1" t="str">
        <f>Overview!C31</f>
        <v>Gasoline+Diesel</v>
      </c>
      <c r="D31" s="1" t="str">
        <f>Overview!D31</f>
        <v>Road-bio 2030</v>
      </c>
      <c r="E31" s="121">
        <f>Overview!E31</f>
        <v>9</v>
      </c>
      <c r="F31">
        <f>Overview!F31</f>
        <v>3</v>
      </c>
      <c r="G31" s="64">
        <f>Overview!H31</f>
        <v>270.4425788511054</v>
      </c>
      <c r="H31" s="134">
        <f>Overview!P31</f>
        <v>0.27123986095017383</v>
      </c>
      <c r="I31" s="114">
        <f>Overview!R31</f>
        <v>24.451602494193413</v>
      </c>
      <c r="J31" s="65">
        <f>Overview!U31</f>
        <v>22.442503287543463</v>
      </c>
      <c r="K31" s="119">
        <f>Overview!X31</f>
        <v>1.0895220635999676</v>
      </c>
      <c r="L31" s="3" t="str">
        <f>Overview!AA31</f>
        <v>Increasing</v>
      </c>
      <c r="M31" s="121" t="str">
        <f>Overview!AD31</f>
        <v>Yes</v>
      </c>
      <c r="N31" s="119">
        <f>Overview!AG31</f>
        <v>0.71</v>
      </c>
      <c r="O31" s="3" t="str">
        <f>Overview!AH31</f>
        <v>Gasoline/Diesel</v>
      </c>
      <c r="P31" s="129">
        <f>Overview!AI31</f>
        <v>5.0999999999999996</v>
      </c>
    </row>
    <row r="32" spans="1:16">
      <c r="A32" s="3" t="str">
        <f>Overview!A32</f>
        <v>13a</v>
      </c>
      <c r="B32" s="1" t="str">
        <f>Overview!B32</f>
        <v>Pyrolysis and Co-processing in Refinery</v>
      </c>
      <c r="C32" s="5" t="str">
        <f>Overview!C32</f>
        <v>Bio-kerosene</v>
      </c>
      <c r="D32" s="1" t="str">
        <f>Overview!D32</f>
        <v>Aviation-bio 2040/2050</v>
      </c>
      <c r="E32" s="121">
        <f>Overview!E32</f>
        <v>9</v>
      </c>
      <c r="F32">
        <f>Overview!F32</f>
        <v>3</v>
      </c>
      <c r="G32" s="64">
        <f>Overview!H32</f>
        <v>270.4425788511054</v>
      </c>
      <c r="H32" s="134">
        <f>Overview!P32</f>
        <v>9.0413286983391281E-2</v>
      </c>
      <c r="I32" s="114">
        <f>Overview!R32</f>
        <v>0</v>
      </c>
      <c r="J32" s="112">
        <f>Overview!U32</f>
        <v>0</v>
      </c>
      <c r="K32" s="120">
        <f>Overview!X32</f>
        <v>0</v>
      </c>
      <c r="L32" s="110" t="str">
        <f>Overview!AA32</f>
        <v>Increasing</v>
      </c>
      <c r="M32" s="124" t="str">
        <f>Overview!AD32</f>
        <v>Medium</v>
      </c>
      <c r="N32" s="119">
        <f>Overview!AG32</f>
        <v>0.7</v>
      </c>
      <c r="O32" s="3" t="str">
        <f>Overview!AH32</f>
        <v>Kerosene</v>
      </c>
      <c r="P32" s="129">
        <f>Overview!AI32</f>
        <v>5.0999999999999996</v>
      </c>
    </row>
    <row r="33" spans="1:16">
      <c r="A33" s="3" t="str">
        <f>Overview!A33</f>
        <v>13b</v>
      </c>
      <c r="B33" s="1" t="str">
        <f>Overview!B33</f>
        <v>Pyrolysis (and Thermo-Catalytic Reforming) and Upgrading (HDO)</v>
      </c>
      <c r="C33" s="1" t="str">
        <f>Overview!C33</f>
        <v>Gasoline+Diesel</v>
      </c>
      <c r="D33" s="1" t="str">
        <f>Overview!D33</f>
        <v>Road-bio 2030</v>
      </c>
      <c r="E33" s="121" t="str">
        <f>Overview!E33</f>
        <v xml:space="preserve"> 6-7</v>
      </c>
      <c r="F33">
        <f>Overview!F33</f>
        <v>1</v>
      </c>
      <c r="G33" s="64">
        <f>Overview!H33</f>
        <v>270.4425788511054</v>
      </c>
      <c r="H33" s="134">
        <f>Overview!P33</f>
        <v>0.27123986095017383</v>
      </c>
      <c r="I33" s="114">
        <f>Overview!R33</f>
        <v>24.451602494193413</v>
      </c>
      <c r="J33" s="65">
        <f>Overview!U33</f>
        <v>22.442503287543463</v>
      </c>
      <c r="K33" s="119">
        <f>Overview!X33</f>
        <v>1.0895220635999676</v>
      </c>
      <c r="L33" s="3" t="str">
        <f>Overview!AA33</f>
        <v>Increasing</v>
      </c>
      <c r="M33" s="121" t="str">
        <f>Overview!AD33</f>
        <v>Yes</v>
      </c>
      <c r="N33" s="119">
        <f>Overview!AG33</f>
        <v>0.71</v>
      </c>
      <c r="O33" s="3" t="str">
        <f>Overview!AH33</f>
        <v>Gasoline/Diesel</v>
      </c>
      <c r="P33" s="129">
        <f>Overview!AI33</f>
        <v>5.0999999999999996</v>
      </c>
    </row>
    <row r="34" spans="1:16">
      <c r="A34" s="3" t="str">
        <f>Overview!A34</f>
        <v>13b</v>
      </c>
      <c r="B34" s="1" t="str">
        <f>Overview!B34</f>
        <v>Pyrolysis (and Thermo-Catalytic Reforming) and Upgrading (HDO)</v>
      </c>
      <c r="C34" s="5" t="str">
        <f>Overview!C34</f>
        <v>Bio-heavy fuel oil</v>
      </c>
      <c r="D34" s="1" t="str">
        <f>Overview!D34</f>
        <v>Maritime-bio 2040/2050</v>
      </c>
      <c r="E34" s="121" t="str">
        <f>Overview!E34</f>
        <v xml:space="preserve"> 6-7</v>
      </c>
      <c r="F34">
        <f>Overview!F34</f>
        <v>1</v>
      </c>
      <c r="G34" s="64">
        <f>Overview!H34</f>
        <v>270.4425788511054</v>
      </c>
      <c r="H34" s="134">
        <f>Overview!P34</f>
        <v>9.0413286983391281E-2</v>
      </c>
      <c r="I34" s="114">
        <f>Overview!R34</f>
        <v>0</v>
      </c>
      <c r="J34" s="112">
        <f>Overview!U34</f>
        <v>0</v>
      </c>
      <c r="K34" s="120">
        <f>Overview!X34</f>
        <v>0</v>
      </c>
      <c r="L34" s="110" t="str">
        <f>Overview!AA34</f>
        <v>Increasing</v>
      </c>
      <c r="M34" s="124" t="str">
        <f>Overview!AD34</f>
        <v>No</v>
      </c>
      <c r="N34" s="119">
        <f>Overview!AG34</f>
        <v>0.7</v>
      </c>
      <c r="O34" s="3" t="str">
        <f>Overview!AH34</f>
        <v>MFO</v>
      </c>
      <c r="P34" s="129">
        <f>Overview!AI34</f>
        <v>5.0999999999999996</v>
      </c>
    </row>
    <row r="35" spans="1:16">
      <c r="A35">
        <f>Overview!A35</f>
        <v>14</v>
      </c>
      <c r="B35" s="5" t="str">
        <f>Overview!B35</f>
        <v xml:space="preserve">Hydrothermal Liquefaction and Upgrading in Refinery (FCC or HDO) </v>
      </c>
      <c r="C35" s="5" t="str">
        <f>Overview!C35</f>
        <v>Diesel</v>
      </c>
      <c r="D35" s="5" t="str">
        <f>Overview!D35</f>
        <v>Road-bio 2030</v>
      </c>
      <c r="E35" s="121">
        <f>Overview!E35</f>
        <v>6</v>
      </c>
      <c r="F35">
        <f>Overview!F35</f>
        <v>1</v>
      </c>
      <c r="G35" s="64">
        <f>Overview!H35</f>
        <v>129.10404670004917</v>
      </c>
      <c r="H35" s="130">
        <f>Overview!P35</f>
        <v>0.36986078886310902</v>
      </c>
      <c r="I35" s="114">
        <f>Overview!R35</f>
        <v>23.875262278949926</v>
      </c>
      <c r="J35" s="65">
        <f>Overview!U35</f>
        <v>22.442503287543463</v>
      </c>
      <c r="K35" s="119">
        <f>Overview!X35</f>
        <v>1.0638413181029456</v>
      </c>
      <c r="L35" s="3" t="str">
        <f>Overview!AA35</f>
        <v>Increasing</v>
      </c>
      <c r="M35" s="121" t="str">
        <f>Overview!AD35</f>
        <v>Yes</v>
      </c>
      <c r="N35" s="119">
        <f>Overview!AG35</f>
        <v>0.66</v>
      </c>
      <c r="O35" s="18" t="str">
        <f>Overview!AH35</f>
        <v>Diesel</v>
      </c>
      <c r="P35" s="129">
        <f>Overview!AI35</f>
        <v>0.8</v>
      </c>
    </row>
    <row r="36" spans="1:16">
      <c r="A36">
        <f>Overview!A36</f>
        <v>14</v>
      </c>
      <c r="B36" s="5" t="str">
        <f>Overview!B36</f>
        <v xml:space="preserve">Hydrothermal Liquefaction and Upgrading in Refinery (FCC or HDO) </v>
      </c>
      <c r="C36" s="5" t="str">
        <f>Overview!C36</f>
        <v>Bio-kerosene</v>
      </c>
      <c r="D36" s="1" t="str">
        <f>Overview!D36</f>
        <v>Aviation-bio 2040/2050</v>
      </c>
      <c r="E36" s="121">
        <f>Overview!E36</f>
        <v>6</v>
      </c>
      <c r="F36">
        <f>Overview!F36</f>
        <v>1</v>
      </c>
      <c r="G36" s="64">
        <f>Overview!H36</f>
        <v>129.10404670004917</v>
      </c>
      <c r="H36" s="134">
        <f>Overview!P36</f>
        <v>0.12662028216548585</v>
      </c>
      <c r="I36" s="114">
        <f>Overview!R36</f>
        <v>0</v>
      </c>
      <c r="J36" s="112">
        <f>Overview!U36</f>
        <v>0</v>
      </c>
      <c r="K36" s="120">
        <f>Overview!X36</f>
        <v>0</v>
      </c>
      <c r="L36" s="110" t="str">
        <f>Overview!AA36</f>
        <v>Increasing</v>
      </c>
      <c r="M36" s="124" t="str">
        <f>Overview!AD36</f>
        <v>Medium</v>
      </c>
      <c r="N36" s="119">
        <f>Overview!AG36</f>
        <v>0.65</v>
      </c>
      <c r="O36" s="18" t="str">
        <f>Overview!AH36</f>
        <v>Kerosene</v>
      </c>
      <c r="P36" s="129">
        <f>Overview!AI36</f>
        <v>0.8</v>
      </c>
    </row>
    <row r="37" spans="1:16">
      <c r="A37">
        <f>Overview!A37</f>
        <v>14</v>
      </c>
      <c r="B37" s="5" t="str">
        <f>Overview!B37</f>
        <v xml:space="preserve">Hydrothermal Liquefaction and Upgrading in Refinery (FCC or HDO) </v>
      </c>
      <c r="C37" s="5" t="str">
        <f>Overview!C37</f>
        <v>Bio-heavy fuel oil</v>
      </c>
      <c r="D37" s="1" t="str">
        <f>Overview!D37</f>
        <v>Maritime-bio 2040/2050</v>
      </c>
      <c r="E37" s="121">
        <f>Overview!E37</f>
        <v>6</v>
      </c>
      <c r="F37">
        <f>Overview!F37</f>
        <v>1</v>
      </c>
      <c r="G37" s="64">
        <f>Overview!H37</f>
        <v>129.10404670004917</v>
      </c>
      <c r="H37" s="130">
        <f>Overview!P37</f>
        <v>0.24657385924207267</v>
      </c>
      <c r="I37" s="114">
        <f>Overview!R37</f>
        <v>0</v>
      </c>
      <c r="J37" s="112">
        <f>Overview!U37</f>
        <v>0</v>
      </c>
      <c r="K37" s="120">
        <f>Overview!X37</f>
        <v>0</v>
      </c>
      <c r="L37" s="110" t="str">
        <f>Overview!AA37</f>
        <v>Increasing</v>
      </c>
      <c r="M37" s="124" t="str">
        <f>Overview!AD37</f>
        <v>No</v>
      </c>
      <c r="N37" s="119">
        <f>Overview!AG37</f>
        <v>0.66</v>
      </c>
      <c r="O37" s="3" t="str">
        <f>Overview!AH37</f>
        <v>Diesel</v>
      </c>
      <c r="P37" s="129">
        <f>Overview!AI37</f>
        <v>0.8</v>
      </c>
    </row>
  </sheetData>
  <mergeCells count="2">
    <mergeCell ref="E1:F1"/>
    <mergeCell ref="E2:F2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4469-8C7D-4DB5-9882-E828F9C71563}">
  <sheetPr codeName="Tabelle15"/>
  <dimension ref="A1:M42"/>
  <sheetViews>
    <sheetView zoomScale="80" zoomScaleNormal="80" workbookViewId="0">
      <selection activeCell="B19" sqref="B19"/>
    </sheetView>
  </sheetViews>
  <sheetFormatPr baseColWidth="10" defaultRowHeight="14.5"/>
  <cols>
    <col min="2" max="2" width="42.1796875" customWidth="1"/>
    <col min="3" max="3" width="17.1796875" bestFit="1" customWidth="1"/>
    <col min="4" max="4" width="19.54296875" bestFit="1" customWidth="1"/>
    <col min="7" max="12" width="28" customWidth="1"/>
    <col min="13" max="13" width="42.81640625" customWidth="1"/>
  </cols>
  <sheetData>
    <row r="1" spans="1:13" ht="15" customHeight="1">
      <c r="E1" s="1080" t="str">
        <f>'2025-2030_KPIs'!E1</f>
        <v>Demoplants Database</v>
      </c>
      <c r="F1" s="1080">
        <f>'2025-2030_KPIs'!F1</f>
        <v>0</v>
      </c>
      <c r="G1" t="str">
        <f>'2025-2030_KPIs'!G1</f>
        <v xml:space="preserve"> Tender 1, Task 2</v>
      </c>
      <c r="H1" t="str">
        <f>'2025-2030_KPIs'!I1</f>
        <v xml:space="preserve">calculation: 2030 Medium I 2040 2050 High </v>
      </c>
      <c r="I1" t="str">
        <f>'2025-2030_KPIs'!K1</f>
        <v>calculation</v>
      </c>
      <c r="J1" t="str">
        <f>'2025-2030_KPIs'!M1</f>
        <v>qualitative assessment</v>
      </c>
      <c r="K1" t="str">
        <f>'2025-2030_KPIs'!N1</f>
        <v>literature</v>
      </c>
      <c r="L1" t="str">
        <f>'2025-2030_KPIs'!P1</f>
        <v>Tender 1 (Task 3)</v>
      </c>
    </row>
    <row r="2" spans="1:13" ht="29">
      <c r="A2" s="6"/>
      <c r="B2" s="6"/>
      <c r="C2" s="6"/>
      <c r="D2" s="6"/>
      <c r="E2" s="1081" t="str">
        <f>'2025-2030_KPIs'!E2</f>
        <v>Status 2024</v>
      </c>
      <c r="F2" s="1081">
        <f>'2025-2030_KPIs'!F2</f>
        <v>0</v>
      </c>
      <c r="G2" s="107">
        <f>'2025-2030_KPIs'!G2</f>
        <v>2030</v>
      </c>
      <c r="H2" s="107" t="str">
        <f>'2025-2030_KPIs'!I2</f>
        <v>feedstocks shared over pathways</v>
      </c>
      <c r="I2" s="358" t="str">
        <f>'2025-2030_KPIs'!K2</f>
        <v>feedstocks shared over pathways</v>
      </c>
      <c r="J2" s="6" t="str">
        <f>'2025-2030_KPIs'!M2</f>
        <v>2025-2030</v>
      </c>
      <c r="K2" s="6" t="str">
        <f>'2025-2030_KPIs'!N2</f>
        <v>JEC/Tender 1</v>
      </c>
      <c r="L2" t="str">
        <f>'2025-2030_KPIs'!P2</f>
        <v>Tender 1 (Task 3)</v>
      </c>
    </row>
    <row r="3" spans="1:13">
      <c r="A3" s="10" t="str">
        <f>'2025-2030_KPIs'!A3</f>
        <v xml:space="preserve">Nr. </v>
      </c>
      <c r="B3" s="10" t="str">
        <f>'2025-2030_KPIs'!B3</f>
        <v>Value Chain</v>
      </c>
      <c r="C3" s="10" t="str">
        <f>'2025-2030_KPIs'!C3</f>
        <v>Fuel</v>
      </c>
      <c r="D3" s="10" t="str">
        <f>'2025-2030_KPIs'!D3</f>
        <v>Sector</v>
      </c>
      <c r="E3" s="11" t="str">
        <f>'2025-2030_KPIs'!E3</f>
        <v>TRL</v>
      </c>
      <c r="F3" s="11" t="str">
        <f>'2025-2030_KPIs'!F3</f>
        <v>CRL</v>
      </c>
      <c r="G3" s="11" t="str">
        <f>'2025-2030_KPIs'!G3</f>
        <v>Feedstock availability and mobilization</v>
      </c>
      <c r="H3" s="11" t="str">
        <f>'2025-2030_KPIs'!I3</f>
        <v xml:space="preserve">Potential quantity </v>
      </c>
      <c r="I3" s="11" t="str">
        <f>'2025-2030_KPIs'!K3</f>
        <v>Contribution to market demand</v>
      </c>
      <c r="J3" s="11" t="str">
        <f>'2025-2030_KPIs'!M3</f>
        <v>Infrastrucuture availability</v>
      </c>
      <c r="K3" s="11" t="str">
        <f>'2025-2030_KPIs'!N3</f>
        <v>GHG reduction</v>
      </c>
      <c r="L3" s="11" t="str">
        <f>'2025-2030_KPIs'!P3</f>
        <v xml:space="preserve">Production capacity </v>
      </c>
      <c r="M3" t="s">
        <v>464</v>
      </c>
    </row>
    <row r="4" spans="1:13" ht="15" thickBot="1">
      <c r="A4" s="182"/>
      <c r="B4" s="182"/>
      <c r="C4" s="182"/>
      <c r="D4" s="182"/>
      <c r="E4" s="183" t="str">
        <f>'2025-2030_KPIs'!E4</f>
        <v xml:space="preserve"> 1-9</v>
      </c>
      <c r="F4" s="183" t="str">
        <f>'2025-2030_KPIs'!F4</f>
        <v xml:space="preserve"> 1-6</v>
      </c>
      <c r="G4" s="183" t="str">
        <f>'2025-2030_KPIs'!G4</f>
        <v>Medium [Mt/y]</v>
      </c>
      <c r="H4" s="183" t="str">
        <f>'2025-2030_KPIs'!I4</f>
        <v>2030 [Mtoe/y]</v>
      </c>
      <c r="I4" s="183" t="str">
        <f>'2025-2030_KPIs'!K4</f>
        <v>2030 [%]</v>
      </c>
      <c r="J4" s="183">
        <f>'2025-2030_KPIs'!M4</f>
        <v>2030</v>
      </c>
      <c r="K4" s="183" t="str">
        <f>'2025-2030_KPIs'!N4</f>
        <v>%</v>
      </c>
      <c r="L4" s="183" t="str">
        <f>'2025-2030_KPIs'!P4</f>
        <v>2030 [Mtoe/y]</v>
      </c>
    </row>
    <row r="5" spans="1:13" ht="15" thickBot="1">
      <c r="A5" s="184">
        <f>'2025-2030_KPIs'!A5</f>
        <v>1</v>
      </c>
      <c r="B5" s="246" t="str">
        <f>'2025-2030_KPIs'!B5</f>
        <v>Transesterification</v>
      </c>
      <c r="C5" s="185" t="str">
        <f>'2025-2030_KPIs'!C5</f>
        <v>FAME</v>
      </c>
      <c r="D5" s="185" t="str">
        <f>'2025-2030_KPIs'!D5</f>
        <v>Road-bio</v>
      </c>
      <c r="E5" s="186">
        <f>'2025-2030_KPIs'!E5</f>
        <v>9</v>
      </c>
      <c r="F5" s="186">
        <f>'2025-2030_KPIs'!F5</f>
        <v>6</v>
      </c>
      <c r="G5" s="187">
        <f>'2025-2030_KPIs'!G5</f>
        <v>5.123382926391062</v>
      </c>
      <c r="H5" s="277">
        <f>'2025-2030_KPIs'!I5</f>
        <v>2.1846086197906858</v>
      </c>
      <c r="I5" s="188">
        <f>'2025-2030_KPIs'!K5</f>
        <v>9.734246629266334E-2</v>
      </c>
      <c r="J5" s="189" t="str">
        <f>'2025-2030_KPIs'!M5</f>
        <v>Yes</v>
      </c>
      <c r="K5" s="190">
        <f>'2025-2030_KPIs'!N5</f>
        <v>0.9</v>
      </c>
      <c r="L5" s="191">
        <f>'2025-2030_KPIs'!P5</f>
        <v>5.9</v>
      </c>
      <c r="M5" t="s">
        <v>467</v>
      </c>
    </row>
    <row r="6" spans="1:13">
      <c r="A6" s="192">
        <f>'2025-2030_KPIs'!A6</f>
        <v>2</v>
      </c>
      <c r="B6" s="245" t="str">
        <f>'2025-2030_KPIs'!B6</f>
        <v>Hydrotreatment of Lipids</v>
      </c>
      <c r="C6" s="168" t="str">
        <f>'2025-2030_KPIs'!C6</f>
        <v>HVO</v>
      </c>
      <c r="D6" s="168" t="str">
        <f>'2025-2030_KPIs'!D6</f>
        <v>Road-bio</v>
      </c>
      <c r="E6" s="169">
        <f>'2025-2030_KPIs'!E6</f>
        <v>9</v>
      </c>
      <c r="F6" s="169">
        <f>'2025-2030_KPIs'!F6</f>
        <v>5</v>
      </c>
      <c r="G6" s="193">
        <f>'2025-2030_KPIs'!G6</f>
        <v>10.953382926391061</v>
      </c>
      <c r="H6" s="275">
        <f>'2025-2030_KPIs'!I6</f>
        <v>2.9900213400621816</v>
      </c>
      <c r="I6" s="194">
        <f>'2025-2030_KPIs'!K6</f>
        <v>0.13323029529071159</v>
      </c>
      <c r="J6" s="171" t="str">
        <f>'2025-2030_KPIs'!M6</f>
        <v>Yes</v>
      </c>
      <c r="K6" s="195">
        <f>'2025-2030_KPIs'!N6</f>
        <v>0.86</v>
      </c>
      <c r="L6" s="196">
        <f>'2025-2030_KPIs'!P6</f>
        <v>6.5</v>
      </c>
      <c r="M6" t="s">
        <v>468</v>
      </c>
    </row>
    <row r="7" spans="1:13" ht="15" thickBot="1">
      <c r="A7" s="197">
        <v>2</v>
      </c>
      <c r="B7" s="175"/>
      <c r="C7" s="175" t="str">
        <f>'2025-2030_KPIs'!C7</f>
        <v>HEFA</v>
      </c>
      <c r="D7" s="175" t="str">
        <f>'2025-2030_KPIs'!D7</f>
        <v>Aviation-bio</v>
      </c>
      <c r="E7" s="176">
        <f>'2025-2030_KPIs'!E7</f>
        <v>9</v>
      </c>
      <c r="F7" s="176">
        <f>'2025-2030_KPIs'!F7</f>
        <v>5</v>
      </c>
      <c r="G7" s="198">
        <f>'2025-2030_KPIs'!G7</f>
        <v>10.953382926391061</v>
      </c>
      <c r="H7" s="276">
        <f>'2025-2030_KPIs'!I7</f>
        <v>2.9220663096062229</v>
      </c>
      <c r="I7" s="199">
        <f>'2025-2030_KPIs'!K7</f>
        <v>1.3437989555164045</v>
      </c>
      <c r="J7" s="200" t="str">
        <f>'2025-2030_KPIs'!M7</f>
        <v>Medium</v>
      </c>
      <c r="K7" s="201">
        <f>'2025-2030_KPIs'!N7</f>
        <v>0.86</v>
      </c>
      <c r="L7" s="202">
        <f>'2025-2030_KPIs'!P7</f>
        <v>6.5</v>
      </c>
    </row>
    <row r="8" spans="1:13" ht="15" thickBot="1">
      <c r="A8">
        <f>'2025-2030_KPIs'!A8</f>
        <v>3</v>
      </c>
      <c r="B8" s="1" t="str">
        <f>'2025-2030_KPIs'!B8</f>
        <v xml:space="preserve">Lignin Boost of Fatty Acids and Co-processing in Refinery </v>
      </c>
      <c r="C8" s="1" t="str">
        <f>'2025-2030_KPIs'!C8</f>
        <v>Renewable diesel</v>
      </c>
      <c r="D8" s="1" t="str">
        <f>'2025-2030_KPIs'!D8</f>
        <v>Road-bio</v>
      </c>
      <c r="E8" s="147">
        <f>'2025-2030_KPIs'!E8</f>
        <v>6</v>
      </c>
      <c r="F8" s="140">
        <f>'2025-2030_KPIs'!F8</f>
        <v>1</v>
      </c>
      <c r="G8" s="142">
        <f>'2025-2030_KPIs'!G8</f>
        <v>4.454004235702901</v>
      </c>
      <c r="H8" s="42">
        <f>'2025-2030_KPIs'!I8</f>
        <v>9.3616215902802935</v>
      </c>
      <c r="I8" s="145">
        <f>'2025-2030_KPIs'!K8</f>
        <v>0.41713802913761355</v>
      </c>
      <c r="J8" s="136" t="str">
        <f>'2025-2030_KPIs'!M8</f>
        <v>Yes</v>
      </c>
      <c r="K8" s="145">
        <f>'2025-2030_KPIs'!N8</f>
        <v>0.84</v>
      </c>
      <c r="L8" s="157">
        <f>'2025-2030_KPIs'!P8</f>
        <v>2.2999999999999998</v>
      </c>
    </row>
    <row r="9" spans="1:13">
      <c r="A9" s="269">
        <f>'2025-2030_KPIs'!A9</f>
        <v>4</v>
      </c>
      <c r="B9" s="245" t="str">
        <f>'2025-2030_KPIs'!B9</f>
        <v>Sugar and Starch Fermentation to Ethanol</v>
      </c>
      <c r="C9" s="168" t="str">
        <f>'2025-2030_KPIs'!C9</f>
        <v>Ethanol</v>
      </c>
      <c r="D9" s="168" t="str">
        <f>'2025-2030_KPIs'!D9</f>
        <v>Road-bio 2030</v>
      </c>
      <c r="E9" s="171">
        <f>'2025-2030_KPIs'!E9</f>
        <v>9</v>
      </c>
      <c r="F9" s="169">
        <f>'2025-2030_KPIs'!F9</f>
        <v>6</v>
      </c>
      <c r="G9" s="193">
        <f>'2025-2030_KPIs'!G9</f>
        <v>1.24</v>
      </c>
      <c r="H9" s="275">
        <f>'2025-2030_KPIs'!I9</f>
        <v>0.1453920112561557</v>
      </c>
      <c r="I9" s="268">
        <f>'2025-2030_KPIs'!K9</f>
        <v>6.4784221881724934E-3</v>
      </c>
      <c r="J9" s="171" t="str">
        <f>'2025-2030_KPIs'!M9</f>
        <v>Yes</v>
      </c>
      <c r="K9" s="194">
        <f>'2025-2030_KPIs'!N9</f>
        <v>0.69</v>
      </c>
      <c r="L9" s="203" t="str">
        <f>'2025-2030_KPIs'!P9</f>
        <v>n.a.</v>
      </c>
      <c r="M9" t="s">
        <v>476</v>
      </c>
    </row>
    <row r="10" spans="1:13" ht="15" thickBot="1">
      <c r="A10" s="174"/>
      <c r="B10" s="175"/>
      <c r="C10" s="175" t="str">
        <f>'2025-2030_KPIs'!C10</f>
        <v>ATJ-SPK</v>
      </c>
      <c r="D10" s="175" t="str">
        <f>'2025-2030_KPIs'!D10</f>
        <v>Aviation-bio 2040/2050</v>
      </c>
      <c r="E10" s="204">
        <f>'2025-2030_KPIs'!E10</f>
        <v>9</v>
      </c>
      <c r="F10" s="176">
        <f>'2025-2030_KPIs'!F10</f>
        <v>6</v>
      </c>
      <c r="G10" s="198">
        <f>'2025-2030_KPIs'!G10</f>
        <v>1.24</v>
      </c>
      <c r="H10" s="276">
        <f>'2025-2030_KPIs'!I10</f>
        <v>0</v>
      </c>
      <c r="I10" s="205">
        <f>'2025-2030_KPIs'!K10</f>
        <v>0</v>
      </c>
      <c r="J10" s="206" t="str">
        <f>'2025-2030_KPIs'!M10</f>
        <v>Medium</v>
      </c>
      <c r="K10" s="207"/>
      <c r="L10" s="208" t="str">
        <f>'2025-2030_KPIs'!P10</f>
        <v>n.a.</v>
      </c>
    </row>
    <row r="11" spans="1:13">
      <c r="A11">
        <f>'2025-2030_KPIs'!A11</f>
        <v>5</v>
      </c>
      <c r="B11" s="1" t="str">
        <f>'2025-2030_KPIs'!B11</f>
        <v>Fermentation of Lignocellulosic Materials to Ethanol</v>
      </c>
      <c r="C11" s="1" t="str">
        <f>'2025-2030_KPIs'!C11</f>
        <v>Advanced ethanol</v>
      </c>
      <c r="D11" s="1" t="str">
        <f>'2025-2030_KPIs'!D11</f>
        <v>Road-bio 2030</v>
      </c>
      <c r="E11" s="137">
        <f>'2025-2030_KPIs'!E11</f>
        <v>8</v>
      </c>
      <c r="F11" s="23">
        <f>'2025-2030_KPIs'!F11</f>
        <v>2</v>
      </c>
      <c r="G11" s="141">
        <f>'2025-2030_KPIs'!G11</f>
        <v>199.31590930061066</v>
      </c>
      <c r="H11" s="42">
        <f>'2025-2030_KPIs'!I11</f>
        <v>7.7978279219069506</v>
      </c>
      <c r="I11" s="144">
        <f>'2025-2030_KPIs'!K11</f>
        <v>0.34745802738659171</v>
      </c>
      <c r="J11" s="136" t="str">
        <f>'2025-2030_KPIs'!M11</f>
        <v>Yes</v>
      </c>
      <c r="K11" s="145">
        <f>'2025-2030_KPIs'!N11</f>
        <v>0.77</v>
      </c>
      <c r="L11" s="155">
        <f>'2025-2030_KPIs'!P11</f>
        <v>5</v>
      </c>
    </row>
    <row r="12" spans="1:13">
      <c r="B12" s="1"/>
      <c r="C12" s="1" t="str">
        <f>'2025-2030_KPIs'!C12</f>
        <v>ATJ-SPK</v>
      </c>
      <c r="D12" s="1" t="str">
        <f>'2025-2030_KPIs'!D12</f>
        <v>Aviation-bio 2040/2050</v>
      </c>
      <c r="E12" s="137">
        <f>'2025-2030_KPIs'!E12</f>
        <v>8</v>
      </c>
      <c r="F12" s="23">
        <f>'2025-2030_KPIs'!F12</f>
        <v>2</v>
      </c>
      <c r="G12" s="141">
        <f>'2025-2030_KPIs'!G12</f>
        <v>199.31590930061066</v>
      </c>
      <c r="H12" s="42">
        <f>'2025-2030_KPIs'!I12</f>
        <v>0</v>
      </c>
      <c r="I12" s="116">
        <f>'2025-2030_KPIs'!K12</f>
        <v>0</v>
      </c>
      <c r="J12" s="110" t="str">
        <f>'2025-2030_KPIs'!M12</f>
        <v>Medium</v>
      </c>
      <c r="K12" s="13"/>
      <c r="L12" s="151">
        <f>'2025-2030_KPIs'!P12</f>
        <v>5</v>
      </c>
    </row>
    <row r="13" spans="1:13" ht="15" thickBot="1">
      <c r="A13" s="270">
        <f>'2025-2030_KPIs'!A13</f>
        <v>6</v>
      </c>
      <c r="B13" s="2" t="str">
        <f>'2025-2030_KPIs'!B13</f>
        <v>ATJ / MTJ</v>
      </c>
      <c r="C13" s="2" t="str">
        <f>'2025-2030_KPIs'!C13</f>
        <v>ATJ-SPK</v>
      </c>
      <c r="D13" s="2" t="str">
        <f>'2025-2030_KPIs'!D13</f>
        <v>Aviation-bio</v>
      </c>
      <c r="E13" s="137">
        <f>'2025-2030_KPIs'!E13</f>
        <v>8</v>
      </c>
      <c r="F13" s="23">
        <f>'2025-2030_KPIs'!F13</f>
        <v>2</v>
      </c>
      <c r="G13" s="140">
        <f>'2025-2030_KPIs'!G13</f>
        <v>6.35</v>
      </c>
      <c r="H13" s="278">
        <f>'2025-2030_KPIs'!I13</f>
        <v>3.9130123244482653</v>
      </c>
      <c r="I13" s="144">
        <f>'2025-2030_KPIs'!K13</f>
        <v>1.7995149039670508</v>
      </c>
      <c r="J13" s="137" t="str">
        <f>'2025-2030_KPIs'!M13</f>
        <v>Medium</v>
      </c>
      <c r="K13" s="145">
        <f>'2025-2030_KPIs'!N13</f>
        <v>0.72</v>
      </c>
      <c r="L13" s="157">
        <f>'2025-2030_KPIs'!P13</f>
        <v>2.8</v>
      </c>
    </row>
    <row r="14" spans="1:13">
      <c r="A14" s="269">
        <f>'2025-2030_KPIs'!A14</f>
        <v>7</v>
      </c>
      <c r="B14" s="245" t="str">
        <f>'2025-2030_KPIs'!B14</f>
        <v>Biomethane from Anaerobic Digestion</v>
      </c>
      <c r="C14" s="168" t="str">
        <f>'2025-2030_KPIs'!C14</f>
        <v>Biomethane</v>
      </c>
      <c r="D14" s="168" t="str">
        <f>'2025-2030_KPIs'!D14</f>
        <v>Road-bio 2030</v>
      </c>
      <c r="E14" s="169">
        <f>'2025-2030_KPIs'!E14</f>
        <v>9</v>
      </c>
      <c r="F14" s="169">
        <f>'2025-2030_KPIs'!F14</f>
        <v>4</v>
      </c>
      <c r="G14" s="170">
        <f>'2025-2030_KPIs'!G14</f>
        <v>354.1873537820573</v>
      </c>
      <c r="H14" s="275">
        <f>'2025-2030_KPIs'!I14</f>
        <v>59.264711131546299</v>
      </c>
      <c r="I14" s="195">
        <f>'2025-2030_KPIs'!K14</f>
        <v>2.6407353213774827</v>
      </c>
      <c r="J14" s="171" t="str">
        <f>'2025-2030_KPIs'!M14</f>
        <v>Yes</v>
      </c>
      <c r="K14" s="172">
        <f>'2025-2030_KPIs'!N14</f>
        <v>2.5299999999999998</v>
      </c>
      <c r="L14" s="173">
        <f>'2025-2030_KPIs'!P14</f>
        <v>15</v>
      </c>
      <c r="M14" s="164" t="s">
        <v>470</v>
      </c>
    </row>
    <row r="15" spans="1:13" ht="15" thickBot="1">
      <c r="A15" s="174"/>
      <c r="B15" s="175"/>
      <c r="C15" s="175" t="str">
        <f>'2025-2030_KPIs'!C15</f>
        <v>Biomethane</v>
      </c>
      <c r="D15" s="175" t="str">
        <f>'2025-2030_KPIs'!D15</f>
        <v>Maritime-bio 2040/2050</v>
      </c>
      <c r="E15" s="176">
        <f>'2025-2030_KPIs'!E15</f>
        <v>9</v>
      </c>
      <c r="F15" s="176">
        <f>'2025-2030_KPIs'!F15</f>
        <v>4</v>
      </c>
      <c r="G15" s="177">
        <f>'2025-2030_KPIs'!G15</f>
        <v>354.1873537820573</v>
      </c>
      <c r="H15" s="276">
        <f>'2025-2030_KPIs'!I15</f>
        <v>0</v>
      </c>
      <c r="I15" s="178">
        <f>'2025-2030_KPIs'!K15</f>
        <v>0</v>
      </c>
      <c r="J15" s="179" t="str">
        <f>'2025-2030_KPIs'!M15</f>
        <v>No</v>
      </c>
      <c r="K15" s="180">
        <f>'2025-2030_KPIs'!N15</f>
        <v>2.33</v>
      </c>
      <c r="L15" s="181">
        <f>'2025-2030_KPIs'!P15</f>
        <v>15</v>
      </c>
    </row>
    <row r="16" spans="1:13">
      <c r="A16" s="3" t="str">
        <f>'2025-2030_KPIs'!A16</f>
        <v>8a</v>
      </c>
      <c r="B16" s="1" t="str">
        <f>'2025-2030_KPIs'!B16</f>
        <v>Gasification and Methanol Synthesis</v>
      </c>
      <c r="C16" s="1" t="str">
        <f>'2025-2030_KPIs'!C16</f>
        <v>Methanol</v>
      </c>
      <c r="D16" s="1" t="str">
        <f>'2025-2030_KPIs'!D16</f>
        <v>Maritime-bio</v>
      </c>
      <c r="E16" s="137" t="str">
        <f>'2025-2030_KPIs'!E16</f>
        <v xml:space="preserve"> 6-7</v>
      </c>
      <c r="F16" s="23">
        <f>'2025-2030_KPIs'!F16</f>
        <v>2</v>
      </c>
      <c r="G16" s="141">
        <f>'2025-2030_KPIs'!G16</f>
        <v>302.4538706095222</v>
      </c>
      <c r="H16" s="42">
        <f>'2025-2030_KPIs'!I16</f>
        <v>17.588047756494507</v>
      </c>
      <c r="I16" s="143">
        <f>'2025-2030_KPIs'!K16</f>
        <v>9.0921162342180395</v>
      </c>
      <c r="J16" s="147" t="str">
        <f>'2025-2030_KPIs'!M16</f>
        <v>No</v>
      </c>
      <c r="K16" s="144">
        <f>'2025-2030_KPIs'!N16</f>
        <v>0.87</v>
      </c>
      <c r="L16" s="157">
        <f>'2025-2030_KPIs'!P16</f>
        <v>1.4</v>
      </c>
    </row>
    <row r="17" spans="1:13">
      <c r="A17" s="166" t="str">
        <f>'2025-2030_KPIs'!A17</f>
        <v>8b</v>
      </c>
      <c r="B17" s="2" t="str">
        <f>'2025-2030_KPIs'!B17</f>
        <v>Methane reforming and Methanol Synthesis</v>
      </c>
      <c r="C17" s="2" t="str">
        <f>'2025-2030_KPIs'!C17</f>
        <v>Methanol</v>
      </c>
      <c r="D17" s="2" t="str">
        <f>'2025-2030_KPIs'!D17</f>
        <v>Maritime-bio</v>
      </c>
      <c r="E17" s="137">
        <f>'2025-2030_KPIs'!E17</f>
        <v>8</v>
      </c>
      <c r="F17" s="23">
        <f>'2025-2030_KPIs'!F17</f>
        <v>2</v>
      </c>
      <c r="G17" s="105">
        <f>'2025-2030_KPIs'!G17</f>
        <v>15</v>
      </c>
      <c r="H17" s="42">
        <f>'2025-2030_KPIs'!I17</f>
        <v>12.099621063183504</v>
      </c>
      <c r="I17" s="143">
        <f>'2025-2030_KPIs'!K17</f>
        <v>6.254881873164968</v>
      </c>
      <c r="J17" s="147" t="str">
        <f>'2025-2030_KPIs'!M17</f>
        <v>No</v>
      </c>
      <c r="K17" s="143">
        <f>'2025-2030_KPIs'!N17</f>
        <v>2.1800000000000002</v>
      </c>
      <c r="L17" s="152">
        <f>'2025-2030_KPIs'!P17</f>
        <v>1.4</v>
      </c>
    </row>
    <row r="18" spans="1:13" ht="15" thickBot="1">
      <c r="A18" s="3" t="str">
        <f>'2025-2030_KPIs'!A18</f>
        <v>8c</v>
      </c>
      <c r="B18" s="4" t="str">
        <f>'2025-2030_KPIs'!B18</f>
        <v>Methanol Synthesis from biogenic CO2 and H2</v>
      </c>
      <c r="C18" s="4" t="str">
        <f>'2025-2030_KPIs'!C18</f>
        <v>e-Methanol</v>
      </c>
      <c r="D18" s="4" t="str">
        <f>'2025-2030_KPIs'!D18</f>
        <v>Maritime-e</v>
      </c>
      <c r="E18" s="137">
        <f>'2025-2030_KPIs'!E18</f>
        <v>8</v>
      </c>
      <c r="F18" s="23">
        <f>'2025-2030_KPIs'!F18</f>
        <v>2</v>
      </c>
      <c r="G18" s="105">
        <f>'2025-2030_KPIs'!G18</f>
        <v>32.68</v>
      </c>
      <c r="H18" s="42">
        <f>'2025-2030_KPIs'!I18</f>
        <v>2.6324521607320386</v>
      </c>
      <c r="I18" s="144">
        <f>'2025-2030_KPIs'!K18</f>
        <v>43.159907191990754</v>
      </c>
      <c r="J18" s="147" t="str">
        <f>'2025-2030_KPIs'!M18</f>
        <v>No</v>
      </c>
      <c r="K18" s="144">
        <f>'2025-2030_KPIs'!N18</f>
        <v>0.98</v>
      </c>
      <c r="L18" s="152">
        <f>'2025-2030_KPIs'!P18</f>
        <v>1.4</v>
      </c>
    </row>
    <row r="19" spans="1:13" ht="15" thickBot="1">
      <c r="A19" s="209" t="str">
        <f>'2025-2030_KPIs'!A19</f>
        <v>8d</v>
      </c>
      <c r="B19" s="248" t="str">
        <f>'2025-2030_KPIs'!B19</f>
        <v>Methanol from pulping</v>
      </c>
      <c r="C19" s="210" t="str">
        <f>'2025-2030_KPIs'!C19</f>
        <v>Methanol</v>
      </c>
      <c r="D19" s="210" t="str">
        <f>'2025-2030_KPIs'!D19</f>
        <v>Maritime-bio</v>
      </c>
      <c r="E19" s="189">
        <f>'2025-2030_KPIs'!E19</f>
        <v>9</v>
      </c>
      <c r="F19" s="186">
        <f>'2025-2030_KPIs'!F19</f>
        <v>3</v>
      </c>
      <c r="G19" s="211">
        <f>'2025-2030_KPIs'!G19</f>
        <v>24.7</v>
      </c>
      <c r="H19" s="277">
        <f>'2025-2030_KPIs'!I19</f>
        <v>0.11798987293398298</v>
      </c>
      <c r="I19" s="188">
        <f>'2025-2030_KPIs'!K19</f>
        <v>6.0994696741158205E-2</v>
      </c>
      <c r="J19" s="212" t="str">
        <f>'2025-2030_KPIs'!M19</f>
        <v>No</v>
      </c>
      <c r="K19" s="190">
        <f>'2025-2030_KPIs'!N19</f>
        <v>0.99</v>
      </c>
      <c r="L19" s="213">
        <f>'2025-2030_KPIs'!P19</f>
        <v>1.4</v>
      </c>
      <c r="M19" t="s">
        <v>465</v>
      </c>
    </row>
    <row r="20" spans="1:13">
      <c r="A20" s="3" t="str">
        <f>'2025-2030_KPIs'!A20</f>
        <v>9a</v>
      </c>
      <c r="B20" s="1" t="str">
        <f>'2025-2030_KPIs'!B20</f>
        <v>Gasification and Methanation</v>
      </c>
      <c r="C20" s="1" t="str">
        <f>'2025-2030_KPIs'!C20</f>
        <v>Methane</v>
      </c>
      <c r="D20" s="1" t="str">
        <f>'2025-2030_KPIs'!D20</f>
        <v>Road-bio 2030</v>
      </c>
      <c r="E20" s="137">
        <f>'2025-2030_KPIs'!E20</f>
        <v>8</v>
      </c>
      <c r="F20" s="23">
        <f>'2025-2030_KPIs'!F20</f>
        <v>2</v>
      </c>
      <c r="G20" s="141">
        <f>'2025-2030_KPIs'!G20</f>
        <v>317.53387060952218</v>
      </c>
      <c r="H20" s="42">
        <f>'2025-2030_KPIs'!I20</f>
        <v>25.964855286451218</v>
      </c>
      <c r="I20" s="143">
        <f>'2025-2030_KPIs'!K20</f>
        <v>1.1569500493673899</v>
      </c>
      <c r="J20" s="136" t="str">
        <f>'2025-2030_KPIs'!M20</f>
        <v>Yes</v>
      </c>
      <c r="K20" s="145">
        <f>'2025-2030_KPIs'!N20</f>
        <v>0.69</v>
      </c>
      <c r="L20" s="154">
        <f>'2025-2030_KPIs'!P20</f>
        <v>14.9</v>
      </c>
    </row>
    <row r="21" spans="1:13" ht="15" thickBot="1">
      <c r="A21" s="3"/>
      <c r="B21" s="1"/>
      <c r="C21" s="1" t="str">
        <f>'2025-2030_KPIs'!C21</f>
        <v>Methane</v>
      </c>
      <c r="D21" s="1" t="str">
        <f>'2025-2030_KPIs'!D21</f>
        <v>Maritime-bio 2040/2050</v>
      </c>
      <c r="E21" s="137">
        <f>'2025-2030_KPIs'!E21</f>
        <v>8</v>
      </c>
      <c r="F21" s="23">
        <f>'2025-2030_KPIs'!F21</f>
        <v>2</v>
      </c>
      <c r="G21" s="141">
        <f>'2025-2030_KPIs'!G21</f>
        <v>317.53387060952218</v>
      </c>
      <c r="H21" s="42">
        <f>'2025-2030_KPIs'!I21</f>
        <v>0</v>
      </c>
      <c r="I21" s="143">
        <f>'2025-2030_KPIs'!K21</f>
        <v>0</v>
      </c>
      <c r="J21" s="147" t="str">
        <f>'2025-2030_KPIs'!M21</f>
        <v>No</v>
      </c>
      <c r="K21" s="145">
        <f>'2025-2030_KPIs'!N21</f>
        <v>0.73</v>
      </c>
      <c r="L21" s="154">
        <f>'2025-2030_KPIs'!P21</f>
        <v>14.9</v>
      </c>
    </row>
    <row r="22" spans="1:13">
      <c r="A22" s="214" t="str">
        <f>'2025-2030_KPIs'!A22</f>
        <v>9b</v>
      </c>
      <c r="B22" s="249" t="str">
        <f>'2025-2030_KPIs'!B22</f>
        <v>Methanation from biogenic CO2 and H2</v>
      </c>
      <c r="C22" s="215" t="str">
        <f>'2025-2030_KPIs'!C22</f>
        <v>e-Methane</v>
      </c>
      <c r="D22" s="215" t="str">
        <f>'2025-2030_KPIs'!D22</f>
        <v>Road-e 2030</v>
      </c>
      <c r="E22" s="171">
        <f>'2025-2030_KPIs'!E22</f>
        <v>9</v>
      </c>
      <c r="F22" s="169">
        <f>'2025-2030_KPIs'!F22</f>
        <v>3</v>
      </c>
      <c r="G22" s="216">
        <f>'2025-2030_KPIs'!G22</f>
        <v>32.68</v>
      </c>
      <c r="H22" s="275">
        <f>'2025-2030_KPIs'!I22</f>
        <v>3.5507855858672706</v>
      </c>
      <c r="I22" s="195">
        <f>'2025-2030_KPIs'!K22</f>
        <v>7.3059357343774192</v>
      </c>
      <c r="J22" s="171" t="str">
        <f>'2025-2030_KPIs'!M22</f>
        <v>Yes</v>
      </c>
      <c r="K22" s="195">
        <f>'2025-2030_KPIs'!N22</f>
        <v>0.96</v>
      </c>
      <c r="L22" s="217">
        <f>'2025-2030_KPIs'!P22</f>
        <v>1.5</v>
      </c>
      <c r="M22" s="164" t="s">
        <v>470</v>
      </c>
    </row>
    <row r="23" spans="1:13" ht="15" thickBot="1">
      <c r="A23" s="218"/>
      <c r="B23" s="219"/>
      <c r="C23" s="219" t="str">
        <f>'2025-2030_KPIs'!C23</f>
        <v>e-Methane</v>
      </c>
      <c r="D23" s="219" t="str">
        <f>'2025-2030_KPIs'!D23</f>
        <v>Maritime-e 2040/2050</v>
      </c>
      <c r="E23" s="204">
        <f>'2025-2030_KPIs'!E23</f>
        <v>9</v>
      </c>
      <c r="F23" s="176">
        <f>'2025-2030_KPIs'!F23</f>
        <v>3</v>
      </c>
      <c r="G23" s="220">
        <f>'2025-2030_KPIs'!G23</f>
        <v>32.68</v>
      </c>
      <c r="H23" s="276">
        <f>'2025-2030_KPIs'!I23</f>
        <v>0</v>
      </c>
      <c r="I23" s="201">
        <f>'2025-2030_KPIs'!K23</f>
        <v>0</v>
      </c>
      <c r="J23" s="179" t="str">
        <f>'2025-2030_KPIs'!M23</f>
        <v>No</v>
      </c>
      <c r="K23" s="201">
        <f>'2025-2030_KPIs'!N23</f>
        <v>0.97</v>
      </c>
      <c r="L23" s="221">
        <f>'2025-2030_KPIs'!P23</f>
        <v>1.5</v>
      </c>
    </row>
    <row r="24" spans="1:13">
      <c r="A24">
        <f>'2025-2030_KPIs'!A24</f>
        <v>10</v>
      </c>
      <c r="B24" s="1" t="str">
        <f>'2025-2030_KPIs'!B24</f>
        <v>Gasification to Hydrogen</v>
      </c>
      <c r="C24" s="1" t="str">
        <f>'2025-2030_KPIs'!C24</f>
        <v>Hydrogen</v>
      </c>
      <c r="D24" s="1" t="str">
        <f>'2025-2030_KPIs'!D24</f>
        <v>Road-bio 2040/2050</v>
      </c>
      <c r="E24" s="137">
        <f>'2025-2030_KPIs'!E24</f>
        <v>8</v>
      </c>
      <c r="F24" s="23">
        <f>'2025-2030_KPIs'!F24</f>
        <v>2</v>
      </c>
      <c r="G24" s="141">
        <f>'2025-2030_KPIs'!G24</f>
        <v>317.53387060952218</v>
      </c>
      <c r="H24" s="278">
        <f>'2025-2030_KPIs'!I24</f>
        <v>0</v>
      </c>
      <c r="I24" s="143">
        <f>'2025-2030_KPIs'!K24</f>
        <v>0</v>
      </c>
      <c r="J24" s="147" t="str">
        <f>'2025-2030_KPIs'!M24</f>
        <v>No</v>
      </c>
      <c r="K24" s="149">
        <f>'2025-2030_KPIs'!N24</f>
        <v>0.89</v>
      </c>
      <c r="L24" s="152">
        <f>'2025-2030_KPIs'!P24</f>
        <v>0.14299999999999999</v>
      </c>
    </row>
    <row r="25" spans="1:13">
      <c r="A25" s="3" t="str">
        <f>'2025-2030_KPIs'!A25</f>
        <v>11a</v>
      </c>
      <c r="B25" s="1" t="str">
        <f>'2025-2030_KPIs'!B25</f>
        <v>Gasification and FT-Synthesis</v>
      </c>
      <c r="C25" s="1" t="str">
        <f>'2025-2030_KPIs'!C25</f>
        <v>FT-diesel</v>
      </c>
      <c r="D25" s="1" t="str">
        <f>'2025-2030_KPIs'!D25</f>
        <v>Road-bio 2030</v>
      </c>
      <c r="E25" s="137" t="str">
        <f>'2025-2030_KPIs'!E25</f>
        <v xml:space="preserve"> 6-7</v>
      </c>
      <c r="F25" s="23">
        <f>'2025-2030_KPIs'!F25</f>
        <v>1</v>
      </c>
      <c r="G25" s="141">
        <f>'2025-2030_KPIs'!G25</f>
        <v>317.53387060952218</v>
      </c>
      <c r="H25" s="42">
        <f>'2025-2030_KPIs'!I25</f>
        <v>16.2471800495187</v>
      </c>
      <c r="I25" s="144">
        <f>'2025-2030_KPIs'!K25</f>
        <v>0.72394687176169747</v>
      </c>
      <c r="J25" s="136" t="str">
        <f>'2025-2030_KPIs'!M25</f>
        <v>Yes</v>
      </c>
      <c r="K25" s="144">
        <f>'2025-2030_KPIs'!N25</f>
        <v>0.88</v>
      </c>
      <c r="L25" s="156">
        <f>'2025-2030_KPIs'!P25</f>
        <v>8.1999999999999993</v>
      </c>
    </row>
    <row r="26" spans="1:13">
      <c r="A26" s="166" t="s">
        <v>22</v>
      </c>
      <c r="B26" s="1"/>
      <c r="C26" s="1" t="str">
        <f>'2025-2030_KPIs'!C26</f>
        <v>FT-SPK</v>
      </c>
      <c r="D26" s="1" t="str">
        <f>'2025-2030_KPIs'!D26</f>
        <v>Aviation-bio 2040/2050</v>
      </c>
      <c r="E26" s="137" t="str">
        <f>'2025-2030_KPIs'!E26</f>
        <v xml:space="preserve"> 6-7</v>
      </c>
      <c r="F26" s="23">
        <f>'2025-2030_KPIs'!F26</f>
        <v>1</v>
      </c>
      <c r="G26" s="141">
        <f>'2025-2030_KPIs'!G26</f>
        <v>317.53387060952218</v>
      </c>
      <c r="H26" s="42">
        <f>'2025-2030_KPIs'!I26</f>
        <v>0</v>
      </c>
      <c r="I26" s="143">
        <f>'2025-2030_KPIs'!K26</f>
        <v>0</v>
      </c>
      <c r="J26" s="137" t="str">
        <f>'2025-2030_KPIs'!M26</f>
        <v>Medium</v>
      </c>
      <c r="K26" s="144">
        <f>'2025-2030_KPIs'!N26</f>
        <v>0.88</v>
      </c>
      <c r="L26" s="156">
        <f>'2025-2030_KPIs'!P26</f>
        <v>8.1999999999999993</v>
      </c>
    </row>
    <row r="27" spans="1:13">
      <c r="A27" s="267" t="str">
        <f>'2025-2030_KPIs'!A27</f>
        <v>11b</v>
      </c>
      <c r="B27" s="4" t="str">
        <f>'2025-2030_KPIs'!B27</f>
        <v>FT-Synthesis from biogenic CO2 and H2</v>
      </c>
      <c r="C27" s="4" t="str">
        <f>'2025-2030_KPIs'!C27</f>
        <v>e-FT-diesel</v>
      </c>
      <c r="D27" s="4" t="str">
        <f>'2025-2030_KPIs'!D27</f>
        <v>Road-e 2030</v>
      </c>
      <c r="E27" s="139" t="str">
        <f>'2025-2030_KPIs'!E27</f>
        <v>4-5</v>
      </c>
      <c r="F27" s="140">
        <f>'2025-2030_KPIs'!F27</f>
        <v>1</v>
      </c>
      <c r="G27" s="105">
        <f>'2025-2030_KPIs'!G27</f>
        <v>32.68</v>
      </c>
      <c r="H27" s="278">
        <f>'2025-2030_KPIs'!I27</f>
        <v>1.5454858125537403</v>
      </c>
      <c r="I27" s="146">
        <f>'2025-2030_KPIs'!K27</f>
        <v>3.1799216685599565</v>
      </c>
      <c r="J27" s="136" t="str">
        <f>'2025-2030_KPIs'!M27</f>
        <v>Yes</v>
      </c>
      <c r="K27" s="149">
        <f>'2025-2030_KPIs'!N27</f>
        <v>0.99</v>
      </c>
      <c r="L27" s="152">
        <f>'2025-2030_KPIs'!P27</f>
        <v>8.1999999999999993</v>
      </c>
    </row>
    <row r="28" spans="1:13">
      <c r="A28" s="3"/>
      <c r="B28" s="4"/>
      <c r="C28" s="4" t="str">
        <f>'2025-2030_KPIs'!C28</f>
        <v>e-FT-SPK</v>
      </c>
      <c r="D28" s="4" t="str">
        <f>'2025-2030_KPIs'!D28</f>
        <v>Aviation-e 2040/2050</v>
      </c>
      <c r="E28" s="139" t="str">
        <f>'2025-2030_KPIs'!E28</f>
        <v>4-5</v>
      </c>
      <c r="F28" s="140">
        <f>'2025-2030_KPIs'!F28</f>
        <v>1</v>
      </c>
      <c r="G28" s="105">
        <f>'2025-2030_KPIs'!G28</f>
        <v>32.68</v>
      </c>
      <c r="H28" s="278">
        <f>'2025-2030_KPIs'!I28</f>
        <v>0</v>
      </c>
      <c r="I28" s="116">
        <f>'2025-2030_KPIs'!K28</f>
        <v>0</v>
      </c>
      <c r="J28" s="137" t="str">
        <f>'2025-2030_KPIs'!M28</f>
        <v>Medium</v>
      </c>
      <c r="K28" s="149">
        <f>'2025-2030_KPIs'!N28</f>
        <v>0.99</v>
      </c>
      <c r="L28" s="152">
        <f>'2025-2030_KPIs'!P28</f>
        <v>8.1999999999999993</v>
      </c>
    </row>
    <row r="29" spans="1:13">
      <c r="A29">
        <f>'2025-2030_KPIs'!A29</f>
        <v>12</v>
      </c>
      <c r="B29" s="2" t="str">
        <f>'2025-2030_KPIs'!B29</f>
        <v>Gas Fermentation to Ethanol</v>
      </c>
      <c r="C29" s="2" t="str">
        <f>'2025-2030_KPIs'!C29</f>
        <v>Ethanol</v>
      </c>
      <c r="D29" s="2" t="str">
        <f>'2025-2030_KPIs'!D29</f>
        <v>Road-bio 2030</v>
      </c>
      <c r="E29" s="138">
        <f>'2025-2030_KPIs'!E29</f>
        <v>9</v>
      </c>
      <c r="F29" s="138">
        <f>'2025-2030_KPIs'!F29</f>
        <v>3</v>
      </c>
      <c r="G29" s="105">
        <f>'2025-2030_KPIs'!G29</f>
        <v>32.68</v>
      </c>
      <c r="H29" s="42">
        <f>'2025-2030_KPIs'!I29</f>
        <v>2.4852366196726097</v>
      </c>
      <c r="I29" s="145">
        <f>'2025-2030_KPIs'!K29</f>
        <v>0.1107379416560906</v>
      </c>
      <c r="J29" s="136" t="str">
        <f>'2025-2030_KPIs'!M29</f>
        <v>Yes</v>
      </c>
      <c r="K29" s="150">
        <f>'2025-2030_KPIs'!N29</f>
        <v>0.6</v>
      </c>
      <c r="L29" s="152">
        <f>'2025-2030_KPIs'!P29</f>
        <v>0.96699999999999997</v>
      </c>
      <c r="M29" t="s">
        <v>466</v>
      </c>
    </row>
    <row r="30" spans="1:13" ht="15" thickBot="1">
      <c r="B30" s="2"/>
      <c r="C30" s="2" t="str">
        <f>'2025-2030_KPIs'!C30</f>
        <v>ATJ-SPK</v>
      </c>
      <c r="D30" s="2" t="str">
        <f>'2025-2030_KPIs'!D30</f>
        <v>Aviation-bio 2040/2050</v>
      </c>
      <c r="E30" s="138">
        <f>'2025-2030_KPIs'!E30</f>
        <v>9</v>
      </c>
      <c r="F30" s="138">
        <f>'2025-2030_KPIs'!F30</f>
        <v>3</v>
      </c>
      <c r="G30" s="105">
        <f>'2025-2030_KPIs'!G30</f>
        <v>32.68</v>
      </c>
      <c r="H30" s="42">
        <f>'2025-2030_KPIs'!I30</f>
        <v>0</v>
      </c>
      <c r="I30" s="116">
        <f>'2025-2030_KPIs'!K30</f>
        <v>0</v>
      </c>
      <c r="J30" s="110">
        <f>'2025-2030_KPIs'!M30</f>
        <v>0</v>
      </c>
      <c r="K30" s="111">
        <f>'2025-2030_KPIs'!N30</f>
        <v>0</v>
      </c>
      <c r="L30" s="152" t="str">
        <f>'2025-2030_KPIs'!P30</f>
        <v>n.a.</v>
      </c>
    </row>
    <row r="31" spans="1:13">
      <c r="A31" s="222" t="str">
        <f>'2025-2030_KPIs'!A31</f>
        <v>13a</v>
      </c>
      <c r="B31" s="245" t="str">
        <f>'2025-2030_KPIs'!B31</f>
        <v>Pyrolysis and Co-processing in Refinery</v>
      </c>
      <c r="C31" s="168" t="str">
        <f>'2025-2030_KPIs'!C31</f>
        <v>Gasoline+Diesel</v>
      </c>
      <c r="D31" s="168" t="str">
        <f>'2025-2030_KPIs'!D31</f>
        <v>Road-bio 2030</v>
      </c>
      <c r="E31" s="171">
        <f>'2025-2030_KPIs'!E31</f>
        <v>9</v>
      </c>
      <c r="F31" s="169">
        <f>'2025-2030_KPIs'!F31</f>
        <v>3</v>
      </c>
      <c r="G31" s="170">
        <f>'2025-2030_KPIs'!G31</f>
        <v>270.4425788511054</v>
      </c>
      <c r="H31" s="275">
        <f>'2025-2030_KPIs'!I31</f>
        <v>24.451602494193413</v>
      </c>
      <c r="I31" s="195">
        <f>'2025-2030_KPIs'!K31</f>
        <v>1.0895220635999676</v>
      </c>
      <c r="J31" s="171" t="str">
        <f>'2025-2030_KPIs'!M31</f>
        <v>Yes</v>
      </c>
      <c r="K31" s="194">
        <f>'2025-2030_KPIs'!N31</f>
        <v>0.71</v>
      </c>
      <c r="L31" s="223">
        <f>'2025-2030_KPIs'!P31</f>
        <v>5.0999999999999996</v>
      </c>
      <c r="M31" s="164" t="s">
        <v>470</v>
      </c>
    </row>
    <row r="32" spans="1:13" ht="15" thickBot="1">
      <c r="A32" s="218"/>
      <c r="B32" s="175"/>
      <c r="C32" s="224" t="str">
        <f>'2025-2030_KPIs'!C32</f>
        <v>Bio-kerosene</v>
      </c>
      <c r="D32" s="175" t="str">
        <f>'2025-2030_KPIs'!D32</f>
        <v>Aviation-bio 2040/2050</v>
      </c>
      <c r="E32" s="204">
        <f>'2025-2030_KPIs'!E32</f>
        <v>9</v>
      </c>
      <c r="F32" s="176">
        <f>'2025-2030_KPIs'!F32</f>
        <v>3</v>
      </c>
      <c r="G32" s="177">
        <f>'2025-2030_KPIs'!G32</f>
        <v>270.4425788511054</v>
      </c>
      <c r="H32" s="276">
        <f>'2025-2030_KPIs'!I32</f>
        <v>0</v>
      </c>
      <c r="I32" s="205">
        <f>'2025-2030_KPIs'!K32</f>
        <v>0</v>
      </c>
      <c r="J32" s="206" t="str">
        <f>'2025-2030_KPIs'!M32</f>
        <v>Medium</v>
      </c>
      <c r="K32" s="199">
        <f>'2025-2030_KPIs'!N32</f>
        <v>0.7</v>
      </c>
      <c r="L32" s="225">
        <f>'2025-2030_KPIs'!P32</f>
        <v>5.0999999999999996</v>
      </c>
    </row>
    <row r="33" spans="1:12">
      <c r="A33" s="3" t="str">
        <f>'2025-2030_KPIs'!A33</f>
        <v>13b</v>
      </c>
      <c r="B33" s="1" t="str">
        <f>'2025-2030_KPIs'!B33</f>
        <v>Pyrolysis (and Thermo-Catalytic Reforming) and Upgrading (HDO)</v>
      </c>
      <c r="C33" s="1" t="str">
        <f>'2025-2030_KPIs'!C33</f>
        <v>Gasoline+Diesel</v>
      </c>
      <c r="D33" s="1" t="str">
        <f>'2025-2030_KPIs'!D33</f>
        <v>Road-bio 2030</v>
      </c>
      <c r="E33" s="137" t="str">
        <f>'2025-2030_KPIs'!E33</f>
        <v xml:space="preserve"> 6-7</v>
      </c>
      <c r="F33" s="23">
        <f>'2025-2030_KPIs'!F33</f>
        <v>1</v>
      </c>
      <c r="G33" s="141">
        <f>'2025-2030_KPIs'!G33</f>
        <v>270.4425788511054</v>
      </c>
      <c r="H33" s="42">
        <f>'2025-2030_KPIs'!I33</f>
        <v>24.451602494193413</v>
      </c>
      <c r="I33" s="144">
        <f>'2025-2030_KPIs'!K33</f>
        <v>1.0895220635999676</v>
      </c>
      <c r="J33" s="136" t="str">
        <f>'2025-2030_KPIs'!M33</f>
        <v>Yes</v>
      </c>
      <c r="K33" s="145">
        <f>'2025-2030_KPIs'!N33</f>
        <v>0.71</v>
      </c>
      <c r="L33" s="156">
        <f>'2025-2030_KPIs'!P33</f>
        <v>5.0999999999999996</v>
      </c>
    </row>
    <row r="34" spans="1:12">
      <c r="A34" s="3"/>
      <c r="B34" s="1"/>
      <c r="C34" s="5" t="str">
        <f>'2025-2030_KPIs'!C34</f>
        <v>Bio-heavy fuel oil</v>
      </c>
      <c r="D34" s="1" t="str">
        <f>'2025-2030_KPIs'!D34</f>
        <v>Maritime-bio 2040/2050</v>
      </c>
      <c r="E34" s="137" t="str">
        <f>'2025-2030_KPIs'!E34</f>
        <v xml:space="preserve"> 6-7</v>
      </c>
      <c r="F34" s="23">
        <f>'2025-2030_KPIs'!F34</f>
        <v>1</v>
      </c>
      <c r="G34" s="141">
        <f>'2025-2030_KPIs'!G34</f>
        <v>270.4425788511054</v>
      </c>
      <c r="H34" s="42">
        <f>'2025-2030_KPIs'!I34</f>
        <v>0</v>
      </c>
      <c r="I34" s="116">
        <f>'2025-2030_KPIs'!K34</f>
        <v>0</v>
      </c>
      <c r="J34" s="110" t="str">
        <f>'2025-2030_KPIs'!M34</f>
        <v>No</v>
      </c>
      <c r="K34" s="145">
        <f>'2025-2030_KPIs'!N34</f>
        <v>0.7</v>
      </c>
      <c r="L34" s="37">
        <f>'2025-2030_KPIs'!P34</f>
        <v>5.0999999999999996</v>
      </c>
    </row>
    <row r="35" spans="1:12">
      <c r="A35">
        <f>'2025-2030_KPIs'!A35</f>
        <v>14</v>
      </c>
      <c r="B35" s="5" t="str">
        <f>'2025-2030_KPIs'!B35</f>
        <v xml:space="preserve">Hydrothermal Liquefaction and Upgrading in Refinery (FCC or HDO) </v>
      </c>
      <c r="C35" s="5" t="str">
        <f>'2025-2030_KPIs'!C35</f>
        <v>Diesel</v>
      </c>
      <c r="D35" s="5" t="str">
        <f>'2025-2030_KPIs'!D35</f>
        <v>Road-bio 2030</v>
      </c>
      <c r="E35" s="147">
        <f>'2025-2030_KPIs'!E35</f>
        <v>6</v>
      </c>
      <c r="F35" s="140">
        <f>'2025-2030_KPIs'!F35</f>
        <v>1</v>
      </c>
      <c r="G35" s="141">
        <f>'2025-2030_KPIs'!G35</f>
        <v>129.10404670004917</v>
      </c>
      <c r="H35" s="42">
        <f>'2025-2030_KPIs'!I35</f>
        <v>23.875262278949926</v>
      </c>
      <c r="I35" s="144">
        <f>'2025-2030_KPIs'!K35</f>
        <v>1.0638413181029456</v>
      </c>
      <c r="J35" s="136" t="str">
        <f>'2025-2030_KPIs'!M35</f>
        <v>Yes</v>
      </c>
      <c r="K35" s="145">
        <f>'2025-2030_KPIs'!N35</f>
        <v>0.66</v>
      </c>
      <c r="L35" s="157">
        <f>'2025-2030_KPIs'!P35</f>
        <v>0.8</v>
      </c>
    </row>
    <row r="36" spans="1:12">
      <c r="C36" s="5" t="str">
        <f>'2025-2030_KPIs'!C36</f>
        <v>Bio-kerosene</v>
      </c>
      <c r="D36" s="1" t="str">
        <f>'2025-2030_KPIs'!D36</f>
        <v>Aviation-bio 2040/2050</v>
      </c>
      <c r="E36" s="147">
        <f>'2025-2030_KPIs'!E36</f>
        <v>6</v>
      </c>
      <c r="F36" s="140">
        <f>'2025-2030_KPIs'!F36</f>
        <v>1</v>
      </c>
      <c r="G36" s="141">
        <f>'2025-2030_KPIs'!G36</f>
        <v>129.10404670004917</v>
      </c>
      <c r="H36" s="42">
        <f>'2025-2030_KPIs'!I36</f>
        <v>0</v>
      </c>
      <c r="I36" s="116">
        <f>'2025-2030_KPIs'!K36</f>
        <v>0</v>
      </c>
      <c r="J36" s="110" t="str">
        <f>'2025-2030_KPIs'!M36</f>
        <v>Medium</v>
      </c>
      <c r="K36" s="145">
        <f>'2025-2030_KPIs'!N36</f>
        <v>0.65</v>
      </c>
      <c r="L36" s="151">
        <f>'2025-2030_KPIs'!P36</f>
        <v>0.8</v>
      </c>
    </row>
    <row r="37" spans="1:12">
      <c r="C37" s="5" t="str">
        <f>'2025-2030_KPIs'!C37</f>
        <v>Bio-heavy fuel oil</v>
      </c>
      <c r="D37" s="1" t="str">
        <f>'2025-2030_KPIs'!D37</f>
        <v>Maritime-bio 2040/2050</v>
      </c>
      <c r="E37" s="147">
        <f>'2025-2030_KPIs'!E37</f>
        <v>6</v>
      </c>
      <c r="F37" s="140">
        <f>'2025-2030_KPIs'!F37</f>
        <v>1</v>
      </c>
      <c r="G37" s="141">
        <f>'2025-2030_KPIs'!G37</f>
        <v>129.10404670004917</v>
      </c>
      <c r="H37" s="42">
        <f>'2025-2030_KPIs'!I37</f>
        <v>0</v>
      </c>
      <c r="I37" s="116">
        <f>'2025-2030_KPIs'!K37</f>
        <v>0</v>
      </c>
      <c r="J37" s="110" t="str">
        <f>'2025-2030_KPIs'!M37</f>
        <v>No</v>
      </c>
      <c r="K37" s="145">
        <f>'2025-2030_KPIs'!N37</f>
        <v>0.66</v>
      </c>
      <c r="L37" s="151">
        <f>'2025-2030_KPIs'!P37</f>
        <v>0.8</v>
      </c>
    </row>
    <row r="39" spans="1:12">
      <c r="E39" s="160">
        <v>9</v>
      </c>
      <c r="F39" s="160" t="s">
        <v>444</v>
      </c>
      <c r="G39" s="160" t="s">
        <v>446</v>
      </c>
      <c r="H39" s="160"/>
      <c r="I39" s="160" t="s">
        <v>449</v>
      </c>
      <c r="J39" s="160" t="s">
        <v>73</v>
      </c>
      <c r="K39" s="160" t="s">
        <v>446</v>
      </c>
      <c r="L39" s="160" t="s">
        <v>447</v>
      </c>
    </row>
    <row r="40" spans="1:12">
      <c r="E40" s="161" t="s">
        <v>461</v>
      </c>
      <c r="F40" s="161" t="s">
        <v>445</v>
      </c>
      <c r="G40" s="161" t="s">
        <v>447</v>
      </c>
      <c r="H40" s="161"/>
      <c r="I40" s="161" t="s">
        <v>446</v>
      </c>
      <c r="J40" s="161" t="s">
        <v>40</v>
      </c>
      <c r="K40" s="161" t="s">
        <v>451</v>
      </c>
      <c r="L40" s="161" t="s">
        <v>453</v>
      </c>
    </row>
    <row r="41" spans="1:12">
      <c r="E41" s="162" t="s">
        <v>462</v>
      </c>
      <c r="F41" s="162"/>
      <c r="G41" s="162" t="s">
        <v>448</v>
      </c>
      <c r="H41" s="162"/>
      <c r="I41" s="162" t="s">
        <v>447</v>
      </c>
      <c r="J41" s="162" t="s">
        <v>74</v>
      </c>
      <c r="K41" s="162" t="s">
        <v>450</v>
      </c>
      <c r="L41" s="162" t="s">
        <v>454</v>
      </c>
    </row>
    <row r="42" spans="1:12">
      <c r="E42" s="113"/>
      <c r="F42" s="113"/>
      <c r="G42" s="113"/>
      <c r="H42" s="113"/>
      <c r="I42" s="163" t="s">
        <v>448</v>
      </c>
      <c r="J42" s="113"/>
      <c r="K42" s="163" t="s">
        <v>452</v>
      </c>
      <c r="L42" s="113"/>
    </row>
  </sheetData>
  <mergeCells count="2">
    <mergeCell ref="E1:F1"/>
    <mergeCell ref="E2:F2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2205-E921-4123-B54D-D8CAB2A1B749}">
  <sheetPr codeName="Tabelle17">
    <tabColor theme="4" tint="0.39997558519241921"/>
  </sheetPr>
  <dimension ref="A1:AK156"/>
  <sheetViews>
    <sheetView zoomScale="90" zoomScaleNormal="90" workbookViewId="0">
      <pane xSplit="4" ySplit="4" topLeftCell="E5" activePane="bottomRight" state="frozen"/>
      <selection activeCell="M38" sqref="M38"/>
      <selection pane="topRight" activeCell="M38" sqref="M38"/>
      <selection pane="bottomLeft" activeCell="M38" sqref="M38"/>
      <selection pane="bottomRight" activeCell="D25" sqref="D25"/>
    </sheetView>
  </sheetViews>
  <sheetFormatPr baseColWidth="10" defaultRowHeight="14.5"/>
  <cols>
    <col min="1" max="1" width="4.453125" customWidth="1"/>
    <col min="2" max="2" width="33.26953125" customWidth="1"/>
    <col min="3" max="3" width="18.26953125" customWidth="1"/>
    <col min="4" max="4" width="4.54296875" customWidth="1"/>
    <col min="5" max="5" width="7" customWidth="1"/>
    <col min="6" max="6" width="6.26953125" customWidth="1"/>
    <col min="7" max="7" width="13.453125" customWidth="1"/>
    <col min="8" max="8" width="13.26953125" customWidth="1"/>
    <col min="9" max="11" width="1.81640625" customWidth="1"/>
    <col min="12" max="12" width="12.1796875" customWidth="1"/>
    <col min="13" max="13" width="3" customWidth="1"/>
    <col min="14" max="14" width="8.26953125" customWidth="1"/>
    <col min="15" max="15" width="12.1796875" customWidth="1"/>
    <col min="16" max="20" width="19.26953125" customWidth="1"/>
    <col min="21" max="21" width="15.1796875" customWidth="1"/>
    <col min="22" max="22" width="16.7265625" customWidth="1"/>
    <col min="23" max="23" width="16.1796875" customWidth="1"/>
    <col min="24" max="24" width="13.54296875" style="1" customWidth="1"/>
    <col min="25" max="25" width="11.7265625" style="1" customWidth="1"/>
    <col min="26" max="26" width="12.453125" style="1" customWidth="1"/>
    <col min="33" max="33" width="14.1796875" bestFit="1" customWidth="1"/>
    <col min="34" max="34" width="17.81640625" customWidth="1"/>
    <col min="35" max="37" width="11.453125" style="1"/>
  </cols>
  <sheetData>
    <row r="1" spans="1:37" ht="15" customHeight="1">
      <c r="B1" s="164" t="s">
        <v>459</v>
      </c>
      <c r="E1" s="1080" t="s">
        <v>34</v>
      </c>
      <c r="F1" s="1080"/>
      <c r="G1" t="s">
        <v>84</v>
      </c>
      <c r="H1" t="s">
        <v>84</v>
      </c>
      <c r="I1" t="s">
        <v>84</v>
      </c>
      <c r="J1" t="s">
        <v>84</v>
      </c>
      <c r="K1" t="s">
        <v>84</v>
      </c>
      <c r="L1" t="s">
        <v>84</v>
      </c>
      <c r="M1" t="s">
        <v>84</v>
      </c>
      <c r="N1" t="s">
        <v>84</v>
      </c>
      <c r="O1" t="s">
        <v>84</v>
      </c>
      <c r="P1" t="s">
        <v>304</v>
      </c>
      <c r="R1" t="s">
        <v>305</v>
      </c>
      <c r="S1" t="s">
        <v>305</v>
      </c>
      <c r="T1" t="s">
        <v>305</v>
      </c>
      <c r="U1" t="s">
        <v>303</v>
      </c>
      <c r="V1" t="s">
        <v>303</v>
      </c>
      <c r="W1" t="s">
        <v>303</v>
      </c>
      <c r="X1" s="1" t="s">
        <v>306</v>
      </c>
      <c r="Y1" s="1" t="s">
        <v>306</v>
      </c>
      <c r="Z1" s="1" t="s">
        <v>306</v>
      </c>
      <c r="AA1" t="s">
        <v>307</v>
      </c>
      <c r="AB1" t="s">
        <v>307</v>
      </c>
      <c r="AC1" t="s">
        <v>307</v>
      </c>
      <c r="AD1" t="s">
        <v>307</v>
      </c>
      <c r="AE1" t="s">
        <v>307</v>
      </c>
      <c r="AF1" t="s">
        <v>307</v>
      </c>
      <c r="AG1" t="s">
        <v>308</v>
      </c>
      <c r="AH1" t="s">
        <v>309</v>
      </c>
      <c r="AI1" s="1" t="s">
        <v>310</v>
      </c>
      <c r="AJ1" s="1" t="s">
        <v>310</v>
      </c>
      <c r="AK1" s="1" t="s">
        <v>310</v>
      </c>
    </row>
    <row r="2" spans="1:37" s="6" customFormat="1" ht="15" customHeight="1">
      <c r="E2" s="1081"/>
      <c r="F2" s="1081"/>
      <c r="G2" s="107">
        <v>2030</v>
      </c>
      <c r="H2" s="107">
        <v>2030</v>
      </c>
      <c r="I2" s="107">
        <v>2030</v>
      </c>
      <c r="J2" s="108">
        <v>2040</v>
      </c>
      <c r="K2" s="108">
        <v>2040</v>
      </c>
      <c r="L2" s="108">
        <v>2040</v>
      </c>
      <c r="M2" s="107">
        <v>2050</v>
      </c>
      <c r="N2" s="107">
        <v>2050</v>
      </c>
      <c r="O2" s="107">
        <v>2050</v>
      </c>
      <c r="P2" s="6" t="s">
        <v>79</v>
      </c>
      <c r="R2" s="33" t="s">
        <v>628</v>
      </c>
      <c r="S2" s="33" t="s">
        <v>628</v>
      </c>
      <c r="T2" s="33" t="s">
        <v>628</v>
      </c>
      <c r="U2" s="6" t="s">
        <v>65</v>
      </c>
      <c r="V2" s="6" t="s">
        <v>66</v>
      </c>
      <c r="W2" s="6" t="s">
        <v>67</v>
      </c>
      <c r="X2" s="33" t="s">
        <v>628</v>
      </c>
      <c r="Y2" s="33" t="s">
        <v>628</v>
      </c>
      <c r="Z2" s="33" t="s">
        <v>628</v>
      </c>
      <c r="AA2" s="6" t="s">
        <v>65</v>
      </c>
      <c r="AB2" s="6" t="s">
        <v>66</v>
      </c>
      <c r="AC2" s="6" t="s">
        <v>67</v>
      </c>
      <c r="AD2" s="6" t="s">
        <v>65</v>
      </c>
      <c r="AE2" s="6" t="s">
        <v>66</v>
      </c>
      <c r="AF2" s="6" t="s">
        <v>67</v>
      </c>
      <c r="AG2" s="6" t="s">
        <v>78</v>
      </c>
      <c r="AH2" t="s">
        <v>309</v>
      </c>
      <c r="AI2" s="1" t="s">
        <v>310</v>
      </c>
      <c r="AJ2" s="1" t="s">
        <v>310</v>
      </c>
      <c r="AK2" s="1" t="s">
        <v>310</v>
      </c>
    </row>
    <row r="3" spans="1:37" s="6" customFormat="1">
      <c r="A3" s="10" t="s">
        <v>0</v>
      </c>
      <c r="B3" s="10" t="s">
        <v>1</v>
      </c>
      <c r="C3" s="10" t="s">
        <v>42</v>
      </c>
      <c r="D3" s="10" t="s">
        <v>41</v>
      </c>
      <c r="E3" s="11" t="s">
        <v>32</v>
      </c>
      <c r="F3" s="11" t="s">
        <v>33</v>
      </c>
      <c r="G3" s="118" t="s">
        <v>83</v>
      </c>
      <c r="H3" s="118" t="s">
        <v>83</v>
      </c>
      <c r="I3" s="118" t="s">
        <v>83</v>
      </c>
      <c r="J3" s="118" t="s">
        <v>83</v>
      </c>
      <c r="K3" s="118" t="s">
        <v>83</v>
      </c>
      <c r="L3" s="118" t="s">
        <v>83</v>
      </c>
      <c r="M3" s="118" t="s">
        <v>83</v>
      </c>
      <c r="N3" s="118" t="s">
        <v>83</v>
      </c>
      <c r="O3" s="118" t="s">
        <v>83</v>
      </c>
      <c r="P3" s="11" t="s">
        <v>617</v>
      </c>
      <c r="Q3" s="11" t="s">
        <v>630</v>
      </c>
      <c r="R3" s="118" t="s">
        <v>85</v>
      </c>
      <c r="S3" s="118" t="s">
        <v>85</v>
      </c>
      <c r="T3" s="118" t="s">
        <v>85</v>
      </c>
      <c r="U3" s="357" t="s">
        <v>72</v>
      </c>
      <c r="V3" s="357" t="s">
        <v>72</v>
      </c>
      <c r="W3" s="357" t="s">
        <v>72</v>
      </c>
      <c r="X3" s="165" t="s">
        <v>442</v>
      </c>
      <c r="Y3" s="165" t="s">
        <v>442</v>
      </c>
      <c r="Z3" s="165" t="s">
        <v>442</v>
      </c>
      <c r="AA3" s="118" t="s">
        <v>72</v>
      </c>
      <c r="AB3" s="118" t="s">
        <v>72</v>
      </c>
      <c r="AC3" s="118" t="s">
        <v>72</v>
      </c>
      <c r="AD3" s="118" t="s">
        <v>75</v>
      </c>
      <c r="AE3" s="118" t="s">
        <v>75</v>
      </c>
      <c r="AF3" s="118" t="s">
        <v>75</v>
      </c>
      <c r="AG3" s="11" t="s">
        <v>76</v>
      </c>
      <c r="AH3" s="11" t="s">
        <v>89</v>
      </c>
      <c r="AI3" s="165" t="s">
        <v>97</v>
      </c>
      <c r="AJ3" s="165" t="s">
        <v>97</v>
      </c>
      <c r="AK3" s="165" t="s">
        <v>97</v>
      </c>
    </row>
    <row r="4" spans="1:37">
      <c r="A4" s="20"/>
      <c r="B4" s="20"/>
      <c r="C4" s="20"/>
      <c r="D4" s="20"/>
      <c r="E4" s="21" t="s">
        <v>37</v>
      </c>
      <c r="F4" s="21" t="s">
        <v>38</v>
      </c>
      <c r="G4" s="21" t="s">
        <v>80</v>
      </c>
      <c r="H4" s="86" t="s">
        <v>81</v>
      </c>
      <c r="I4" s="21" t="s">
        <v>82</v>
      </c>
      <c r="J4" s="21" t="s">
        <v>80</v>
      </c>
      <c r="K4" s="21" t="s">
        <v>81</v>
      </c>
      <c r="L4" s="86" t="s">
        <v>82</v>
      </c>
      <c r="M4" s="21" t="s">
        <v>80</v>
      </c>
      <c r="N4" s="21" t="s">
        <v>81</v>
      </c>
      <c r="O4" s="86" t="s">
        <v>82</v>
      </c>
      <c r="P4" s="21" t="s">
        <v>443</v>
      </c>
      <c r="Q4" s="21"/>
      <c r="R4" s="21" t="s">
        <v>86</v>
      </c>
      <c r="S4" s="21" t="s">
        <v>87</v>
      </c>
      <c r="T4" s="21" t="s">
        <v>88</v>
      </c>
      <c r="U4" s="21" t="s">
        <v>86</v>
      </c>
      <c r="V4" s="21" t="s">
        <v>87</v>
      </c>
      <c r="W4" s="21" t="s">
        <v>88</v>
      </c>
      <c r="X4" s="117" t="s">
        <v>94</v>
      </c>
      <c r="Y4" s="117" t="s">
        <v>95</v>
      </c>
      <c r="Z4" s="117" t="s">
        <v>96</v>
      </c>
      <c r="AA4" s="21">
        <v>2030</v>
      </c>
      <c r="AB4" s="21">
        <v>2040</v>
      </c>
      <c r="AC4" s="21">
        <v>2050</v>
      </c>
      <c r="AD4" s="21">
        <v>2030</v>
      </c>
      <c r="AE4" s="21">
        <v>2040</v>
      </c>
      <c r="AF4" s="21">
        <v>2050</v>
      </c>
      <c r="AG4" s="21" t="s">
        <v>77</v>
      </c>
      <c r="AH4" s="22"/>
      <c r="AI4" s="117" t="s">
        <v>86</v>
      </c>
      <c r="AJ4" s="117" t="s">
        <v>87</v>
      </c>
      <c r="AK4" s="117" t="s">
        <v>88</v>
      </c>
    </row>
    <row r="5" spans="1:37">
      <c r="A5">
        <v>1</v>
      </c>
      <c r="B5" s="1" t="s">
        <v>2</v>
      </c>
      <c r="C5" s="1" t="s">
        <v>43</v>
      </c>
      <c r="D5" s="1" t="s">
        <v>640</v>
      </c>
      <c r="E5">
        <v>9</v>
      </c>
      <c r="F5">
        <v>6</v>
      </c>
      <c r="G5" s="9">
        <v>2.5399439848742444</v>
      </c>
      <c r="H5" s="9">
        <v>5.123382926391062</v>
      </c>
      <c r="I5" s="9">
        <v>9.5886549726634147</v>
      </c>
      <c r="J5" s="9">
        <v>5.8623151464503618</v>
      </c>
      <c r="K5" s="9">
        <v>9.6998669179046697</v>
      </c>
      <c r="L5" s="9">
        <v>15.040200508929585</v>
      </c>
      <c r="M5" s="9">
        <v>9.1846863080264782</v>
      </c>
      <c r="N5" s="9">
        <v>14.276350909418278</v>
      </c>
      <c r="O5" s="9">
        <v>20.491746045195754</v>
      </c>
      <c r="P5" s="115">
        <v>0.85279927390847421</v>
      </c>
      <c r="Q5" s="115">
        <v>0.5</v>
      </c>
      <c r="R5" s="17">
        <f>H5*P5*Q5</f>
        <v>2.1846086197906858</v>
      </c>
      <c r="S5" s="17">
        <f>L5*P5*Q5</f>
        <v>6.4131360367265069</v>
      </c>
      <c r="T5" s="17">
        <f>O5*P5*Q5</f>
        <v>8.7376730742298943</v>
      </c>
      <c r="U5" s="65">
        <v>22.442503287543463</v>
      </c>
      <c r="V5" s="65">
        <v>24.31419248251089</v>
      </c>
      <c r="W5" s="65">
        <v>6.7786885085905109</v>
      </c>
      <c r="X5" s="346">
        <f>R5/U5</f>
        <v>9.734246629266334E-2</v>
      </c>
      <c r="Y5" s="346">
        <f>S5/V5</f>
        <v>0.26376101288740939</v>
      </c>
      <c r="Z5" s="346">
        <f>T5/W5</f>
        <v>1.2889916778380948</v>
      </c>
      <c r="AA5" s="3" t="s">
        <v>68</v>
      </c>
      <c r="AB5" s="3" t="s">
        <v>69</v>
      </c>
      <c r="AC5" s="3" t="s">
        <v>39</v>
      </c>
      <c r="AD5" s="3" t="s">
        <v>73</v>
      </c>
      <c r="AE5" s="3" t="s">
        <v>73</v>
      </c>
      <c r="AF5" s="3" t="s">
        <v>73</v>
      </c>
      <c r="AG5" s="13">
        <v>0.9</v>
      </c>
      <c r="AH5" s="3" t="s">
        <v>61</v>
      </c>
      <c r="AI5" s="1">
        <v>5.9</v>
      </c>
      <c r="AJ5" s="37">
        <v>5.9</v>
      </c>
      <c r="AK5" s="1">
        <v>5.9</v>
      </c>
    </row>
    <row r="6" spans="1:37">
      <c r="A6">
        <v>2</v>
      </c>
      <c r="B6" s="1" t="s">
        <v>3</v>
      </c>
      <c r="C6" s="1" t="s">
        <v>44</v>
      </c>
      <c r="D6" s="1" t="s">
        <v>640</v>
      </c>
      <c r="E6">
        <v>9</v>
      </c>
      <c r="F6">
        <v>5</v>
      </c>
      <c r="G6" s="9">
        <v>2.5399439848742444</v>
      </c>
      <c r="H6" s="9">
        <v>10.953382926391061</v>
      </c>
      <c r="I6" s="9">
        <v>9.5886549726634147</v>
      </c>
      <c r="J6" s="9">
        <v>5.8623151464503618</v>
      </c>
      <c r="K6" s="9">
        <v>9.6998669179046697</v>
      </c>
      <c r="L6" s="9">
        <v>36.057700508929585</v>
      </c>
      <c r="M6" s="9">
        <v>9.1846863080264782</v>
      </c>
      <c r="N6" s="9">
        <v>14.276350909418278</v>
      </c>
      <c r="O6" s="9">
        <v>46.571746045195752</v>
      </c>
      <c r="P6" s="115">
        <v>0.54595395051113016</v>
      </c>
      <c r="Q6" s="115">
        <v>0.5</v>
      </c>
      <c r="R6" s="17">
        <f t="shared" ref="R6:R35" si="0">H6*P6*Q6</f>
        <v>2.9900213400621816</v>
      </c>
      <c r="S6" s="17">
        <f t="shared" ref="S6:S37" si="1">L6*P6*Q6</f>
        <v>9.8429220195986478</v>
      </c>
      <c r="T6" s="17">
        <f t="shared" ref="T6:T37" si="2">O6*P6*Q6</f>
        <v>12.713014367787862</v>
      </c>
      <c r="U6" s="65">
        <v>22.442503287543463</v>
      </c>
      <c r="V6" s="65">
        <v>24.31419248251089</v>
      </c>
      <c r="W6" s="65">
        <v>6.7786885085905109</v>
      </c>
      <c r="X6" s="346">
        <f t="shared" ref="X6:X35" si="3">R6/U6</f>
        <v>0.13323029529071159</v>
      </c>
      <c r="Y6" s="346">
        <f t="shared" ref="Y6:Y37" si="4">S6/V6</f>
        <v>0.4048220818634477</v>
      </c>
      <c r="Z6" s="346">
        <f t="shared" ref="Z6:Z37" si="5">T6/W6</f>
        <v>1.8754386415125708</v>
      </c>
      <c r="AA6" s="3" t="s">
        <v>70</v>
      </c>
      <c r="AB6" s="3" t="s">
        <v>68</v>
      </c>
      <c r="AC6" s="3" t="s">
        <v>71</v>
      </c>
      <c r="AD6" s="3" t="s">
        <v>73</v>
      </c>
      <c r="AE6" s="3" t="s">
        <v>73</v>
      </c>
      <c r="AF6" s="3" t="s">
        <v>73</v>
      </c>
      <c r="AG6" s="13">
        <v>0.86</v>
      </c>
      <c r="AH6" s="3" t="s">
        <v>61</v>
      </c>
      <c r="AI6" s="1">
        <v>6.5</v>
      </c>
      <c r="AJ6" s="37">
        <v>11.6</v>
      </c>
      <c r="AK6" s="1">
        <v>13.299999999999999</v>
      </c>
    </row>
    <row r="7" spans="1:37">
      <c r="A7">
        <v>2</v>
      </c>
      <c r="B7" s="1" t="s">
        <v>3</v>
      </c>
      <c r="C7" s="1" t="s">
        <v>45</v>
      </c>
      <c r="D7" s="1" t="s">
        <v>641</v>
      </c>
      <c r="E7">
        <v>9</v>
      </c>
      <c r="F7">
        <v>5</v>
      </c>
      <c r="G7" s="9">
        <v>2.5399439848742444</v>
      </c>
      <c r="H7" s="9">
        <v>10.953382926391061</v>
      </c>
      <c r="I7" s="9">
        <v>9.5886549726634147</v>
      </c>
      <c r="J7" s="9">
        <v>5.8623151464503618</v>
      </c>
      <c r="K7" s="9">
        <v>9.6998669179046697</v>
      </c>
      <c r="L7" s="9">
        <v>36.057700508929585</v>
      </c>
      <c r="M7" s="9">
        <v>9.1846863080264782</v>
      </c>
      <c r="N7" s="9">
        <v>14.276350909418278</v>
      </c>
      <c r="O7" s="9">
        <v>46.571746045195752</v>
      </c>
      <c r="P7" s="115">
        <v>0.53354590618133169</v>
      </c>
      <c r="Q7" s="115">
        <v>0.5</v>
      </c>
      <c r="R7" s="17">
        <f t="shared" si="0"/>
        <v>2.9220663096062229</v>
      </c>
      <c r="S7" s="17">
        <f t="shared" si="1"/>
        <v>9.6192192464259509</v>
      </c>
      <c r="T7" s="17">
        <f t="shared" si="2"/>
        <v>12.424082223065408</v>
      </c>
      <c r="U7" s="65">
        <v>2.1744817538448755</v>
      </c>
      <c r="V7" s="65">
        <v>10.505916663433375</v>
      </c>
      <c r="W7" s="65">
        <v>15.887545409592944</v>
      </c>
      <c r="X7" s="346">
        <f t="shared" si="3"/>
        <v>1.3437989555164045</v>
      </c>
      <c r="Y7" s="346">
        <f t="shared" si="4"/>
        <v>0.91560018555128653</v>
      </c>
      <c r="Z7" s="346">
        <f t="shared" si="5"/>
        <v>0.78200136665313402</v>
      </c>
      <c r="AA7" s="3" t="s">
        <v>70</v>
      </c>
      <c r="AB7" s="3" t="s">
        <v>70</v>
      </c>
      <c r="AC7" s="3" t="s">
        <v>70</v>
      </c>
      <c r="AD7" s="3" t="s">
        <v>40</v>
      </c>
      <c r="AE7" s="3" t="s">
        <v>73</v>
      </c>
      <c r="AF7" s="3" t="s">
        <v>73</v>
      </c>
      <c r="AG7" s="13">
        <v>0.86</v>
      </c>
      <c r="AH7" s="18" t="s">
        <v>90</v>
      </c>
      <c r="AI7" s="1">
        <v>6.5</v>
      </c>
      <c r="AJ7" s="37">
        <v>11.6</v>
      </c>
      <c r="AK7" s="1">
        <v>13.299999999999999</v>
      </c>
    </row>
    <row r="8" spans="1:37">
      <c r="A8">
        <v>3</v>
      </c>
      <c r="B8" s="1" t="s">
        <v>4</v>
      </c>
      <c r="C8" s="1" t="s">
        <v>46</v>
      </c>
      <c r="D8" s="1" t="s">
        <v>640</v>
      </c>
      <c r="E8" s="3">
        <v>6</v>
      </c>
      <c r="F8">
        <v>1</v>
      </c>
      <c r="G8" s="9">
        <v>2.3407420708324396</v>
      </c>
      <c r="H8" s="9">
        <v>4.454004235702901</v>
      </c>
      <c r="I8" s="9">
        <v>7.9601442208271473</v>
      </c>
      <c r="J8" s="9"/>
      <c r="K8" s="9"/>
      <c r="L8" s="9">
        <v>10.5</v>
      </c>
      <c r="M8" s="9"/>
      <c r="N8" s="9"/>
      <c r="O8" s="9">
        <v>10.5</v>
      </c>
      <c r="P8" s="266">
        <v>2.1018438903219643</v>
      </c>
      <c r="Q8" s="266">
        <v>1</v>
      </c>
      <c r="R8" s="17">
        <f t="shared" si="0"/>
        <v>9.3616215902802935</v>
      </c>
      <c r="S8" s="17">
        <f t="shared" si="1"/>
        <v>22.069360848380626</v>
      </c>
      <c r="T8" s="17">
        <f t="shared" si="2"/>
        <v>22.069360848380626</v>
      </c>
      <c r="U8" s="65">
        <v>22.442503287543463</v>
      </c>
      <c r="V8" s="65">
        <v>24.31419248251089</v>
      </c>
      <c r="W8" s="65">
        <v>6.7786885085905109</v>
      </c>
      <c r="X8" s="346">
        <f t="shared" si="3"/>
        <v>0.41713802913761355</v>
      </c>
      <c r="Y8" s="346">
        <f t="shared" si="4"/>
        <v>0.90767402060566216</v>
      </c>
      <c r="Z8" s="346">
        <f t="shared" si="5"/>
        <v>3.2556977386425885</v>
      </c>
      <c r="AA8" s="3" t="s">
        <v>70</v>
      </c>
      <c r="AB8" s="3" t="s">
        <v>68</v>
      </c>
      <c r="AC8" s="3" t="s">
        <v>71</v>
      </c>
      <c r="AD8" s="3" t="s">
        <v>73</v>
      </c>
      <c r="AE8" s="3" t="s">
        <v>73</v>
      </c>
      <c r="AF8" s="3" t="s">
        <v>73</v>
      </c>
      <c r="AG8" s="13">
        <v>0.84</v>
      </c>
      <c r="AH8" s="3" t="s">
        <v>61</v>
      </c>
      <c r="AI8" s="1">
        <v>2.2999999999999998</v>
      </c>
      <c r="AJ8" s="37">
        <v>9.3499999999999979</v>
      </c>
      <c r="AK8" s="1">
        <v>11.7</v>
      </c>
    </row>
    <row r="9" spans="1:37">
      <c r="A9">
        <v>4</v>
      </c>
      <c r="B9" s="1" t="s">
        <v>5</v>
      </c>
      <c r="C9" s="1" t="s">
        <v>47</v>
      </c>
      <c r="D9" s="1" t="s">
        <v>642</v>
      </c>
      <c r="E9" s="3">
        <v>9</v>
      </c>
      <c r="F9">
        <v>6</v>
      </c>
      <c r="G9" s="9">
        <v>1.04</v>
      </c>
      <c r="H9" s="9">
        <v>1.24</v>
      </c>
      <c r="I9" s="9">
        <v>2.2400000000000002</v>
      </c>
      <c r="J9" s="9">
        <v>1.1299999999999999</v>
      </c>
      <c r="K9" s="9">
        <v>1.365</v>
      </c>
      <c r="L9" s="9">
        <v>3.17</v>
      </c>
      <c r="M9" s="9">
        <v>1.22</v>
      </c>
      <c r="N9" s="9">
        <v>1.49</v>
      </c>
      <c r="O9" s="9">
        <v>4.0999999999999996</v>
      </c>
      <c r="P9" s="266">
        <v>0.11725162198077073</v>
      </c>
      <c r="Q9" s="266">
        <f>1</f>
        <v>1</v>
      </c>
      <c r="R9" s="17">
        <f t="shared" si="0"/>
        <v>0.1453920112561557</v>
      </c>
      <c r="S9" s="17"/>
      <c r="T9" s="17"/>
      <c r="U9" s="65">
        <v>22.442503287543463</v>
      </c>
      <c r="V9" s="112"/>
      <c r="W9" s="112"/>
      <c r="X9" s="346">
        <f t="shared" si="3"/>
        <v>6.4784221881724934E-3</v>
      </c>
      <c r="Y9" s="346"/>
      <c r="Z9" s="346"/>
      <c r="AA9" s="18" t="s">
        <v>70</v>
      </c>
      <c r="AB9" s="110" t="s">
        <v>68</v>
      </c>
      <c r="AC9" s="110" t="s">
        <v>69</v>
      </c>
      <c r="AD9" s="3" t="s">
        <v>73</v>
      </c>
      <c r="AE9" s="110" t="s">
        <v>73</v>
      </c>
      <c r="AF9" s="110" t="s">
        <v>73</v>
      </c>
      <c r="AG9" s="13">
        <v>0.69</v>
      </c>
      <c r="AH9" s="3" t="s">
        <v>60</v>
      </c>
      <c r="AI9" s="1" t="s">
        <v>101</v>
      </c>
      <c r="AJ9" s="1" t="s">
        <v>101</v>
      </c>
      <c r="AK9" s="1" t="s">
        <v>101</v>
      </c>
    </row>
    <row r="10" spans="1:37">
      <c r="A10">
        <v>4</v>
      </c>
      <c r="B10" s="1" t="s">
        <v>5</v>
      </c>
      <c r="C10" s="1" t="s">
        <v>49</v>
      </c>
      <c r="D10" s="1" t="s">
        <v>643</v>
      </c>
      <c r="E10" s="3">
        <v>9</v>
      </c>
      <c r="F10">
        <v>6</v>
      </c>
      <c r="G10" s="9">
        <v>1.04</v>
      </c>
      <c r="H10" s="9">
        <v>1.24</v>
      </c>
      <c r="I10" s="9">
        <v>2.2400000000000002</v>
      </c>
      <c r="J10" s="9">
        <v>1.1299999999999999</v>
      </c>
      <c r="K10" s="9">
        <v>1.365</v>
      </c>
      <c r="L10" s="9">
        <v>3.17</v>
      </c>
      <c r="M10" s="9">
        <v>1.22</v>
      </c>
      <c r="N10" s="9">
        <v>1.49</v>
      </c>
      <c r="O10" s="9">
        <v>4.0999999999999996</v>
      </c>
      <c r="P10" s="266">
        <v>7.0350973188462423E-2</v>
      </c>
      <c r="Q10" s="266">
        <v>1</v>
      </c>
      <c r="R10" s="17"/>
      <c r="S10" s="17">
        <f t="shared" si="1"/>
        <v>0.22301258500742588</v>
      </c>
      <c r="T10" s="17">
        <f t="shared" si="2"/>
        <v>0.28843899007269591</v>
      </c>
      <c r="U10" s="112"/>
      <c r="V10" s="65">
        <v>10.505916663433375</v>
      </c>
      <c r="W10" s="65">
        <v>15.887545409592944</v>
      </c>
      <c r="X10" s="346"/>
      <c r="Y10" s="346">
        <f t="shared" si="4"/>
        <v>2.1227332383440444E-2</v>
      </c>
      <c r="Z10" s="346">
        <f t="shared" si="5"/>
        <v>1.8155037964425622E-2</v>
      </c>
      <c r="AA10" s="110" t="s">
        <v>70</v>
      </c>
      <c r="AB10" s="18" t="s">
        <v>70</v>
      </c>
      <c r="AC10" s="18" t="s">
        <v>70</v>
      </c>
      <c r="AD10" s="110" t="s">
        <v>40</v>
      </c>
      <c r="AE10" s="3" t="s">
        <v>73</v>
      </c>
      <c r="AF10" s="3" t="s">
        <v>73</v>
      </c>
      <c r="AG10" s="13"/>
      <c r="AH10" s="3" t="s">
        <v>101</v>
      </c>
      <c r="AI10" s="1" t="s">
        <v>101</v>
      </c>
      <c r="AJ10" s="1" t="s">
        <v>101</v>
      </c>
      <c r="AK10" s="1" t="s">
        <v>101</v>
      </c>
    </row>
    <row r="11" spans="1:37">
      <c r="A11">
        <v>5</v>
      </c>
      <c r="B11" s="1" t="s">
        <v>6</v>
      </c>
      <c r="C11" s="1" t="s">
        <v>48</v>
      </c>
      <c r="D11" s="1" t="s">
        <v>642</v>
      </c>
      <c r="E11" s="3">
        <v>8</v>
      </c>
      <c r="F11">
        <v>2</v>
      </c>
      <c r="G11" s="9">
        <v>95.269032568381718</v>
      </c>
      <c r="H11" s="9">
        <v>199.31590930061066</v>
      </c>
      <c r="I11" s="9">
        <v>336.33378205272192</v>
      </c>
      <c r="J11" s="9">
        <v>96.269745561533483</v>
      </c>
      <c r="K11" s="9">
        <v>208.04799177070726</v>
      </c>
      <c r="L11" s="9">
        <v>367.53185398501233</v>
      </c>
      <c r="M11" s="9">
        <v>97.270458554685263</v>
      </c>
      <c r="N11" s="9">
        <v>216.78007424080391</v>
      </c>
      <c r="O11" s="9">
        <v>398.72992591730275</v>
      </c>
      <c r="P11" s="115">
        <v>0.11736887360275149</v>
      </c>
      <c r="Q11" s="266">
        <f>1/3</f>
        <v>0.33333333333333331</v>
      </c>
      <c r="R11" s="17">
        <f t="shared" si="0"/>
        <v>7.7978279219069506</v>
      </c>
      <c r="S11" s="17"/>
      <c r="T11" s="17"/>
      <c r="U11" s="65">
        <v>22.442503287543463</v>
      </c>
      <c r="V11" s="112"/>
      <c r="W11" s="112"/>
      <c r="X11" s="346">
        <f t="shared" si="3"/>
        <v>0.34745802738659171</v>
      </c>
      <c r="Y11" s="346"/>
      <c r="Z11" s="346"/>
      <c r="AA11" s="18" t="s">
        <v>70</v>
      </c>
      <c r="AB11" s="110" t="s">
        <v>68</v>
      </c>
      <c r="AC11" s="110" t="s">
        <v>69</v>
      </c>
      <c r="AD11" s="3" t="s">
        <v>73</v>
      </c>
      <c r="AE11" s="110" t="s">
        <v>73</v>
      </c>
      <c r="AF11" s="110" t="s">
        <v>73</v>
      </c>
      <c r="AG11" s="13">
        <v>0.77</v>
      </c>
      <c r="AH11" s="3" t="s">
        <v>60</v>
      </c>
      <c r="AI11" s="1">
        <v>5</v>
      </c>
      <c r="AJ11" s="37">
        <v>27.275000000000002</v>
      </c>
      <c r="AK11" s="1">
        <v>34.700000000000003</v>
      </c>
    </row>
    <row r="12" spans="1:37">
      <c r="A12">
        <v>5</v>
      </c>
      <c r="B12" s="1" t="s">
        <v>6</v>
      </c>
      <c r="C12" s="1" t="s">
        <v>49</v>
      </c>
      <c r="D12" s="1" t="s">
        <v>643</v>
      </c>
      <c r="E12" s="3">
        <v>8</v>
      </c>
      <c r="F12">
        <v>2</v>
      </c>
      <c r="G12" s="9">
        <v>95.269032568381718</v>
      </c>
      <c r="H12" s="9">
        <v>199.31590930061066</v>
      </c>
      <c r="I12" s="9">
        <v>336.33378205272192</v>
      </c>
      <c r="J12" s="9">
        <v>96.269745561533483</v>
      </c>
      <c r="K12" s="9">
        <v>208.04799177070726</v>
      </c>
      <c r="L12" s="9">
        <v>367.53185398501233</v>
      </c>
      <c r="M12" s="9">
        <v>97.270458554685263</v>
      </c>
      <c r="N12" s="9">
        <v>216.78007424080391</v>
      </c>
      <c r="O12" s="9">
        <v>398.72992591730275</v>
      </c>
      <c r="P12" s="266">
        <v>7.0421324161650894E-2</v>
      </c>
      <c r="Q12" s="266">
        <f>1/3</f>
        <v>0.33333333333333331</v>
      </c>
      <c r="R12" s="17"/>
      <c r="S12" s="17">
        <f t="shared" si="1"/>
        <v>8.6273599430703651</v>
      </c>
      <c r="T12" s="17">
        <f t="shared" si="2"/>
        <v>9.3596964553244746</v>
      </c>
      <c r="U12" s="112"/>
      <c r="V12" s="65">
        <v>10.505916663433375</v>
      </c>
      <c r="W12" s="65">
        <v>15.887545409592944</v>
      </c>
      <c r="X12" s="346"/>
      <c r="Y12" s="346">
        <f t="shared" si="4"/>
        <v>0.82119059378212411</v>
      </c>
      <c r="Z12" s="346">
        <f t="shared" si="5"/>
        <v>0.58912161784746586</v>
      </c>
      <c r="AA12" s="110" t="s">
        <v>70</v>
      </c>
      <c r="AB12" s="18" t="s">
        <v>70</v>
      </c>
      <c r="AC12" s="18" t="s">
        <v>70</v>
      </c>
      <c r="AD12" s="110" t="s">
        <v>40</v>
      </c>
      <c r="AE12" s="3" t="s">
        <v>73</v>
      </c>
      <c r="AF12" s="3" t="s">
        <v>73</v>
      </c>
      <c r="AG12" s="13"/>
      <c r="AH12" s="3" t="s">
        <v>101</v>
      </c>
      <c r="AI12" s="1">
        <v>5</v>
      </c>
      <c r="AJ12" s="37">
        <v>27.275000000000002</v>
      </c>
      <c r="AK12" s="1">
        <v>34.700000000000003</v>
      </c>
    </row>
    <row r="13" spans="1:37">
      <c r="A13">
        <v>6</v>
      </c>
      <c r="B13" s="2" t="s">
        <v>7</v>
      </c>
      <c r="C13" s="2" t="s">
        <v>49</v>
      </c>
      <c r="D13" s="2" t="s">
        <v>641</v>
      </c>
      <c r="E13" s="3">
        <v>8</v>
      </c>
      <c r="F13">
        <v>2</v>
      </c>
      <c r="H13">
        <v>6.35</v>
      </c>
      <c r="L13">
        <v>18.927500000000002</v>
      </c>
      <c r="M13" s="9"/>
      <c r="O13" s="9">
        <v>23.12</v>
      </c>
      <c r="P13" s="115">
        <v>0.61622241329893945</v>
      </c>
      <c r="Q13" s="115">
        <v>1</v>
      </c>
      <c r="R13" s="17">
        <f t="shared" si="0"/>
        <v>3.9130123244482653</v>
      </c>
      <c r="S13" s="17">
        <f t="shared" si="1"/>
        <v>11.663549727715678</v>
      </c>
      <c r="T13" s="17">
        <f t="shared" si="2"/>
        <v>14.24706219547148</v>
      </c>
      <c r="U13" s="65">
        <v>2.1744817538448755</v>
      </c>
      <c r="V13" s="65">
        <v>10.505916663433375</v>
      </c>
      <c r="W13" s="65">
        <v>15.887545409592944</v>
      </c>
      <c r="X13" s="346">
        <f t="shared" si="3"/>
        <v>1.7995149039670508</v>
      </c>
      <c r="Y13" s="346">
        <f t="shared" si="4"/>
        <v>1.1101886776154937</v>
      </c>
      <c r="Z13" s="346">
        <f t="shared" si="5"/>
        <v>0.89674407393788247</v>
      </c>
      <c r="AA13" s="3" t="s">
        <v>70</v>
      </c>
      <c r="AB13" s="3" t="s">
        <v>70</v>
      </c>
      <c r="AC13" s="3" t="s">
        <v>70</v>
      </c>
      <c r="AD13" s="3" t="s">
        <v>40</v>
      </c>
      <c r="AE13" s="3" t="s">
        <v>73</v>
      </c>
      <c r="AF13" s="3" t="s">
        <v>73</v>
      </c>
      <c r="AG13" s="13">
        <v>0.72</v>
      </c>
      <c r="AH13" s="3" t="s">
        <v>90</v>
      </c>
      <c r="AI13" s="1">
        <v>2.8</v>
      </c>
      <c r="AJ13" s="37">
        <v>15.55</v>
      </c>
      <c r="AK13" s="1">
        <v>19.8</v>
      </c>
    </row>
    <row r="14" spans="1:37">
      <c r="A14">
        <v>7</v>
      </c>
      <c r="B14" s="1" t="s">
        <v>8</v>
      </c>
      <c r="C14" s="1" t="s">
        <v>50</v>
      </c>
      <c r="D14" s="1" t="s">
        <v>642</v>
      </c>
      <c r="E14">
        <v>9</v>
      </c>
      <c r="F14">
        <v>4</v>
      </c>
      <c r="G14" s="9">
        <v>218.7618148428943</v>
      </c>
      <c r="H14" s="9">
        <v>354.1873537820573</v>
      </c>
      <c r="I14" s="9">
        <v>541.62469296548829</v>
      </c>
      <c r="J14" s="9">
        <v>211.56094074133136</v>
      </c>
      <c r="K14" s="9">
        <v>350.85102772956856</v>
      </c>
      <c r="L14" s="9">
        <v>555.83353877064746</v>
      </c>
      <c r="M14" s="9">
        <v>204.36006663976846</v>
      </c>
      <c r="N14" s="9">
        <v>348.15570167707983</v>
      </c>
      <c r="O14" s="9">
        <v>569.40138457580656</v>
      </c>
      <c r="P14" s="115">
        <v>0.33465176268271707</v>
      </c>
      <c r="Q14" s="115">
        <f>1/2</f>
        <v>0.5</v>
      </c>
      <c r="R14" s="17">
        <f t="shared" si="0"/>
        <v>59.264711131546299</v>
      </c>
      <c r="S14" s="17"/>
      <c r="T14" s="17"/>
      <c r="U14" s="65">
        <v>22.442503287543463</v>
      </c>
      <c r="V14" s="65"/>
      <c r="W14" s="65"/>
      <c r="X14" s="346">
        <f t="shared" si="3"/>
        <v>2.6407353213774827</v>
      </c>
      <c r="Y14" s="346"/>
      <c r="Z14" s="346"/>
      <c r="AA14" s="3" t="s">
        <v>70</v>
      </c>
      <c r="AB14" s="3" t="s">
        <v>70</v>
      </c>
      <c r="AC14" s="3" t="s">
        <v>70</v>
      </c>
      <c r="AD14" s="3" t="s">
        <v>73</v>
      </c>
      <c r="AE14" s="3" t="s">
        <v>73</v>
      </c>
      <c r="AF14" s="3" t="s">
        <v>73</v>
      </c>
      <c r="AG14" s="14">
        <v>2.5299999999999998</v>
      </c>
      <c r="AH14" s="3" t="s">
        <v>91</v>
      </c>
      <c r="AI14" s="1">
        <v>15</v>
      </c>
      <c r="AJ14" s="37">
        <v>37.575000000000003</v>
      </c>
      <c r="AK14" s="1">
        <v>45.1</v>
      </c>
    </row>
    <row r="15" spans="1:37">
      <c r="A15">
        <v>7</v>
      </c>
      <c r="B15" s="1" t="s">
        <v>8</v>
      </c>
      <c r="C15" s="1" t="s">
        <v>50</v>
      </c>
      <c r="D15" s="1" t="s">
        <v>644</v>
      </c>
      <c r="E15">
        <v>9</v>
      </c>
      <c r="F15">
        <v>4</v>
      </c>
      <c r="G15" s="9">
        <v>218.7618148428943</v>
      </c>
      <c r="H15" s="9">
        <v>354.1873537820573</v>
      </c>
      <c r="I15" s="9">
        <v>541.62469296548829</v>
      </c>
      <c r="J15" s="9">
        <v>211.56094074133136</v>
      </c>
      <c r="K15" s="9">
        <v>350.85102772956856</v>
      </c>
      <c r="L15" s="9">
        <v>555.83353877064746</v>
      </c>
      <c r="M15" s="9">
        <v>204.36006663976846</v>
      </c>
      <c r="N15" s="9">
        <v>348.15570167707983</v>
      </c>
      <c r="O15" s="9">
        <v>569.40138457580656</v>
      </c>
      <c r="P15" s="115">
        <v>0.33465176268271707</v>
      </c>
      <c r="Q15" s="115">
        <f>1/2</f>
        <v>0.5</v>
      </c>
      <c r="R15" s="17"/>
      <c r="S15" s="17">
        <f t="shared" si="1"/>
        <v>93.005336753884762</v>
      </c>
      <c r="T15" s="17">
        <f t="shared" si="2"/>
        <v>95.275588511136661</v>
      </c>
      <c r="U15" s="65">
        <v>1.9344283886629341</v>
      </c>
      <c r="V15" s="65">
        <v>7.4642767788468181</v>
      </c>
      <c r="W15" s="65">
        <v>22.266274022745353</v>
      </c>
      <c r="X15" s="346">
        <f t="shared" si="3"/>
        <v>0</v>
      </c>
      <c r="Y15" s="346">
        <f t="shared" si="4"/>
        <v>12.460060031194807</v>
      </c>
      <c r="Z15" s="346">
        <f t="shared" si="5"/>
        <v>4.2789192486273695</v>
      </c>
      <c r="AA15" s="3" t="s">
        <v>70</v>
      </c>
      <c r="AB15" s="3" t="s">
        <v>70</v>
      </c>
      <c r="AC15" s="3" t="s">
        <v>70</v>
      </c>
      <c r="AD15" s="3" t="s">
        <v>74</v>
      </c>
      <c r="AE15" s="3" t="s">
        <v>40</v>
      </c>
      <c r="AF15" s="3" t="s">
        <v>73</v>
      </c>
      <c r="AG15" s="14">
        <v>2.33</v>
      </c>
      <c r="AH15" s="18" t="s">
        <v>102</v>
      </c>
      <c r="AI15" s="1">
        <v>15</v>
      </c>
      <c r="AJ15" s="37">
        <v>37.575000000000003</v>
      </c>
      <c r="AK15" s="1">
        <v>45.1</v>
      </c>
    </row>
    <row r="16" spans="1:37">
      <c r="A16" s="3" t="s">
        <v>9</v>
      </c>
      <c r="B16" s="1" t="s">
        <v>774</v>
      </c>
      <c r="C16" s="1" t="s">
        <v>51</v>
      </c>
      <c r="D16" s="1" t="s">
        <v>645</v>
      </c>
      <c r="E16" s="3" t="s">
        <v>35</v>
      </c>
      <c r="F16">
        <v>2</v>
      </c>
      <c r="G16" s="9">
        <v>164.44924105520082</v>
      </c>
      <c r="H16" s="9">
        <v>302.4538706095222</v>
      </c>
      <c r="I16" s="9">
        <v>457.55891467214951</v>
      </c>
      <c r="J16" s="9">
        <v>165.50097692179895</v>
      </c>
      <c r="K16" s="9">
        <v>307.0359429788254</v>
      </c>
      <c r="L16" s="9">
        <v>507.57507951627264</v>
      </c>
      <c r="M16" s="9">
        <v>166.55271278839712</v>
      </c>
      <c r="N16" s="9">
        <v>316.68801534812866</v>
      </c>
      <c r="O16" s="9">
        <v>544.30624436039568</v>
      </c>
      <c r="P16" s="115">
        <v>0.23260469731863673</v>
      </c>
      <c r="Q16" s="115">
        <f>1/4</f>
        <v>0.25</v>
      </c>
      <c r="R16" s="17">
        <f t="shared" si="0"/>
        <v>17.588047756494507</v>
      </c>
      <c r="S16" s="17">
        <f t="shared" si="1"/>
        <v>29.516086934341391</v>
      </c>
      <c r="T16" s="17">
        <f t="shared" si="2"/>
        <v>31.652047304523439</v>
      </c>
      <c r="U16" s="65">
        <v>1.9344283886629341</v>
      </c>
      <c r="V16" s="65">
        <v>7.4642767788468181</v>
      </c>
      <c r="W16" s="65">
        <v>22.266274022745353</v>
      </c>
      <c r="X16" s="346">
        <f t="shared" si="3"/>
        <v>9.0921162342180395</v>
      </c>
      <c r="Y16" s="346">
        <f t="shared" si="4"/>
        <v>3.9543130311013779</v>
      </c>
      <c r="Z16" s="346">
        <f t="shared" si="5"/>
        <v>1.4215241971867574</v>
      </c>
      <c r="AA16" s="3" t="s">
        <v>70</v>
      </c>
      <c r="AB16" s="3" t="s">
        <v>70</v>
      </c>
      <c r="AC16" s="3" t="s">
        <v>70</v>
      </c>
      <c r="AD16" s="3" t="s">
        <v>74</v>
      </c>
      <c r="AE16" s="3" t="s">
        <v>40</v>
      </c>
      <c r="AF16" s="3" t="s">
        <v>73</v>
      </c>
      <c r="AG16" s="13">
        <v>0.87</v>
      </c>
      <c r="AH16" s="3" t="s">
        <v>92</v>
      </c>
      <c r="AI16" s="1">
        <v>1.4</v>
      </c>
      <c r="AJ16" s="37">
        <v>7.625</v>
      </c>
      <c r="AK16" s="1">
        <v>9.6999999999999993</v>
      </c>
    </row>
    <row r="17" spans="1:37">
      <c r="A17" s="3" t="s">
        <v>11</v>
      </c>
      <c r="B17" s="2" t="s">
        <v>775</v>
      </c>
      <c r="C17" s="2" t="s">
        <v>51</v>
      </c>
      <c r="D17" s="2" t="s">
        <v>645</v>
      </c>
      <c r="E17" s="3">
        <v>8</v>
      </c>
      <c r="F17">
        <v>2</v>
      </c>
      <c r="H17" s="9">
        <v>15</v>
      </c>
      <c r="J17" s="9"/>
      <c r="L17">
        <v>24.375</v>
      </c>
      <c r="O17" s="9">
        <v>27.5</v>
      </c>
      <c r="P17" s="115">
        <v>0.80664140421223363</v>
      </c>
      <c r="Q17" s="115">
        <v>1</v>
      </c>
      <c r="R17" s="17">
        <f t="shared" si="0"/>
        <v>12.099621063183504</v>
      </c>
      <c r="S17" s="17">
        <f t="shared" si="1"/>
        <v>19.661884227673195</v>
      </c>
      <c r="T17" s="17">
        <f t="shared" si="2"/>
        <v>22.182638615836424</v>
      </c>
      <c r="U17" s="65">
        <v>1.9344283886629341</v>
      </c>
      <c r="V17" s="65">
        <v>7.4642767788468181</v>
      </c>
      <c r="W17" s="65">
        <v>22.266274022745353</v>
      </c>
      <c r="X17" s="346">
        <f t="shared" si="3"/>
        <v>6.254881873164968</v>
      </c>
      <c r="Y17" s="346">
        <f t="shared" si="4"/>
        <v>2.6341311837998092</v>
      </c>
      <c r="Z17" s="346">
        <f t="shared" si="5"/>
        <v>0.99624385261658532</v>
      </c>
      <c r="AA17" s="3" t="s">
        <v>70</v>
      </c>
      <c r="AB17" s="3" t="s">
        <v>70</v>
      </c>
      <c r="AC17" s="3" t="s">
        <v>70</v>
      </c>
      <c r="AD17" s="3" t="s">
        <v>74</v>
      </c>
      <c r="AE17" s="3" t="s">
        <v>40</v>
      </c>
      <c r="AF17" s="3" t="s">
        <v>73</v>
      </c>
      <c r="AG17" s="13">
        <v>2.1800000000000002</v>
      </c>
      <c r="AH17" s="3" t="s">
        <v>92</v>
      </c>
      <c r="AI17" s="1">
        <v>1.4</v>
      </c>
      <c r="AJ17" s="37">
        <v>7.625</v>
      </c>
      <c r="AK17" s="1">
        <v>9.6999999999999993</v>
      </c>
    </row>
    <row r="18" spans="1:37">
      <c r="A18" s="3" t="s">
        <v>13</v>
      </c>
      <c r="B18" s="4" t="s">
        <v>776</v>
      </c>
      <c r="C18" s="4" t="s">
        <v>52</v>
      </c>
      <c r="D18" s="4" t="s">
        <v>646</v>
      </c>
      <c r="E18" s="3">
        <v>8</v>
      </c>
      <c r="F18">
        <v>2</v>
      </c>
      <c r="H18" s="9">
        <v>32.68</v>
      </c>
      <c r="L18" s="9">
        <v>56.462499999999999</v>
      </c>
      <c r="O18" s="9">
        <v>64.39</v>
      </c>
      <c r="P18" s="115">
        <v>0.32220956679706714</v>
      </c>
      <c r="Q18" s="115">
        <f>1/4</f>
        <v>0.25</v>
      </c>
      <c r="R18" s="17">
        <f t="shared" si="0"/>
        <v>2.6324521607320386</v>
      </c>
      <c r="S18" s="17">
        <f t="shared" si="1"/>
        <v>4.5481894163198504</v>
      </c>
      <c r="T18" s="17">
        <f t="shared" si="2"/>
        <v>5.1867685015157887</v>
      </c>
      <c r="U18" s="65">
        <v>6.0992998641585271E-2</v>
      </c>
      <c r="V18" s="65">
        <v>3.4174891416571382</v>
      </c>
      <c r="W18" s="65">
        <v>11.246853216874694</v>
      </c>
      <c r="X18" s="346">
        <f t="shared" si="3"/>
        <v>43.159907191990754</v>
      </c>
      <c r="Y18" s="346">
        <f t="shared" si="4"/>
        <v>1.3308570204013688</v>
      </c>
      <c r="Z18" s="346">
        <f t="shared" si="5"/>
        <v>0.46117508617731406</v>
      </c>
      <c r="AA18" s="3" t="s">
        <v>70</v>
      </c>
      <c r="AB18" s="3" t="s">
        <v>70</v>
      </c>
      <c r="AC18" s="3" t="s">
        <v>70</v>
      </c>
      <c r="AD18" s="3" t="s">
        <v>74</v>
      </c>
      <c r="AE18" s="3" t="s">
        <v>40</v>
      </c>
      <c r="AF18" s="3" t="s">
        <v>73</v>
      </c>
      <c r="AG18" s="13">
        <v>0.98</v>
      </c>
      <c r="AH18" s="3" t="s">
        <v>92</v>
      </c>
      <c r="AI18" s="1">
        <v>1.4</v>
      </c>
      <c r="AJ18" s="37">
        <v>7.625</v>
      </c>
      <c r="AK18" s="1">
        <v>9.6999999999999993</v>
      </c>
    </row>
    <row r="19" spans="1:37">
      <c r="A19" s="3" t="s">
        <v>15</v>
      </c>
      <c r="B19" s="2" t="s">
        <v>16</v>
      </c>
      <c r="C19" s="2" t="s">
        <v>51</v>
      </c>
      <c r="D19" s="2" t="s">
        <v>645</v>
      </c>
      <c r="E19" s="3">
        <v>9</v>
      </c>
      <c r="F19">
        <v>3</v>
      </c>
      <c r="H19">
        <v>24.7</v>
      </c>
      <c r="L19">
        <v>24.7</v>
      </c>
      <c r="O19">
        <v>24.7</v>
      </c>
      <c r="P19" s="342">
        <v>4.7769179325499187E-3</v>
      </c>
      <c r="Q19" s="342">
        <v>1</v>
      </c>
      <c r="R19" s="17">
        <f t="shared" si="0"/>
        <v>0.11798987293398298</v>
      </c>
      <c r="S19" s="17">
        <f t="shared" si="1"/>
        <v>0.11798987293398298</v>
      </c>
      <c r="T19" s="17">
        <f t="shared" si="2"/>
        <v>0.11798987293398298</v>
      </c>
      <c r="U19" s="65">
        <v>1.9344283886629341</v>
      </c>
      <c r="V19" s="65">
        <v>7.4642767788468181</v>
      </c>
      <c r="W19" s="65">
        <v>22.266274022745353</v>
      </c>
      <c r="X19" s="346">
        <f t="shared" si="3"/>
        <v>6.0994696741158205E-2</v>
      </c>
      <c r="Y19" s="347">
        <f t="shared" ref="Y19" si="6">S19/V19</f>
        <v>1.5807274626840895E-2</v>
      </c>
      <c r="Z19" s="347">
        <f t="shared" ref="Z19" si="7">T19/W19</f>
        <v>5.2990398309773088E-3</v>
      </c>
      <c r="AA19" s="3" t="s">
        <v>70</v>
      </c>
      <c r="AB19" s="3" t="s">
        <v>70</v>
      </c>
      <c r="AC19" s="3" t="s">
        <v>70</v>
      </c>
      <c r="AD19" s="3" t="s">
        <v>74</v>
      </c>
      <c r="AE19" s="3" t="s">
        <v>40</v>
      </c>
      <c r="AF19" s="3" t="s">
        <v>73</v>
      </c>
      <c r="AG19" s="13">
        <v>0.99</v>
      </c>
      <c r="AH19" s="3" t="s">
        <v>92</v>
      </c>
      <c r="AI19" s="1">
        <v>1.4</v>
      </c>
      <c r="AJ19" s="37">
        <v>7.625</v>
      </c>
      <c r="AK19" s="1">
        <v>9.6999999999999993</v>
      </c>
    </row>
    <row r="20" spans="1:37">
      <c r="A20" s="3" t="s">
        <v>17</v>
      </c>
      <c r="B20" s="1" t="s">
        <v>18</v>
      </c>
      <c r="C20" s="1" t="s">
        <v>53</v>
      </c>
      <c r="D20" s="1" t="s">
        <v>642</v>
      </c>
      <c r="E20" s="3">
        <v>8</v>
      </c>
      <c r="F20">
        <v>2</v>
      </c>
      <c r="G20" s="9">
        <v>172.95924105520081</v>
      </c>
      <c r="H20" s="9">
        <v>317.53387060952218</v>
      </c>
      <c r="I20" s="9">
        <v>477.66891467214953</v>
      </c>
      <c r="J20" s="9">
        <v>174.23597692179897</v>
      </c>
      <c r="K20" s="9">
        <v>323.73594297882539</v>
      </c>
      <c r="L20" s="9">
        <v>529.84507951627268</v>
      </c>
      <c r="M20" s="9">
        <v>175.51271278839712</v>
      </c>
      <c r="N20" s="9">
        <v>335.00801534812865</v>
      </c>
      <c r="O20" s="9">
        <v>568.73624436039563</v>
      </c>
      <c r="P20" s="115">
        <v>0.32708139432949784</v>
      </c>
      <c r="Q20" s="115">
        <f>1/4</f>
        <v>0.25</v>
      </c>
      <c r="R20" s="17">
        <f t="shared" si="0"/>
        <v>25.964855286451218</v>
      </c>
      <c r="S20" s="17"/>
      <c r="T20" s="17"/>
      <c r="U20" s="65">
        <v>22.442503287543463</v>
      </c>
      <c r="V20" s="65"/>
      <c r="W20" s="65"/>
      <c r="X20" s="346">
        <f t="shared" si="3"/>
        <v>1.1569500493673899</v>
      </c>
      <c r="Y20" s="346"/>
      <c r="Z20" s="346"/>
      <c r="AA20" s="3" t="s">
        <v>70</v>
      </c>
      <c r="AB20" s="3" t="s">
        <v>70</v>
      </c>
      <c r="AC20" s="3" t="s">
        <v>70</v>
      </c>
      <c r="AD20" s="3" t="s">
        <v>73</v>
      </c>
      <c r="AE20" s="3" t="s">
        <v>73</v>
      </c>
      <c r="AF20" s="3" t="s">
        <v>73</v>
      </c>
      <c r="AG20" s="13">
        <v>0.69</v>
      </c>
      <c r="AH20" s="3" t="s">
        <v>91</v>
      </c>
      <c r="AI20" s="1">
        <v>14.9</v>
      </c>
      <c r="AJ20" s="37">
        <v>82.174999999999997</v>
      </c>
      <c r="AK20" s="1">
        <v>104.6</v>
      </c>
    </row>
    <row r="21" spans="1:37">
      <c r="A21" s="3" t="s">
        <v>17</v>
      </c>
      <c r="B21" s="1" t="s">
        <v>18</v>
      </c>
      <c r="C21" s="1" t="s">
        <v>53</v>
      </c>
      <c r="D21" s="1" t="s">
        <v>644</v>
      </c>
      <c r="E21" s="3">
        <v>8</v>
      </c>
      <c r="F21">
        <v>2</v>
      </c>
      <c r="G21" s="9">
        <v>172.95924105520081</v>
      </c>
      <c r="H21" s="9">
        <v>317.53387060952218</v>
      </c>
      <c r="I21" s="9">
        <v>477.66891467214953</v>
      </c>
      <c r="J21" s="9">
        <v>174.23597692179897</v>
      </c>
      <c r="K21" s="9">
        <v>323.73594297882539</v>
      </c>
      <c r="L21" s="9">
        <v>529.84507951627268</v>
      </c>
      <c r="M21" s="9">
        <v>175.51271278839712</v>
      </c>
      <c r="N21" s="9">
        <v>335.00801534812865</v>
      </c>
      <c r="O21" s="9">
        <v>568.73624436039563</v>
      </c>
      <c r="P21" s="115">
        <v>0.32708139432949784</v>
      </c>
      <c r="Q21" s="115">
        <f>1/4</f>
        <v>0.25</v>
      </c>
      <c r="R21" s="17"/>
      <c r="S21" s="17">
        <f t="shared" si="1"/>
        <v>43.325616846701529</v>
      </c>
      <c r="T21" s="17">
        <f t="shared" si="2"/>
        <v>46.505760952780051</v>
      </c>
      <c r="U21" s="65"/>
      <c r="V21" s="65">
        <v>7.4642767788468181</v>
      </c>
      <c r="W21" s="65">
        <v>22.266274022745353</v>
      </c>
      <c r="X21" s="346"/>
      <c r="Y21" s="346">
        <f t="shared" si="4"/>
        <v>5.8043958082426643</v>
      </c>
      <c r="Z21" s="346">
        <f t="shared" si="5"/>
        <v>2.0886189088158025</v>
      </c>
      <c r="AA21" s="3" t="s">
        <v>70</v>
      </c>
      <c r="AB21" s="3" t="s">
        <v>70</v>
      </c>
      <c r="AC21" s="3" t="s">
        <v>70</v>
      </c>
      <c r="AD21" s="3" t="s">
        <v>74</v>
      </c>
      <c r="AE21" s="3" t="s">
        <v>40</v>
      </c>
      <c r="AF21" s="3" t="s">
        <v>73</v>
      </c>
      <c r="AG21" s="13">
        <v>0.73</v>
      </c>
      <c r="AH21" s="18" t="s">
        <v>102</v>
      </c>
      <c r="AI21" s="1">
        <v>14.9</v>
      </c>
      <c r="AJ21" s="37">
        <v>82.174999999999997</v>
      </c>
      <c r="AK21" s="1">
        <v>104.6</v>
      </c>
    </row>
    <row r="22" spans="1:37">
      <c r="A22" s="3" t="s">
        <v>19</v>
      </c>
      <c r="B22" s="4" t="s">
        <v>777</v>
      </c>
      <c r="C22" s="4" t="s">
        <v>54</v>
      </c>
      <c r="D22" s="4" t="s">
        <v>647</v>
      </c>
      <c r="E22" s="3">
        <v>9</v>
      </c>
      <c r="F22">
        <v>3</v>
      </c>
      <c r="G22" s="9"/>
      <c r="H22" s="9">
        <v>32.68</v>
      </c>
      <c r="L22" s="9">
        <v>56.462499999999999</v>
      </c>
      <c r="O22" s="9">
        <v>64.39</v>
      </c>
      <c r="P22" s="115">
        <v>0.43461267880872345</v>
      </c>
      <c r="Q22" s="115">
        <f t="shared" ref="Q22:Q23" si="8">1/4</f>
        <v>0.25</v>
      </c>
      <c r="R22" s="17">
        <f t="shared" si="0"/>
        <v>3.5507855858672706</v>
      </c>
      <c r="S22" s="17"/>
      <c r="T22" s="17"/>
      <c r="U22" s="65">
        <v>0.48601379959576846</v>
      </c>
      <c r="V22" s="65"/>
      <c r="W22" s="65"/>
      <c r="X22" s="346">
        <f t="shared" si="3"/>
        <v>7.3059357343774192</v>
      </c>
      <c r="Y22" s="346"/>
      <c r="Z22" s="346"/>
      <c r="AA22" s="3" t="s">
        <v>70</v>
      </c>
      <c r="AB22" s="3" t="s">
        <v>70</v>
      </c>
      <c r="AC22" s="3" t="s">
        <v>70</v>
      </c>
      <c r="AD22" s="3" t="s">
        <v>73</v>
      </c>
      <c r="AE22" s="3" t="s">
        <v>73</v>
      </c>
      <c r="AF22" s="3" t="s">
        <v>73</v>
      </c>
      <c r="AG22" s="13">
        <v>0.96</v>
      </c>
      <c r="AH22" s="3" t="s">
        <v>91</v>
      </c>
      <c r="AI22" s="1">
        <v>1.5</v>
      </c>
      <c r="AJ22" s="1">
        <v>15</v>
      </c>
      <c r="AK22" s="1" t="s">
        <v>101</v>
      </c>
    </row>
    <row r="23" spans="1:37">
      <c r="A23" s="3" t="s">
        <v>19</v>
      </c>
      <c r="B23" s="4" t="s">
        <v>777</v>
      </c>
      <c r="C23" s="4" t="s">
        <v>54</v>
      </c>
      <c r="D23" s="4" t="s">
        <v>648</v>
      </c>
      <c r="E23" s="3">
        <v>9</v>
      </c>
      <c r="F23">
        <v>3</v>
      </c>
      <c r="G23" s="9"/>
      <c r="H23" s="9">
        <v>32.68</v>
      </c>
      <c r="L23" s="9">
        <v>56.462499999999999</v>
      </c>
      <c r="O23" s="9">
        <v>64.39</v>
      </c>
      <c r="P23" s="115">
        <v>0.43461267880872345</v>
      </c>
      <c r="Q23" s="115">
        <f t="shared" si="8"/>
        <v>0.25</v>
      </c>
      <c r="R23" s="17"/>
      <c r="S23" s="17">
        <f t="shared" si="1"/>
        <v>6.1348295943093865</v>
      </c>
      <c r="T23" s="17">
        <f t="shared" si="2"/>
        <v>6.9961775971234257</v>
      </c>
      <c r="U23" s="65"/>
      <c r="V23" s="65">
        <v>3.4174891416571382</v>
      </c>
      <c r="W23" s="65">
        <v>11.246853216874694</v>
      </c>
      <c r="X23" s="346"/>
      <c r="Y23" s="346">
        <f t="shared" si="4"/>
        <v>1.7951277502332053</v>
      </c>
      <c r="Z23" s="346">
        <f t="shared" si="5"/>
        <v>0.62205645101035134</v>
      </c>
      <c r="AA23" s="3" t="s">
        <v>70</v>
      </c>
      <c r="AB23" s="3" t="s">
        <v>70</v>
      </c>
      <c r="AC23" s="3" t="s">
        <v>70</v>
      </c>
      <c r="AD23" s="3" t="s">
        <v>74</v>
      </c>
      <c r="AE23" s="3" t="s">
        <v>40</v>
      </c>
      <c r="AF23" s="3" t="s">
        <v>73</v>
      </c>
      <c r="AG23" s="13">
        <v>0.97</v>
      </c>
      <c r="AH23" s="18" t="s">
        <v>102</v>
      </c>
      <c r="AI23" s="1">
        <v>1.5</v>
      </c>
      <c r="AJ23" s="1">
        <v>15</v>
      </c>
      <c r="AK23" s="1" t="s">
        <v>101</v>
      </c>
    </row>
    <row r="24" spans="1:37">
      <c r="A24">
        <v>10</v>
      </c>
      <c r="B24" s="1" t="s">
        <v>21</v>
      </c>
      <c r="C24" s="1" t="s">
        <v>55</v>
      </c>
      <c r="D24" s="1" t="s">
        <v>649</v>
      </c>
      <c r="E24" s="3">
        <v>8</v>
      </c>
      <c r="F24">
        <v>2</v>
      </c>
      <c r="G24" s="9">
        <v>172.95924105520081</v>
      </c>
      <c r="H24" s="9">
        <v>317.53387060952218</v>
      </c>
      <c r="I24" s="9">
        <v>477.66891467214953</v>
      </c>
      <c r="J24" s="9">
        <v>174.23597692179897</v>
      </c>
      <c r="K24" s="9">
        <v>323.73594297882539</v>
      </c>
      <c r="L24" s="9">
        <v>529.84507951627268</v>
      </c>
      <c r="M24" s="9">
        <v>175.51271278839712</v>
      </c>
      <c r="N24" s="9">
        <v>335.00801534812865</v>
      </c>
      <c r="O24" s="9">
        <v>568.73624436039563</v>
      </c>
      <c r="P24" s="417">
        <v>0.28999999999999998</v>
      </c>
      <c r="Q24" s="115">
        <f>1/4</f>
        <v>0.25</v>
      </c>
      <c r="R24" s="17"/>
      <c r="S24" s="17">
        <f t="shared" si="1"/>
        <v>38.413768264929764</v>
      </c>
      <c r="T24" s="17">
        <f t="shared" si="2"/>
        <v>41.233377716128679</v>
      </c>
      <c r="U24" s="65"/>
      <c r="V24" s="65">
        <v>24.31419248251089</v>
      </c>
      <c r="W24" s="65">
        <v>6.7786885085905109</v>
      </c>
      <c r="X24" s="346"/>
      <c r="Y24" s="346">
        <f t="shared" si="4"/>
        <v>1.5798907692517712</v>
      </c>
      <c r="Z24" s="346">
        <f t="shared" si="5"/>
        <v>6.0827957596627069</v>
      </c>
      <c r="AA24" s="3" t="s">
        <v>70</v>
      </c>
      <c r="AB24" s="3" t="s">
        <v>70</v>
      </c>
      <c r="AC24" s="3" t="s">
        <v>70</v>
      </c>
      <c r="AD24" s="3" t="s">
        <v>74</v>
      </c>
      <c r="AE24" s="3" t="s">
        <v>40</v>
      </c>
      <c r="AF24" s="3" t="s">
        <v>73</v>
      </c>
      <c r="AG24" s="16">
        <v>0.89</v>
      </c>
      <c r="AH24" s="3" t="s">
        <v>93</v>
      </c>
      <c r="AI24" s="1">
        <v>0.14299999999999999</v>
      </c>
      <c r="AJ24" s="1">
        <v>3.5830000000000002</v>
      </c>
      <c r="AK24" s="1" t="s">
        <v>101</v>
      </c>
    </row>
    <row r="25" spans="1:37">
      <c r="A25" s="3" t="s">
        <v>22</v>
      </c>
      <c r="B25" s="1" t="s">
        <v>23</v>
      </c>
      <c r="C25" s="1" t="s">
        <v>56</v>
      </c>
      <c r="D25" s="1" t="s">
        <v>642</v>
      </c>
      <c r="E25" s="3" t="s">
        <v>35</v>
      </c>
      <c r="F25">
        <v>1</v>
      </c>
      <c r="G25" s="9">
        <v>172.95924105520081</v>
      </c>
      <c r="H25" s="9">
        <v>317.53387060952218</v>
      </c>
      <c r="I25" s="9">
        <v>477.66891467214953</v>
      </c>
      <c r="J25" s="9">
        <v>174.23597692179897</v>
      </c>
      <c r="K25" s="9">
        <v>323.73594297882539</v>
      </c>
      <c r="L25" s="9">
        <v>529.84507951627268</v>
      </c>
      <c r="M25" s="9">
        <v>175.51271278839712</v>
      </c>
      <c r="N25" s="9">
        <v>335.00801534812865</v>
      </c>
      <c r="O25" s="9">
        <v>568.73624436039563</v>
      </c>
      <c r="P25" s="115">
        <v>0.20466704882010128</v>
      </c>
      <c r="Q25" s="115">
        <f>1/4</f>
        <v>0.25</v>
      </c>
      <c r="R25" s="17">
        <f t="shared" si="0"/>
        <v>16.2471800495187</v>
      </c>
      <c r="S25" s="17"/>
      <c r="T25" s="17"/>
      <c r="U25" s="65">
        <v>22.442503287543463</v>
      </c>
      <c r="V25" s="65"/>
      <c r="W25" s="65"/>
      <c r="X25" s="346">
        <f t="shared" si="3"/>
        <v>0.72394687176169747</v>
      </c>
      <c r="Y25" s="346"/>
      <c r="Z25" s="346"/>
      <c r="AA25" s="3" t="s">
        <v>70</v>
      </c>
      <c r="AB25" s="3" t="s">
        <v>68</v>
      </c>
      <c r="AC25" s="3" t="s">
        <v>69</v>
      </c>
      <c r="AD25" s="3" t="s">
        <v>73</v>
      </c>
      <c r="AE25" s="3" t="s">
        <v>73</v>
      </c>
      <c r="AF25" s="3" t="s">
        <v>73</v>
      </c>
      <c r="AG25" s="13">
        <v>0.88</v>
      </c>
      <c r="AH25" s="18" t="s">
        <v>61</v>
      </c>
      <c r="AI25" s="1">
        <v>8.1999999999999993</v>
      </c>
      <c r="AJ25" s="37">
        <v>63.399999999999991</v>
      </c>
      <c r="AK25" s="1">
        <v>81.8</v>
      </c>
    </row>
    <row r="26" spans="1:37">
      <c r="A26" s="3" t="s">
        <v>22</v>
      </c>
      <c r="B26" s="1" t="s">
        <v>23</v>
      </c>
      <c r="C26" s="1" t="s">
        <v>57</v>
      </c>
      <c r="D26" s="1" t="s">
        <v>643</v>
      </c>
      <c r="E26" s="3" t="s">
        <v>35</v>
      </c>
      <c r="F26">
        <v>1</v>
      </c>
      <c r="G26" s="9">
        <v>172.95924105520081</v>
      </c>
      <c r="H26" s="9">
        <v>317.53387060952218</v>
      </c>
      <c r="I26" s="9">
        <v>477.66891467214953</v>
      </c>
      <c r="J26" s="9">
        <v>174.23597692179897</v>
      </c>
      <c r="K26" s="9">
        <v>323.73594297882539</v>
      </c>
      <c r="L26" s="9">
        <v>529.84507951627268</v>
      </c>
      <c r="M26" s="9">
        <v>175.51271278839712</v>
      </c>
      <c r="N26" s="9">
        <v>335.00801534812865</v>
      </c>
      <c r="O26" s="9">
        <v>568.73624436039563</v>
      </c>
      <c r="P26" s="115">
        <v>0.10000776249164038</v>
      </c>
      <c r="Q26" s="115">
        <f>1/4</f>
        <v>0.25</v>
      </c>
      <c r="R26" s="17"/>
      <c r="S26" s="17">
        <f t="shared" si="1"/>
        <v>13.247155217406927</v>
      </c>
      <c r="T26" s="17">
        <f t="shared" si="2"/>
        <v>14.219509811595499</v>
      </c>
      <c r="U26" s="65"/>
      <c r="V26" s="65">
        <v>10.505916663433375</v>
      </c>
      <c r="W26" s="65">
        <v>15.887545409592944</v>
      </c>
      <c r="X26" s="346"/>
      <c r="Y26" s="346">
        <f t="shared" si="4"/>
        <v>1.2609233103394621</v>
      </c>
      <c r="Z26" s="346">
        <f t="shared" si="5"/>
        <v>0.89500986118407688</v>
      </c>
      <c r="AA26" s="3" t="s">
        <v>70</v>
      </c>
      <c r="AB26" s="3" t="s">
        <v>70</v>
      </c>
      <c r="AC26" s="3" t="s">
        <v>70</v>
      </c>
      <c r="AD26" s="3" t="s">
        <v>40</v>
      </c>
      <c r="AE26" s="3" t="s">
        <v>73</v>
      </c>
      <c r="AF26" s="3" t="s">
        <v>73</v>
      </c>
      <c r="AG26" s="13">
        <v>0.88</v>
      </c>
      <c r="AH26" s="18" t="s">
        <v>90</v>
      </c>
      <c r="AI26" s="1">
        <v>8.1999999999999993</v>
      </c>
      <c r="AJ26" s="37">
        <v>63.399999999999991</v>
      </c>
      <c r="AK26" s="1">
        <v>81.8</v>
      </c>
    </row>
    <row r="27" spans="1:37">
      <c r="A27" s="3" t="s">
        <v>24</v>
      </c>
      <c r="B27" s="4" t="s">
        <v>778</v>
      </c>
      <c r="C27" s="4" t="s">
        <v>58</v>
      </c>
      <c r="D27" s="4" t="s">
        <v>647</v>
      </c>
      <c r="E27" s="7" t="s">
        <v>36</v>
      </c>
      <c r="F27">
        <v>1</v>
      </c>
      <c r="G27" s="9"/>
      <c r="H27" s="9">
        <v>32.68</v>
      </c>
      <c r="L27" s="9">
        <v>56.462499999999999</v>
      </c>
      <c r="O27" s="9">
        <v>64.39</v>
      </c>
      <c r="P27" s="115">
        <v>0.18916595012897677</v>
      </c>
      <c r="Q27" s="115">
        <f t="shared" ref="Q27:Q30" si="9">1/4</f>
        <v>0.25</v>
      </c>
      <c r="R27" s="17">
        <f t="shared" si="0"/>
        <v>1.5454858125537403</v>
      </c>
      <c r="S27" s="17"/>
      <c r="T27" s="17"/>
      <c r="U27" s="65">
        <v>0.48601379959576846</v>
      </c>
      <c r="V27" s="65"/>
      <c r="W27" s="65"/>
      <c r="X27" s="346">
        <f t="shared" si="3"/>
        <v>3.1799216685599565</v>
      </c>
      <c r="Y27" s="346"/>
      <c r="Z27" s="346"/>
      <c r="AA27" s="3" t="s">
        <v>70</v>
      </c>
      <c r="AB27" s="3" t="s">
        <v>68</v>
      </c>
      <c r="AC27" s="3" t="s">
        <v>69</v>
      </c>
      <c r="AD27" s="3" t="s">
        <v>73</v>
      </c>
      <c r="AE27" s="3" t="s">
        <v>73</v>
      </c>
      <c r="AF27" s="3" t="s">
        <v>73</v>
      </c>
      <c r="AG27" s="16">
        <v>0.99</v>
      </c>
      <c r="AH27" s="3" t="s">
        <v>61</v>
      </c>
      <c r="AI27" s="1">
        <v>8.1999999999999993</v>
      </c>
      <c r="AJ27" s="37">
        <v>63.399999999999991</v>
      </c>
      <c r="AK27" s="1">
        <v>81.8</v>
      </c>
    </row>
    <row r="28" spans="1:37">
      <c r="A28" s="3" t="s">
        <v>24</v>
      </c>
      <c r="B28" s="4" t="s">
        <v>778</v>
      </c>
      <c r="C28" s="4" t="s">
        <v>59</v>
      </c>
      <c r="D28" s="4" t="s">
        <v>650</v>
      </c>
      <c r="E28" s="7" t="s">
        <v>36</v>
      </c>
      <c r="F28">
        <v>1</v>
      </c>
      <c r="G28" s="9"/>
      <c r="H28" s="9">
        <v>32.68</v>
      </c>
      <c r="L28" s="9">
        <v>56.462499999999999</v>
      </c>
      <c r="O28" s="9">
        <v>64.39</v>
      </c>
      <c r="P28" s="115">
        <v>9.243336199484091E-2</v>
      </c>
      <c r="Q28" s="115">
        <f>1/4</f>
        <v>0.25</v>
      </c>
      <c r="R28" s="17"/>
      <c r="S28" s="17">
        <f t="shared" si="1"/>
        <v>1.3047546754084263</v>
      </c>
      <c r="T28" s="17">
        <f t="shared" si="2"/>
        <v>1.4879460447119515</v>
      </c>
      <c r="U28" s="65"/>
      <c r="V28" s="65">
        <v>3.5019683032029292</v>
      </c>
      <c r="W28" s="65">
        <v>12.724537672530632</v>
      </c>
      <c r="X28" s="346"/>
      <c r="Y28" s="346">
        <f t="shared" si="4"/>
        <v>0.37257752282197609</v>
      </c>
      <c r="Z28" s="346">
        <f t="shared" si="5"/>
        <v>0.11693517540712593</v>
      </c>
      <c r="AA28" s="3" t="s">
        <v>70</v>
      </c>
      <c r="AB28" s="3" t="s">
        <v>70</v>
      </c>
      <c r="AC28" s="3" t="s">
        <v>70</v>
      </c>
      <c r="AD28" s="3" t="s">
        <v>40</v>
      </c>
      <c r="AE28" s="3" t="s">
        <v>73</v>
      </c>
      <c r="AF28" s="3" t="s">
        <v>73</v>
      </c>
      <c r="AG28" s="16">
        <v>0.99</v>
      </c>
      <c r="AH28" s="18" t="s">
        <v>90</v>
      </c>
      <c r="AI28" s="1">
        <v>8.1999999999999993</v>
      </c>
      <c r="AJ28" s="37">
        <v>63.399999999999991</v>
      </c>
      <c r="AK28" s="1">
        <v>81.8</v>
      </c>
    </row>
    <row r="29" spans="1:37">
      <c r="A29">
        <v>12</v>
      </c>
      <c r="B29" s="2" t="s">
        <v>26</v>
      </c>
      <c r="C29" s="2" t="s">
        <v>47</v>
      </c>
      <c r="D29" s="2" t="s">
        <v>642</v>
      </c>
      <c r="E29" s="8">
        <v>9</v>
      </c>
      <c r="F29" s="8">
        <v>3</v>
      </c>
      <c r="G29" s="9"/>
      <c r="H29" s="9">
        <v>32.68</v>
      </c>
      <c r="L29" s="9">
        <v>56.462499999999999</v>
      </c>
      <c r="O29" s="9">
        <v>64.39</v>
      </c>
      <c r="P29" s="115">
        <v>0.30419052872369762</v>
      </c>
      <c r="Q29" s="115">
        <f t="shared" si="9"/>
        <v>0.25</v>
      </c>
      <c r="R29" s="17">
        <f t="shared" si="0"/>
        <v>2.4852366196726097</v>
      </c>
      <c r="S29" s="17"/>
      <c r="T29" s="17"/>
      <c r="U29" s="65">
        <v>22.442503287543463</v>
      </c>
      <c r="V29" s="112"/>
      <c r="W29" s="112"/>
      <c r="X29" s="346">
        <f t="shared" si="3"/>
        <v>0.1107379416560906</v>
      </c>
      <c r="Y29" s="346"/>
      <c r="Z29" s="346"/>
      <c r="AA29" s="18" t="s">
        <v>70</v>
      </c>
      <c r="AB29" s="110" t="s">
        <v>68</v>
      </c>
      <c r="AC29" s="110" t="s">
        <v>69</v>
      </c>
      <c r="AD29" s="3" t="s">
        <v>73</v>
      </c>
      <c r="AE29" s="3"/>
      <c r="AF29" s="3"/>
      <c r="AG29" s="16">
        <v>0.6</v>
      </c>
      <c r="AH29" s="3" t="s">
        <v>60</v>
      </c>
      <c r="AI29" s="1">
        <v>0.96699999999999997</v>
      </c>
      <c r="AJ29" s="1" t="s">
        <v>101</v>
      </c>
      <c r="AK29" s="1" t="s">
        <v>101</v>
      </c>
    </row>
    <row r="30" spans="1:37">
      <c r="A30">
        <v>12</v>
      </c>
      <c r="B30" s="2" t="s">
        <v>26</v>
      </c>
      <c r="C30" s="2" t="s">
        <v>49</v>
      </c>
      <c r="D30" s="2" t="s">
        <v>643</v>
      </c>
      <c r="E30" s="8">
        <v>9</v>
      </c>
      <c r="F30" s="8">
        <v>3</v>
      </c>
      <c r="G30" s="9"/>
      <c r="H30" s="9">
        <v>32.68</v>
      </c>
      <c r="L30" s="9">
        <v>56.462499999999999</v>
      </c>
      <c r="O30" s="9">
        <v>64.39</v>
      </c>
      <c r="P30" s="115">
        <v>0.18251431723421854</v>
      </c>
      <c r="Q30" s="115">
        <f t="shared" si="9"/>
        <v>0.25</v>
      </c>
      <c r="R30" s="17"/>
      <c r="S30" s="17">
        <f t="shared" si="1"/>
        <v>2.5763036592092661</v>
      </c>
      <c r="T30" s="17">
        <f t="shared" si="2"/>
        <v>2.9380242216778329</v>
      </c>
      <c r="U30" s="112"/>
      <c r="V30" s="65">
        <v>10.505916663433375</v>
      </c>
      <c r="W30" s="65">
        <v>15.887545409592944</v>
      </c>
      <c r="X30" s="346"/>
      <c r="Y30" s="346">
        <f t="shared" si="4"/>
        <v>0.24522407151546163</v>
      </c>
      <c r="Z30" s="346">
        <f t="shared" si="5"/>
        <v>0.1849262517231797</v>
      </c>
      <c r="AA30" s="110" t="s">
        <v>70</v>
      </c>
      <c r="AB30" s="18" t="s">
        <v>70</v>
      </c>
      <c r="AC30" s="18" t="s">
        <v>70</v>
      </c>
      <c r="AD30" s="3"/>
      <c r="AE30" s="3" t="s">
        <v>73</v>
      </c>
      <c r="AF30" s="3" t="s">
        <v>73</v>
      </c>
      <c r="AH30" s="3" t="s">
        <v>101</v>
      </c>
      <c r="AI30" s="1" t="s">
        <v>101</v>
      </c>
      <c r="AJ30" s="1">
        <v>24.184000000000001</v>
      </c>
      <c r="AK30" s="1" t="s">
        <v>101</v>
      </c>
    </row>
    <row r="31" spans="1:37">
      <c r="A31" s="3" t="s">
        <v>27</v>
      </c>
      <c r="B31" s="1" t="s">
        <v>28</v>
      </c>
      <c r="C31" s="1" t="s">
        <v>99</v>
      </c>
      <c r="D31" s="1" t="s">
        <v>642</v>
      </c>
      <c r="E31" s="3">
        <v>9</v>
      </c>
      <c r="F31">
        <v>3</v>
      </c>
      <c r="G31" s="9">
        <v>148.04932020766233</v>
      </c>
      <c r="H31" s="9">
        <v>270.4425788511054</v>
      </c>
      <c r="I31" s="9">
        <v>418.53625200285438</v>
      </c>
      <c r="J31" s="9">
        <v>148.58920533459803</v>
      </c>
      <c r="K31" s="9">
        <v>280.3412167187841</v>
      </c>
      <c r="L31" s="9">
        <v>451.30989858339098</v>
      </c>
      <c r="M31" s="9">
        <v>149.12909046153371</v>
      </c>
      <c r="N31" s="9">
        <v>290.2398545864628</v>
      </c>
      <c r="O31" s="9">
        <v>484.08354516392751</v>
      </c>
      <c r="P31" s="115">
        <v>0.27123986095017383</v>
      </c>
      <c r="Q31" s="266">
        <f>1/3</f>
        <v>0.33333333333333331</v>
      </c>
      <c r="R31" s="17">
        <f t="shared" si="0"/>
        <v>24.451602494193413</v>
      </c>
      <c r="S31" s="17"/>
      <c r="T31" s="17"/>
      <c r="U31" s="65">
        <v>22.442503287543463</v>
      </c>
      <c r="V31" s="112"/>
      <c r="W31" s="112"/>
      <c r="X31" s="346">
        <f t="shared" si="3"/>
        <v>1.0895220635999676</v>
      </c>
      <c r="Y31" s="346"/>
      <c r="Z31" s="346"/>
      <c r="AA31" s="3" t="s">
        <v>70</v>
      </c>
      <c r="AB31" s="110" t="s">
        <v>68</v>
      </c>
      <c r="AC31" s="110" t="s">
        <v>69</v>
      </c>
      <c r="AD31" s="3" t="s">
        <v>73</v>
      </c>
      <c r="AE31" s="110" t="s">
        <v>73</v>
      </c>
      <c r="AF31" s="110" t="s">
        <v>73</v>
      </c>
      <c r="AG31" s="13">
        <v>0.71</v>
      </c>
      <c r="AH31" s="3" t="s">
        <v>98</v>
      </c>
      <c r="AI31" s="1">
        <v>5.0999999999999996</v>
      </c>
      <c r="AJ31" s="37">
        <v>27.9</v>
      </c>
      <c r="AK31" s="1">
        <v>35.5</v>
      </c>
    </row>
    <row r="32" spans="1:37">
      <c r="A32" s="3" t="s">
        <v>27</v>
      </c>
      <c r="B32" s="1" t="s">
        <v>28</v>
      </c>
      <c r="C32" s="5" t="s">
        <v>100</v>
      </c>
      <c r="D32" s="1" t="s">
        <v>643</v>
      </c>
      <c r="E32" s="3">
        <v>9</v>
      </c>
      <c r="F32">
        <v>3</v>
      </c>
      <c r="G32" s="9">
        <v>148.04932020766233</v>
      </c>
      <c r="H32" s="9">
        <v>270.4425788511054</v>
      </c>
      <c r="I32" s="9">
        <v>418.53625200285438</v>
      </c>
      <c r="J32" s="9">
        <v>148.58920533459803</v>
      </c>
      <c r="K32" s="9">
        <v>280.3412167187841</v>
      </c>
      <c r="L32" s="9">
        <v>451.30989858339098</v>
      </c>
      <c r="M32" s="9">
        <v>149.12909046153371</v>
      </c>
      <c r="N32" s="9">
        <v>290.2398545864628</v>
      </c>
      <c r="O32" s="9">
        <v>484.08354516392751</v>
      </c>
      <c r="P32" s="115">
        <v>9.0413286983391281E-2</v>
      </c>
      <c r="Q32" s="266">
        <f>1/3</f>
        <v>0.33333333333333331</v>
      </c>
      <c r="R32" s="17"/>
      <c r="S32" s="17">
        <f t="shared" si="1"/>
        <v>13.601470459688446</v>
      </c>
      <c r="T32" s="17">
        <f t="shared" si="2"/>
        <v>14.589194830947877</v>
      </c>
      <c r="U32" s="112"/>
      <c r="V32" s="65">
        <v>10.505916663433375</v>
      </c>
      <c r="W32" s="65">
        <v>15.887545409592944</v>
      </c>
      <c r="X32" s="346"/>
      <c r="Y32" s="346">
        <f t="shared" si="4"/>
        <v>1.2946486151969372</v>
      </c>
      <c r="Z32" s="346">
        <f t="shared" si="5"/>
        <v>0.9182787180037818</v>
      </c>
      <c r="AA32" s="110" t="s">
        <v>70</v>
      </c>
      <c r="AB32" s="3" t="s">
        <v>70</v>
      </c>
      <c r="AC32" s="3" t="s">
        <v>70</v>
      </c>
      <c r="AD32" s="110" t="s">
        <v>40</v>
      </c>
      <c r="AE32" s="3" t="s">
        <v>73</v>
      </c>
      <c r="AF32" s="3" t="s">
        <v>73</v>
      </c>
      <c r="AG32" s="13">
        <v>0.7</v>
      </c>
      <c r="AH32" s="3" t="s">
        <v>90</v>
      </c>
      <c r="AI32" s="1">
        <v>5.0999999999999996</v>
      </c>
      <c r="AJ32" s="37">
        <v>27.9</v>
      </c>
      <c r="AK32" s="1">
        <v>35.5</v>
      </c>
    </row>
    <row r="33" spans="1:37">
      <c r="A33" s="3" t="s">
        <v>29</v>
      </c>
      <c r="B33" s="1" t="s">
        <v>30</v>
      </c>
      <c r="C33" s="1" t="s">
        <v>99</v>
      </c>
      <c r="D33" s="1" t="s">
        <v>642</v>
      </c>
      <c r="E33" s="3" t="s">
        <v>35</v>
      </c>
      <c r="F33">
        <v>1</v>
      </c>
      <c r="G33" s="9">
        <v>148.04932020766233</v>
      </c>
      <c r="H33" s="9">
        <v>270.4425788511054</v>
      </c>
      <c r="I33" s="9">
        <v>418.53625200285438</v>
      </c>
      <c r="J33" s="9">
        <v>148.58920533459803</v>
      </c>
      <c r="K33" s="9">
        <v>280.3412167187841</v>
      </c>
      <c r="L33" s="9">
        <v>451.30989858339098</v>
      </c>
      <c r="M33" s="9">
        <v>149.12909046153371</v>
      </c>
      <c r="N33" s="9">
        <v>290.2398545864628</v>
      </c>
      <c r="O33" s="9">
        <v>484.08354516392751</v>
      </c>
      <c r="P33" s="115">
        <v>0.27123986095017383</v>
      </c>
      <c r="Q33" s="266">
        <f>1/3</f>
        <v>0.33333333333333331</v>
      </c>
      <c r="R33" s="17">
        <f t="shared" si="0"/>
        <v>24.451602494193413</v>
      </c>
      <c r="S33" s="17"/>
      <c r="T33" s="17"/>
      <c r="U33" s="65">
        <v>22.442503287543463</v>
      </c>
      <c r="V33" s="112"/>
      <c r="W33" s="112"/>
      <c r="X33" s="346">
        <f t="shared" si="3"/>
        <v>1.0895220635999676</v>
      </c>
      <c r="Y33" s="346"/>
      <c r="Z33" s="346"/>
      <c r="AA33" s="3" t="s">
        <v>70</v>
      </c>
      <c r="AB33" s="110" t="s">
        <v>68</v>
      </c>
      <c r="AC33" s="110" t="s">
        <v>69</v>
      </c>
      <c r="AD33" s="3" t="s">
        <v>73</v>
      </c>
      <c r="AE33" s="110" t="s">
        <v>73</v>
      </c>
      <c r="AF33" s="110" t="s">
        <v>73</v>
      </c>
      <c r="AG33" s="13">
        <v>0.71</v>
      </c>
      <c r="AH33" s="3" t="s">
        <v>98</v>
      </c>
      <c r="AI33" s="1">
        <v>5.0999999999999996</v>
      </c>
      <c r="AJ33" s="37">
        <v>27.9</v>
      </c>
      <c r="AK33" s="1">
        <v>35.5</v>
      </c>
    </row>
    <row r="34" spans="1:37">
      <c r="A34" s="3" t="s">
        <v>29</v>
      </c>
      <c r="B34" s="1" t="s">
        <v>30</v>
      </c>
      <c r="C34" s="5" t="s">
        <v>230</v>
      </c>
      <c r="D34" s="1" t="s">
        <v>644</v>
      </c>
      <c r="E34" s="3" t="s">
        <v>35</v>
      </c>
      <c r="F34">
        <v>1</v>
      </c>
      <c r="G34" s="9">
        <v>148.04932020766233</v>
      </c>
      <c r="H34" s="9">
        <v>270.4425788511054</v>
      </c>
      <c r="I34" s="9">
        <v>418.53625200285438</v>
      </c>
      <c r="J34" s="9">
        <v>148.58920533459803</v>
      </c>
      <c r="K34" s="9">
        <v>280.3412167187841</v>
      </c>
      <c r="L34" s="9">
        <v>451.30989858339098</v>
      </c>
      <c r="M34" s="9">
        <v>149.12909046153371</v>
      </c>
      <c r="N34" s="9">
        <v>290.2398545864628</v>
      </c>
      <c r="O34" s="9">
        <v>484.08354516392751</v>
      </c>
      <c r="P34" s="115">
        <v>9.0413286983391281E-2</v>
      </c>
      <c r="Q34" s="266">
        <f>1/3</f>
        <v>0.33333333333333331</v>
      </c>
      <c r="R34" s="17"/>
      <c r="S34" s="17">
        <f t="shared" si="1"/>
        <v>13.601470459688446</v>
      </c>
      <c r="T34" s="17">
        <f t="shared" si="2"/>
        <v>14.589194830947877</v>
      </c>
      <c r="U34" s="112"/>
      <c r="V34" s="65">
        <v>7.4642767788468181</v>
      </c>
      <c r="W34" s="65">
        <v>22.266274022745353</v>
      </c>
      <c r="X34" s="346"/>
      <c r="Y34" s="346">
        <f t="shared" si="4"/>
        <v>1.8222087501141382</v>
      </c>
      <c r="Z34" s="346">
        <f t="shared" si="5"/>
        <v>0.6552149145404742</v>
      </c>
      <c r="AA34" s="110" t="s">
        <v>70</v>
      </c>
      <c r="AB34" s="18" t="s">
        <v>70</v>
      </c>
      <c r="AC34" s="18" t="s">
        <v>70</v>
      </c>
      <c r="AD34" s="110" t="s">
        <v>74</v>
      </c>
      <c r="AE34" s="3" t="s">
        <v>40</v>
      </c>
      <c r="AF34" s="3" t="s">
        <v>73</v>
      </c>
      <c r="AG34" s="13">
        <v>0.7</v>
      </c>
      <c r="AH34" s="3" t="s">
        <v>102</v>
      </c>
      <c r="AI34" s="1">
        <v>5.0999999999999996</v>
      </c>
      <c r="AJ34" s="37">
        <v>27.9</v>
      </c>
      <c r="AK34" s="1">
        <v>35.5</v>
      </c>
    </row>
    <row r="35" spans="1:37">
      <c r="A35">
        <v>14</v>
      </c>
      <c r="B35" s="5" t="s">
        <v>31</v>
      </c>
      <c r="C35" s="5" t="s">
        <v>61</v>
      </c>
      <c r="D35" s="1" t="s">
        <v>642</v>
      </c>
      <c r="E35" s="3">
        <v>6</v>
      </c>
      <c r="F35">
        <v>1</v>
      </c>
      <c r="G35" s="9">
        <v>88.226114090114478</v>
      </c>
      <c r="H35" s="9">
        <v>129.10404670004917</v>
      </c>
      <c r="I35" s="9">
        <v>165.88744577778397</v>
      </c>
      <c r="J35" s="9">
        <v>95.79917660737803</v>
      </c>
      <c r="K35" s="9">
        <v>148.66934715725631</v>
      </c>
      <c r="L35" s="9">
        <v>207.28460545216572</v>
      </c>
      <c r="M35" s="9">
        <v>103.3722391246416</v>
      </c>
      <c r="N35" s="9">
        <v>168.23464761446348</v>
      </c>
      <c r="O35" s="9">
        <v>248.68176512654742</v>
      </c>
      <c r="P35" s="115">
        <v>0.36986078886310902</v>
      </c>
      <c r="Q35" s="115">
        <f>1/2</f>
        <v>0.5</v>
      </c>
      <c r="R35" s="17">
        <f t="shared" si="0"/>
        <v>23.875262278949926</v>
      </c>
      <c r="S35" s="17"/>
      <c r="T35" s="17"/>
      <c r="U35" s="65">
        <v>22.442503287543463</v>
      </c>
      <c r="V35" s="112"/>
      <c r="W35" s="112"/>
      <c r="X35" s="346">
        <f t="shared" si="3"/>
        <v>1.0638413181029456</v>
      </c>
      <c r="Y35" s="346"/>
      <c r="Z35" s="346"/>
      <c r="AA35" s="3" t="s">
        <v>70</v>
      </c>
      <c r="AB35" s="110" t="s">
        <v>68</v>
      </c>
      <c r="AC35" s="110" t="s">
        <v>69</v>
      </c>
      <c r="AD35" s="3" t="s">
        <v>73</v>
      </c>
      <c r="AE35" s="110" t="s">
        <v>73</v>
      </c>
      <c r="AF35" s="110" t="s">
        <v>73</v>
      </c>
      <c r="AG35" s="13">
        <v>0.66</v>
      </c>
      <c r="AH35" s="18" t="s">
        <v>61</v>
      </c>
      <c r="AI35" s="1">
        <v>0.8</v>
      </c>
      <c r="AJ35" s="37">
        <v>5.8999999999999995</v>
      </c>
      <c r="AK35" s="1">
        <v>7.6</v>
      </c>
    </row>
    <row r="36" spans="1:37">
      <c r="A36">
        <v>14</v>
      </c>
      <c r="B36" s="5" t="s">
        <v>31</v>
      </c>
      <c r="C36" s="5" t="s">
        <v>100</v>
      </c>
      <c r="D36" s="1" t="s">
        <v>643</v>
      </c>
      <c r="E36" s="3">
        <v>6</v>
      </c>
      <c r="F36">
        <v>1</v>
      </c>
      <c r="G36" s="9">
        <v>88.226114090114478</v>
      </c>
      <c r="H36" s="9">
        <v>129.10404670004917</v>
      </c>
      <c r="I36" s="9">
        <v>165.88744577778397</v>
      </c>
      <c r="J36" s="9">
        <v>95.79917660737803</v>
      </c>
      <c r="K36" s="9">
        <v>148.66934715725631</v>
      </c>
      <c r="L36" s="9">
        <v>207.28460545216572</v>
      </c>
      <c r="M36" s="9">
        <v>103.3722391246416</v>
      </c>
      <c r="N36" s="9">
        <v>168.23464761446348</v>
      </c>
      <c r="O36" s="9">
        <v>248.68176512654742</v>
      </c>
      <c r="P36" s="115">
        <v>0.12662028216548585</v>
      </c>
      <c r="Q36" s="115">
        <f t="shared" ref="Q36:Q37" si="10">1/2</f>
        <v>0.5</v>
      </c>
      <c r="R36" s="17"/>
      <c r="S36" s="17">
        <f t="shared" si="1"/>
        <v>13.123217615457316</v>
      </c>
      <c r="T36" s="17">
        <f t="shared" si="2"/>
        <v>15.744077634867256</v>
      </c>
      <c r="U36" s="112"/>
      <c r="V36" s="65">
        <v>10.505916663433375</v>
      </c>
      <c r="W36" s="65">
        <v>15.887545409592944</v>
      </c>
      <c r="X36" s="346"/>
      <c r="Y36" s="346">
        <f t="shared" si="4"/>
        <v>1.2491263766762639</v>
      </c>
      <c r="Z36" s="346">
        <f t="shared" si="5"/>
        <v>0.99096979608699898</v>
      </c>
      <c r="AA36" s="110" t="s">
        <v>70</v>
      </c>
      <c r="AB36" s="3" t="s">
        <v>70</v>
      </c>
      <c r="AC36" s="3" t="s">
        <v>70</v>
      </c>
      <c r="AD36" s="110" t="s">
        <v>40</v>
      </c>
      <c r="AE36" s="3" t="s">
        <v>73</v>
      </c>
      <c r="AF36" s="3" t="s">
        <v>73</v>
      </c>
      <c r="AG36" s="13">
        <v>0.65</v>
      </c>
      <c r="AH36" s="18" t="s">
        <v>90</v>
      </c>
      <c r="AI36" s="1">
        <v>0.8</v>
      </c>
      <c r="AJ36" s="37">
        <v>5.8999999999999995</v>
      </c>
      <c r="AK36" s="1">
        <v>7.6</v>
      </c>
    </row>
    <row r="37" spans="1:37">
      <c r="A37">
        <v>14</v>
      </c>
      <c r="B37" s="5" t="s">
        <v>31</v>
      </c>
      <c r="C37" s="5" t="s">
        <v>230</v>
      </c>
      <c r="D37" s="1" t="s">
        <v>644</v>
      </c>
      <c r="E37" s="3">
        <v>6</v>
      </c>
      <c r="F37">
        <v>1</v>
      </c>
      <c r="G37" s="9">
        <v>88.226114090114478</v>
      </c>
      <c r="H37" s="9">
        <v>129.10404670004917</v>
      </c>
      <c r="I37" s="9">
        <v>165.88744577778397</v>
      </c>
      <c r="J37" s="9">
        <v>95.79917660737803</v>
      </c>
      <c r="K37" s="9">
        <v>148.66934715725631</v>
      </c>
      <c r="L37" s="9">
        <v>207.28460545216572</v>
      </c>
      <c r="M37" s="9">
        <v>103.3722391246416</v>
      </c>
      <c r="N37" s="9">
        <v>168.23464761446348</v>
      </c>
      <c r="O37" s="9">
        <v>248.68176512654742</v>
      </c>
      <c r="P37" s="115">
        <v>0.24657385924207267</v>
      </c>
      <c r="Q37" s="115">
        <f t="shared" si="10"/>
        <v>0.5</v>
      </c>
      <c r="R37" s="17"/>
      <c r="S37" s="17">
        <f t="shared" si="1"/>
        <v>25.555482563905439</v>
      </c>
      <c r="T37" s="17">
        <f t="shared" si="2"/>
        <v>30.65921127519174</v>
      </c>
      <c r="U37" s="112"/>
      <c r="V37" s="65">
        <v>7.4642767788468181</v>
      </c>
      <c r="W37" s="65">
        <v>22.266274022745353</v>
      </c>
      <c r="X37" s="346"/>
      <c r="Y37" s="346">
        <f t="shared" si="4"/>
        <v>3.423705111837184</v>
      </c>
      <c r="Z37" s="346">
        <f t="shared" si="5"/>
        <v>1.3769349664821724</v>
      </c>
      <c r="AA37" s="110" t="s">
        <v>70</v>
      </c>
      <c r="AB37" s="3" t="s">
        <v>70</v>
      </c>
      <c r="AC37" s="3" t="s">
        <v>70</v>
      </c>
      <c r="AD37" s="110" t="s">
        <v>74</v>
      </c>
      <c r="AE37" s="3" t="s">
        <v>40</v>
      </c>
      <c r="AF37" s="3" t="s">
        <v>73</v>
      </c>
      <c r="AG37" s="13">
        <v>0.66</v>
      </c>
      <c r="AH37" s="3" t="s">
        <v>61</v>
      </c>
      <c r="AI37" s="1">
        <v>0.8</v>
      </c>
      <c r="AJ37" s="37">
        <v>5.8999999999999995</v>
      </c>
      <c r="AK37" s="1">
        <v>7.6</v>
      </c>
    </row>
    <row r="38" spans="1:37" ht="15" thickBot="1">
      <c r="B38" t="s">
        <v>629</v>
      </c>
      <c r="C38" s="5"/>
      <c r="D38" s="1"/>
      <c r="E38" s="3"/>
      <c r="G38" s="9"/>
      <c r="H38" s="9"/>
      <c r="I38" s="9"/>
      <c r="J38" s="9"/>
      <c r="K38" s="9"/>
      <c r="L38" s="9"/>
      <c r="M38" s="9"/>
      <c r="N38" s="9"/>
      <c r="O38" s="9"/>
      <c r="P38" s="115"/>
      <c r="Q38" s="115"/>
      <c r="R38" s="344">
        <f>SUM(R5:R37)</f>
        <v>243.58938272364139</v>
      </c>
      <c r="S38" s="344">
        <f t="shared" ref="S38:T38" si="11">SUM(S5:S37)</f>
        <v>386.19211696878341</v>
      </c>
      <c r="T38" s="344">
        <f t="shared" si="11"/>
        <v>423.21683587625103</v>
      </c>
      <c r="U38" s="345"/>
      <c r="V38" s="345"/>
      <c r="W38" s="345"/>
      <c r="X38" s="346"/>
      <c r="Y38" s="346"/>
      <c r="Z38" s="346"/>
      <c r="AA38" s="110"/>
      <c r="AB38" s="3"/>
      <c r="AC38" s="3"/>
      <c r="AD38" s="110"/>
      <c r="AE38" s="3"/>
      <c r="AF38" s="3"/>
      <c r="AG38" s="13"/>
      <c r="AH38" s="3"/>
    </row>
    <row r="39" spans="1:37">
      <c r="AA39" s="111"/>
    </row>
    <row r="40" spans="1:37">
      <c r="B40" t="s">
        <v>618</v>
      </c>
    </row>
    <row r="41" spans="1:37">
      <c r="B41" t="s">
        <v>619</v>
      </c>
      <c r="M41" s="19"/>
      <c r="P41" s="12"/>
      <c r="Q41" s="12"/>
      <c r="U41" s="8"/>
    </row>
    <row r="42" spans="1:37">
      <c r="B42" t="s">
        <v>620</v>
      </c>
      <c r="M42" s="19"/>
    </row>
    <row r="43" spans="1:37">
      <c r="B43" t="s">
        <v>621</v>
      </c>
      <c r="G43" s="9"/>
      <c r="H43" s="9"/>
      <c r="I43" s="9"/>
      <c r="J43" s="9"/>
      <c r="K43" s="9"/>
      <c r="L43" s="9"/>
      <c r="M43" s="19"/>
      <c r="N43" s="9"/>
      <c r="O43" s="9"/>
    </row>
    <row r="44" spans="1:37">
      <c r="B44" t="s">
        <v>622</v>
      </c>
    </row>
    <row r="45" spans="1:37">
      <c r="B45" t="s">
        <v>623</v>
      </c>
    </row>
    <row r="46" spans="1:37">
      <c r="B46" t="s">
        <v>624</v>
      </c>
    </row>
    <row r="47" spans="1:37">
      <c r="B47" t="s">
        <v>460</v>
      </c>
    </row>
    <row r="49" spans="2:2">
      <c r="B49" s="1"/>
    </row>
    <row r="50" spans="2:2">
      <c r="B50" s="343"/>
    </row>
    <row r="51" spans="2:2">
      <c r="B51" s="1"/>
    </row>
    <row r="52" spans="2:2">
      <c r="B52" s="1"/>
    </row>
    <row r="53" spans="2:2">
      <c r="B53" s="1"/>
    </row>
    <row r="54" spans="2:2">
      <c r="B54" s="343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343"/>
    </row>
    <row r="61" spans="2:2">
      <c r="B61" s="343"/>
    </row>
    <row r="62" spans="2:2">
      <c r="B62" s="1"/>
    </row>
    <row r="63" spans="2:2">
      <c r="B63" s="343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343"/>
    </row>
    <row r="69" spans="2:2">
      <c r="B69" s="1"/>
    </row>
    <row r="70" spans="2:2">
      <c r="B70" s="343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343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343"/>
    </row>
    <row r="93" spans="2:2">
      <c r="B93" s="1"/>
    </row>
    <row r="94" spans="2:2">
      <c r="B94" s="343"/>
    </row>
    <row r="95" spans="2:2">
      <c r="B95" s="1"/>
    </row>
    <row r="96" spans="2:2">
      <c r="B96" s="343"/>
    </row>
    <row r="97" spans="2:2">
      <c r="B97" s="1"/>
    </row>
    <row r="98" spans="2:2">
      <c r="B98" s="343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 ht="15" thickBot="1">
      <c r="B108" s="66"/>
    </row>
    <row r="109" spans="2:2">
      <c r="B109" s="67">
        <f>1/4</f>
        <v>0.25</v>
      </c>
    </row>
    <row r="110" spans="2:2" ht="15" thickBot="1">
      <c r="B110" s="66"/>
    </row>
    <row r="111" spans="2:2">
      <c r="B111" s="67">
        <f>1/4</f>
        <v>0.25</v>
      </c>
    </row>
    <row r="121" spans="2:2" ht="15" thickBot="1">
      <c r="B121" s="66"/>
    </row>
    <row r="122" spans="2:2">
      <c r="B122" s="67">
        <f>1/4</f>
        <v>0.25</v>
      </c>
    </row>
    <row r="133" spans="2:2" ht="15" thickBot="1">
      <c r="B133" s="66"/>
    </row>
    <row r="134" spans="2:2">
      <c r="B134" s="67">
        <f>1/4</f>
        <v>0.25</v>
      </c>
    </row>
    <row r="135" spans="2:2" ht="15" thickBot="1">
      <c r="B135" s="66"/>
    </row>
    <row r="136" spans="2:2">
      <c r="B136" s="67">
        <f>1/4</f>
        <v>0.25</v>
      </c>
    </row>
    <row r="137" spans="2:2" ht="15" thickBot="1">
      <c r="B137" s="66"/>
    </row>
    <row r="138" spans="2:2">
      <c r="B138" s="67">
        <f>1/3</f>
        <v>0.33333333333333331</v>
      </c>
    </row>
    <row r="146" spans="2:2" ht="15" thickBot="1">
      <c r="B146" s="66"/>
    </row>
    <row r="147" spans="2:2">
      <c r="B147" s="67">
        <f>1/3</f>
        <v>0.33333333333333331</v>
      </c>
    </row>
    <row r="155" spans="2:2" ht="15" thickBot="1">
      <c r="B155" s="66"/>
    </row>
    <row r="156" spans="2:2">
      <c r="B156" s="67">
        <f>1/2</f>
        <v>0.5</v>
      </c>
    </row>
  </sheetData>
  <mergeCells count="1">
    <mergeCell ref="E1:F2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2517-E645-46A6-B054-F8A24CD847DC}">
  <sheetPr codeName="Tabelle18">
    <tabColor theme="4" tint="0.39997558519241921"/>
  </sheetPr>
  <dimension ref="A1:O41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1" sqref="C11"/>
    </sheetView>
  </sheetViews>
  <sheetFormatPr baseColWidth="10" defaultRowHeight="14.5"/>
  <cols>
    <col min="1" max="1" width="6.453125" customWidth="1"/>
    <col min="2" max="2" width="61.54296875" bestFit="1" customWidth="1"/>
    <col min="3" max="3" width="17.1796875" bestFit="1" customWidth="1"/>
    <col min="4" max="4" width="23" bestFit="1" customWidth="1"/>
    <col min="6" max="6" width="30.7265625" bestFit="1" customWidth="1"/>
    <col min="7" max="7" width="18.81640625" style="1" bestFit="1" customWidth="1"/>
    <col min="9" max="9" width="8.7265625" customWidth="1"/>
    <col min="10" max="10" width="61.54296875" bestFit="1" customWidth="1"/>
    <col min="11" max="11" width="17.1796875" bestFit="1" customWidth="1"/>
    <col min="12" max="12" width="28.453125" bestFit="1" customWidth="1"/>
    <col min="14" max="14" width="30.7265625" bestFit="1" customWidth="1"/>
    <col min="15" max="15" width="18.81640625" bestFit="1" customWidth="1"/>
  </cols>
  <sheetData>
    <row r="1" spans="1:15" ht="30.5">
      <c r="B1" s="395" t="s">
        <v>668</v>
      </c>
      <c r="E1" s="281" t="e">
        <f>#REF!</f>
        <v>#REF!</v>
      </c>
      <c r="F1" t="e">
        <f>#REF!</f>
        <v>#REF!</v>
      </c>
      <c r="G1" s="1" t="e">
        <f>#REF!</f>
        <v>#REF!</v>
      </c>
      <c r="J1" s="395" t="s">
        <v>669</v>
      </c>
      <c r="M1" s="281" t="s">
        <v>34</v>
      </c>
      <c r="N1" t="s">
        <v>306</v>
      </c>
      <c r="O1" s="1" t="s">
        <v>310</v>
      </c>
    </row>
    <row r="2" spans="1:15">
      <c r="A2" s="6"/>
      <c r="B2" s="6"/>
      <c r="C2" s="6"/>
      <c r="D2" s="6"/>
      <c r="E2" s="282" t="e">
        <f>#REF!</f>
        <v>#REF!</v>
      </c>
      <c r="F2" s="358" t="e">
        <f>#REF!</f>
        <v>#REF!</v>
      </c>
      <c r="G2" s="1" t="e">
        <f>#REF!</f>
        <v>#REF!</v>
      </c>
      <c r="I2" s="6"/>
      <c r="J2" s="6"/>
      <c r="K2" s="6"/>
      <c r="L2" s="6"/>
      <c r="M2" s="282" t="s">
        <v>441</v>
      </c>
      <c r="N2" s="358" t="s">
        <v>628</v>
      </c>
      <c r="O2" s="1" t="s">
        <v>310</v>
      </c>
    </row>
    <row r="3" spans="1:15">
      <c r="A3" s="10" t="e">
        <f>#REF!</f>
        <v>#REF!</v>
      </c>
      <c r="B3" s="10" t="e">
        <f>#REF!</f>
        <v>#REF!</v>
      </c>
      <c r="C3" s="10" t="e">
        <f>#REF!</f>
        <v>#REF!</v>
      </c>
      <c r="D3" s="10" t="e">
        <f>#REF!</f>
        <v>#REF!</v>
      </c>
      <c r="E3" s="11" t="s">
        <v>780</v>
      </c>
      <c r="F3" s="118" t="e">
        <f>#REF!</f>
        <v>#REF!</v>
      </c>
      <c r="G3" s="165" t="e">
        <f>#REF!</f>
        <v>#REF!</v>
      </c>
      <c r="I3" s="10" t="s">
        <v>0</v>
      </c>
      <c r="J3" s="10" t="s">
        <v>1</v>
      </c>
      <c r="K3" s="10" t="s">
        <v>42</v>
      </c>
      <c r="L3" s="10" t="s">
        <v>41</v>
      </c>
      <c r="M3" s="11" t="s">
        <v>780</v>
      </c>
      <c r="N3" s="118" t="s">
        <v>442</v>
      </c>
      <c r="O3" s="165" t="s">
        <v>97</v>
      </c>
    </row>
    <row r="4" spans="1:15">
      <c r="A4" s="20"/>
      <c r="B4" s="20"/>
      <c r="C4" s="20"/>
      <c r="D4" s="20"/>
      <c r="E4" s="21" t="e">
        <f>#REF!</f>
        <v>#REF!</v>
      </c>
      <c r="F4" s="21" t="e">
        <f>#REF!</f>
        <v>#REF!</v>
      </c>
      <c r="G4" s="117" t="e">
        <f>#REF!</f>
        <v>#REF!</v>
      </c>
      <c r="I4" s="20"/>
      <c r="J4" s="20"/>
      <c r="K4" s="20"/>
      <c r="L4" s="20"/>
      <c r="M4" s="21" t="s">
        <v>37</v>
      </c>
      <c r="N4" s="21">
        <v>2040</v>
      </c>
      <c r="O4" s="117">
        <v>2040</v>
      </c>
    </row>
    <row r="5" spans="1:15">
      <c r="A5" t="e">
        <f>#REF!</f>
        <v>#REF!</v>
      </c>
      <c r="B5" s="1" t="e">
        <f>#REF!</f>
        <v>#REF!</v>
      </c>
      <c r="C5" s="1" t="e">
        <f>#REF!</f>
        <v>#REF!</v>
      </c>
      <c r="D5" s="1" t="e">
        <f>#REF!</f>
        <v>#REF!</v>
      </c>
      <c r="E5" s="135" t="e">
        <f>#REF!</f>
        <v>#REF!</v>
      </c>
      <c r="F5" s="143" t="e">
        <f>#REF!</f>
        <v>#REF!</v>
      </c>
      <c r="G5" s="154" t="e">
        <f>#REF!</f>
        <v>#REF!</v>
      </c>
      <c r="I5" s="290">
        <v>1</v>
      </c>
      <c r="J5" s="291" t="s">
        <v>2</v>
      </c>
      <c r="K5" s="291" t="s">
        <v>43</v>
      </c>
      <c r="L5" s="291" t="s">
        <v>640</v>
      </c>
      <c r="M5" s="404">
        <v>9</v>
      </c>
      <c r="N5" s="410" t="s">
        <v>671</v>
      </c>
      <c r="O5" s="407" t="s">
        <v>670</v>
      </c>
    </row>
    <row r="6" spans="1:15">
      <c r="A6" s="385" t="e">
        <f>#REF!</f>
        <v>#REF!</v>
      </c>
      <c r="B6" s="386" t="e">
        <f>#REF!</f>
        <v>#REF!</v>
      </c>
      <c r="C6" s="386" t="e">
        <f>#REF!</f>
        <v>#REF!</v>
      </c>
      <c r="D6" s="386" t="e">
        <f>#REF!</f>
        <v>#REF!</v>
      </c>
      <c r="E6" s="135" t="e">
        <f>#REF!</f>
        <v>#REF!</v>
      </c>
      <c r="F6" s="143" t="e">
        <f>#REF!</f>
        <v>#REF!</v>
      </c>
      <c r="G6" s="154" t="e">
        <f>#REF!</f>
        <v>#REF!</v>
      </c>
      <c r="I6" s="402">
        <v>2</v>
      </c>
      <c r="J6" s="403" t="s">
        <v>3</v>
      </c>
      <c r="K6" s="403" t="s">
        <v>44</v>
      </c>
      <c r="L6" s="403" t="s">
        <v>640</v>
      </c>
      <c r="M6" s="404">
        <v>9</v>
      </c>
      <c r="N6" s="410" t="s">
        <v>671</v>
      </c>
      <c r="O6" s="405" t="s">
        <v>671</v>
      </c>
    </row>
    <row r="7" spans="1:15">
      <c r="A7" s="385" t="e">
        <f>#REF!</f>
        <v>#REF!</v>
      </c>
      <c r="B7" s="386" t="e">
        <f>#REF!</f>
        <v>#REF!</v>
      </c>
      <c r="C7" s="386" t="e">
        <f>#REF!</f>
        <v>#REF!</v>
      </c>
      <c r="D7" s="386" t="e">
        <f>#REF!</f>
        <v>#REF!</v>
      </c>
      <c r="E7" s="135" t="e">
        <f>#REF!</f>
        <v>#REF!</v>
      </c>
      <c r="F7" s="143" t="e">
        <f>#REF!</f>
        <v>#REF!</v>
      </c>
      <c r="G7" s="154" t="e">
        <f>#REF!</f>
        <v>#REF!</v>
      </c>
      <c r="I7" s="402">
        <v>2</v>
      </c>
      <c r="J7" s="403" t="s">
        <v>3</v>
      </c>
      <c r="K7" s="403" t="s">
        <v>45</v>
      </c>
      <c r="L7" s="403" t="s">
        <v>641</v>
      </c>
      <c r="M7" s="404">
        <v>9</v>
      </c>
      <c r="N7" s="410" t="s">
        <v>672</v>
      </c>
      <c r="O7" s="405" t="s">
        <v>671</v>
      </c>
    </row>
    <row r="8" spans="1:15">
      <c r="A8" t="e">
        <f>#REF!</f>
        <v>#REF!</v>
      </c>
      <c r="B8" s="1" t="e">
        <f>#REF!</f>
        <v>#REF!</v>
      </c>
      <c r="C8" s="1" t="e">
        <f>#REF!</f>
        <v>#REF!</v>
      </c>
      <c r="D8" s="1" t="e">
        <f>#REF!</f>
        <v>#REF!</v>
      </c>
      <c r="E8" s="3" t="e">
        <f>#REF!</f>
        <v>#REF!</v>
      </c>
      <c r="F8" s="143" t="e">
        <f>#REF!</f>
        <v>#REF!</v>
      </c>
      <c r="G8" s="154" t="e">
        <f>#REF!</f>
        <v>#REF!</v>
      </c>
      <c r="I8" s="290">
        <v>3</v>
      </c>
      <c r="J8" s="291" t="s">
        <v>4</v>
      </c>
      <c r="K8" s="291" t="s">
        <v>46</v>
      </c>
      <c r="L8" s="291" t="s">
        <v>640</v>
      </c>
      <c r="M8" s="406">
        <v>6</v>
      </c>
      <c r="N8" s="410" t="s">
        <v>672</v>
      </c>
      <c r="O8" s="405" t="s">
        <v>671</v>
      </c>
    </row>
    <row r="9" spans="1:15">
      <c r="A9" t="e">
        <f>#REF!</f>
        <v>#REF!</v>
      </c>
      <c r="B9" s="1" t="e">
        <f>#REF!</f>
        <v>#REF!</v>
      </c>
      <c r="C9" s="1" t="e">
        <f>#REF!</f>
        <v>#REF!</v>
      </c>
      <c r="D9" s="1" t="e">
        <f>#REF!</f>
        <v>#REF!</v>
      </c>
      <c r="E9" s="136" t="e">
        <f>#REF!</f>
        <v>#REF!</v>
      </c>
      <c r="F9" s="116"/>
      <c r="G9" s="37"/>
      <c r="I9" s="290">
        <v>4</v>
      </c>
      <c r="J9" s="291" t="s">
        <v>5</v>
      </c>
      <c r="K9" s="291" t="s">
        <v>47</v>
      </c>
      <c r="L9" s="291" t="s">
        <v>642</v>
      </c>
      <c r="M9" s="404">
        <v>9</v>
      </c>
      <c r="N9" s="411"/>
      <c r="O9" s="407"/>
    </row>
    <row r="10" spans="1:15">
      <c r="A10" t="e">
        <f>#REF!</f>
        <v>#REF!</v>
      </c>
      <c r="B10" s="1" t="e">
        <f>#REF!</f>
        <v>#REF!</v>
      </c>
      <c r="C10" s="1" t="e">
        <f>#REF!</f>
        <v>#REF!</v>
      </c>
      <c r="D10" s="1" t="e">
        <f>#REF!</f>
        <v>#REF!</v>
      </c>
      <c r="E10" s="136" t="e">
        <f>#REF!</f>
        <v>#REF!</v>
      </c>
      <c r="F10" s="13" t="e">
        <f>#REF!</f>
        <v>#REF!</v>
      </c>
      <c r="G10" s="37" t="e">
        <f>#REF!</f>
        <v>#REF!</v>
      </c>
      <c r="I10" s="290">
        <v>4</v>
      </c>
      <c r="J10" s="291" t="s">
        <v>5</v>
      </c>
      <c r="K10" s="291" t="s">
        <v>49</v>
      </c>
      <c r="L10" s="291" t="s">
        <v>643</v>
      </c>
      <c r="M10" s="404">
        <v>9</v>
      </c>
      <c r="N10" s="412" t="s">
        <v>670</v>
      </c>
      <c r="O10" s="407" t="s">
        <v>101</v>
      </c>
    </row>
    <row r="11" spans="1:15">
      <c r="A11" t="e">
        <f>#REF!</f>
        <v>#REF!</v>
      </c>
      <c r="B11" s="1" t="e">
        <f>#REF!</f>
        <v>#REF!</v>
      </c>
      <c r="C11" s="1" t="e">
        <f>#REF!</f>
        <v>#REF!</v>
      </c>
      <c r="D11" s="1" t="e">
        <f>#REF!</f>
        <v>#REF!</v>
      </c>
      <c r="E11" s="136" t="e">
        <f>#REF!</f>
        <v>#REF!</v>
      </c>
      <c r="F11" s="116"/>
      <c r="G11" s="37"/>
      <c r="I11" s="290">
        <v>5</v>
      </c>
      <c r="J11" s="291" t="s">
        <v>6</v>
      </c>
      <c r="K11" s="291" t="s">
        <v>48</v>
      </c>
      <c r="L11" s="291" t="s">
        <v>642</v>
      </c>
      <c r="M11" s="404">
        <v>8</v>
      </c>
      <c r="N11" s="411"/>
      <c r="O11" s="407"/>
    </row>
    <row r="12" spans="1:15">
      <c r="A12" s="385" t="e">
        <f>#REF!</f>
        <v>#REF!</v>
      </c>
      <c r="B12" s="386" t="e">
        <f>#REF!</f>
        <v>#REF!</v>
      </c>
      <c r="C12" s="386" t="e">
        <f>#REF!</f>
        <v>#REF!</v>
      </c>
      <c r="D12" s="386" t="e">
        <f>#REF!</f>
        <v>#REF!</v>
      </c>
      <c r="E12" s="136" t="e">
        <f>#REF!</f>
        <v>#REF!</v>
      </c>
      <c r="F12" s="143" t="e">
        <f>#REF!</f>
        <v>#REF!</v>
      </c>
      <c r="G12" s="154" t="e">
        <f>#REF!</f>
        <v>#REF!</v>
      </c>
      <c r="I12" s="402">
        <v>5</v>
      </c>
      <c r="J12" s="403" t="s">
        <v>6</v>
      </c>
      <c r="K12" s="403" t="s">
        <v>49</v>
      </c>
      <c r="L12" s="403" t="s">
        <v>643</v>
      </c>
      <c r="M12" s="404">
        <v>8</v>
      </c>
      <c r="N12" s="410" t="s">
        <v>672</v>
      </c>
      <c r="O12" s="405" t="s">
        <v>671</v>
      </c>
    </row>
    <row r="13" spans="1:15">
      <c r="A13" s="385" t="e">
        <f>#REF!</f>
        <v>#REF!</v>
      </c>
      <c r="B13" s="389" t="e">
        <f>#REF!</f>
        <v>#REF!</v>
      </c>
      <c r="C13" s="389" t="e">
        <f>#REF!</f>
        <v>#REF!</v>
      </c>
      <c r="D13" s="389" t="e">
        <f>#REF!</f>
        <v>#REF!</v>
      </c>
      <c r="E13" s="136" t="e">
        <f>#REF!</f>
        <v>#REF!</v>
      </c>
      <c r="F13" s="143" t="e">
        <f>#REF!</f>
        <v>#REF!</v>
      </c>
      <c r="G13" s="154" t="e">
        <f>#REF!</f>
        <v>#REF!</v>
      </c>
      <c r="I13" s="402">
        <v>6</v>
      </c>
      <c r="J13" s="413" t="s">
        <v>7</v>
      </c>
      <c r="K13" s="413" t="s">
        <v>49</v>
      </c>
      <c r="L13" s="413" t="s">
        <v>641</v>
      </c>
      <c r="M13" s="404">
        <v>8</v>
      </c>
      <c r="N13" s="410" t="s">
        <v>672</v>
      </c>
      <c r="O13" s="405" t="s">
        <v>671</v>
      </c>
    </row>
    <row r="14" spans="1:15">
      <c r="A14" t="e">
        <f>#REF!</f>
        <v>#REF!</v>
      </c>
      <c r="B14" s="1" t="e">
        <f>#REF!</f>
        <v>#REF!</v>
      </c>
      <c r="C14" s="1" t="e">
        <f>#REF!</f>
        <v>#REF!</v>
      </c>
      <c r="D14" s="1" t="e">
        <f>#REF!</f>
        <v>#REF!</v>
      </c>
      <c r="E14" s="135" t="e">
        <f>#REF!</f>
        <v>#REF!</v>
      </c>
      <c r="F14" s="13"/>
      <c r="G14" s="37"/>
      <c r="I14" s="290">
        <v>7</v>
      </c>
      <c r="J14" s="291" t="s">
        <v>8</v>
      </c>
      <c r="K14" s="291" t="s">
        <v>50</v>
      </c>
      <c r="L14" s="291" t="s">
        <v>642</v>
      </c>
      <c r="M14" s="404">
        <v>9</v>
      </c>
      <c r="N14" s="412"/>
      <c r="O14" s="407"/>
    </row>
    <row r="15" spans="1:15">
      <c r="A15" s="385" t="e">
        <f>#REF!</f>
        <v>#REF!</v>
      </c>
      <c r="B15" s="386" t="e">
        <f>#REF!</f>
        <v>#REF!</v>
      </c>
      <c r="C15" s="386" t="e">
        <f>#REF!</f>
        <v>#REF!</v>
      </c>
      <c r="D15" s="386" t="e">
        <f>#REF!</f>
        <v>#REF!</v>
      </c>
      <c r="E15" s="135" t="e">
        <f>#REF!</f>
        <v>#REF!</v>
      </c>
      <c r="F15" s="143" t="e">
        <f>#REF!</f>
        <v>#REF!</v>
      </c>
      <c r="G15" s="154" t="e">
        <f>#REF!</f>
        <v>#REF!</v>
      </c>
      <c r="I15" s="402">
        <v>7</v>
      </c>
      <c r="J15" s="403" t="s">
        <v>8</v>
      </c>
      <c r="K15" s="403" t="s">
        <v>50</v>
      </c>
      <c r="L15" s="403" t="s">
        <v>654</v>
      </c>
      <c r="M15" s="404">
        <v>9</v>
      </c>
      <c r="N15" s="410" t="s">
        <v>672</v>
      </c>
      <c r="O15" s="405" t="s">
        <v>672</v>
      </c>
    </row>
    <row r="16" spans="1:15">
      <c r="A16" s="387" t="e">
        <f>#REF!</f>
        <v>#REF!</v>
      </c>
      <c r="B16" s="386" t="e">
        <f>#REF!</f>
        <v>#REF!</v>
      </c>
      <c r="C16" s="386" t="e">
        <f>#REF!</f>
        <v>#REF!</v>
      </c>
      <c r="D16" s="386" t="e">
        <f>#REF!</f>
        <v>#REF!</v>
      </c>
      <c r="E16" s="136" t="e">
        <f>#REF!</f>
        <v>#REF!</v>
      </c>
      <c r="F16" s="143" t="e">
        <f>#REF!</f>
        <v>#REF!</v>
      </c>
      <c r="G16" s="154" t="e">
        <f>#REF!</f>
        <v>#REF!</v>
      </c>
      <c r="I16" s="409" t="s">
        <v>9</v>
      </c>
      <c r="J16" s="403" t="s">
        <v>10</v>
      </c>
      <c r="K16" s="403" t="s">
        <v>51</v>
      </c>
      <c r="L16" s="403" t="s">
        <v>645</v>
      </c>
      <c r="M16" s="404" t="s">
        <v>35</v>
      </c>
      <c r="N16" s="410" t="s">
        <v>672</v>
      </c>
      <c r="O16" s="405" t="s">
        <v>671</v>
      </c>
    </row>
    <row r="17" spans="1:15">
      <c r="A17" s="387" t="e">
        <f>#REF!</f>
        <v>#REF!</v>
      </c>
      <c r="B17" s="389" t="e">
        <f>#REF!</f>
        <v>#REF!</v>
      </c>
      <c r="C17" s="389" t="e">
        <f>#REF!</f>
        <v>#REF!</v>
      </c>
      <c r="D17" s="389" t="e">
        <f>#REF!</f>
        <v>#REF!</v>
      </c>
      <c r="E17" s="136" t="e">
        <f>#REF!</f>
        <v>#REF!</v>
      </c>
      <c r="F17" s="143" t="e">
        <f>#REF!</f>
        <v>#REF!</v>
      </c>
      <c r="G17" s="154" t="e">
        <f>#REF!</f>
        <v>#REF!</v>
      </c>
      <c r="I17" s="409" t="s">
        <v>11</v>
      </c>
      <c r="J17" s="413" t="s">
        <v>12</v>
      </c>
      <c r="K17" s="413" t="s">
        <v>51</v>
      </c>
      <c r="L17" s="413" t="s">
        <v>645</v>
      </c>
      <c r="M17" s="404">
        <v>8</v>
      </c>
      <c r="N17" s="410" t="s">
        <v>672</v>
      </c>
      <c r="O17" s="405" t="s">
        <v>671</v>
      </c>
    </row>
    <row r="18" spans="1:15">
      <c r="A18" s="387" t="e">
        <f>#REF!</f>
        <v>#REF!</v>
      </c>
      <c r="B18" s="388" t="e">
        <f>#REF!</f>
        <v>#REF!</v>
      </c>
      <c r="C18" s="388" t="e">
        <f>#REF!</f>
        <v>#REF!</v>
      </c>
      <c r="D18" s="388" t="e">
        <f>#REF!</f>
        <v>#REF!</v>
      </c>
      <c r="E18" s="136" t="e">
        <f>#REF!</f>
        <v>#REF!</v>
      </c>
      <c r="F18" s="143" t="e">
        <f>#REF!</f>
        <v>#REF!</v>
      </c>
      <c r="G18" s="154" t="e">
        <f>#REF!</f>
        <v>#REF!</v>
      </c>
      <c r="I18" s="409" t="s">
        <v>13</v>
      </c>
      <c r="J18" s="414" t="s">
        <v>14</v>
      </c>
      <c r="K18" s="414" t="s">
        <v>52</v>
      </c>
      <c r="L18" s="414" t="s">
        <v>646</v>
      </c>
      <c r="M18" s="404">
        <v>8</v>
      </c>
      <c r="N18" s="410" t="s">
        <v>672</v>
      </c>
      <c r="O18" s="405" t="s">
        <v>671</v>
      </c>
    </row>
    <row r="19" spans="1:15">
      <c r="A19" s="3" t="e">
        <f>#REF!</f>
        <v>#REF!</v>
      </c>
      <c r="B19" s="2" t="e">
        <f>#REF!</f>
        <v>#REF!</v>
      </c>
      <c r="C19" s="2" t="e">
        <f>#REF!</f>
        <v>#REF!</v>
      </c>
      <c r="D19" s="2" t="e">
        <f>#REF!</f>
        <v>#REF!</v>
      </c>
      <c r="E19" s="136" t="e">
        <f>#REF!</f>
        <v>#REF!</v>
      </c>
      <c r="F19" s="13" t="e">
        <f>#REF!</f>
        <v>#REF!</v>
      </c>
      <c r="G19" s="154" t="e">
        <f>#REF!</f>
        <v>#REF!</v>
      </c>
      <c r="I19" s="300" t="s">
        <v>15</v>
      </c>
      <c r="J19" s="298" t="s">
        <v>16</v>
      </c>
      <c r="K19" s="298" t="s">
        <v>51</v>
      </c>
      <c r="L19" s="298" t="s">
        <v>645</v>
      </c>
      <c r="M19" s="404">
        <v>9</v>
      </c>
      <c r="N19" s="412" t="s">
        <v>670</v>
      </c>
      <c r="O19" s="405" t="s">
        <v>671</v>
      </c>
    </row>
    <row r="20" spans="1:15">
      <c r="A20" s="3" t="e">
        <f>#REF!</f>
        <v>#REF!</v>
      </c>
      <c r="B20" s="1" t="e">
        <f>#REF!</f>
        <v>#REF!</v>
      </c>
      <c r="C20" s="1" t="e">
        <f>#REF!</f>
        <v>#REF!</v>
      </c>
      <c r="D20" s="1" t="e">
        <f>#REF!</f>
        <v>#REF!</v>
      </c>
      <c r="E20" s="136" t="e">
        <f>#REF!</f>
        <v>#REF!</v>
      </c>
      <c r="F20" s="13"/>
      <c r="G20" s="37"/>
      <c r="I20" s="300" t="s">
        <v>17</v>
      </c>
      <c r="J20" s="291" t="s">
        <v>18</v>
      </c>
      <c r="K20" s="291" t="s">
        <v>53</v>
      </c>
      <c r="L20" s="291" t="s">
        <v>642</v>
      </c>
      <c r="M20" s="404">
        <v>8</v>
      </c>
      <c r="N20" s="412"/>
      <c r="O20" s="407"/>
    </row>
    <row r="21" spans="1:15">
      <c r="A21" s="387" t="e">
        <f>#REF!</f>
        <v>#REF!</v>
      </c>
      <c r="B21" s="386" t="e">
        <f>#REF!</f>
        <v>#REF!</v>
      </c>
      <c r="C21" s="386" t="e">
        <f>#REF!</f>
        <v>#REF!</v>
      </c>
      <c r="D21" s="386" t="e">
        <f>#REF!</f>
        <v>#REF!</v>
      </c>
      <c r="E21" s="136" t="e">
        <f>#REF!</f>
        <v>#REF!</v>
      </c>
      <c r="F21" s="143" t="e">
        <f>#REF!</f>
        <v>#REF!</v>
      </c>
      <c r="G21" s="154" t="e">
        <f>#REF!</f>
        <v>#REF!</v>
      </c>
      <c r="I21" s="409" t="s">
        <v>17</v>
      </c>
      <c r="J21" s="403" t="s">
        <v>18</v>
      </c>
      <c r="K21" s="403" t="s">
        <v>53</v>
      </c>
      <c r="L21" s="403" t="s">
        <v>644</v>
      </c>
      <c r="M21" s="404">
        <v>8</v>
      </c>
      <c r="N21" s="410" t="s">
        <v>672</v>
      </c>
      <c r="O21" s="405" t="s">
        <v>672</v>
      </c>
    </row>
    <row r="22" spans="1:15">
      <c r="A22" s="3" t="e">
        <f>#REF!</f>
        <v>#REF!</v>
      </c>
      <c r="B22" s="4" t="e">
        <f>#REF!</f>
        <v>#REF!</v>
      </c>
      <c r="C22" s="4" t="e">
        <f>#REF!</f>
        <v>#REF!</v>
      </c>
      <c r="D22" s="4" t="e">
        <f>#REF!</f>
        <v>#REF!</v>
      </c>
      <c r="E22" s="136" t="e">
        <f>#REF!</f>
        <v>#REF!</v>
      </c>
      <c r="F22" s="13"/>
      <c r="G22" s="37"/>
      <c r="I22" s="300" t="s">
        <v>19</v>
      </c>
      <c r="J22" s="301" t="s">
        <v>20</v>
      </c>
      <c r="K22" s="301" t="s">
        <v>54</v>
      </c>
      <c r="L22" s="301" t="s">
        <v>647</v>
      </c>
      <c r="M22" s="404">
        <v>9</v>
      </c>
      <c r="N22" s="412"/>
      <c r="O22" s="407"/>
    </row>
    <row r="23" spans="1:15">
      <c r="A23" s="387" t="e">
        <f>#REF!</f>
        <v>#REF!</v>
      </c>
      <c r="B23" s="388" t="e">
        <f>#REF!</f>
        <v>#REF!</v>
      </c>
      <c r="C23" s="388" t="e">
        <f>#REF!</f>
        <v>#REF!</v>
      </c>
      <c r="D23" s="388" t="e">
        <f>#REF!</f>
        <v>#REF!</v>
      </c>
      <c r="E23" s="136" t="e">
        <f>#REF!</f>
        <v>#REF!</v>
      </c>
      <c r="F23" s="143" t="e">
        <f>#REF!</f>
        <v>#REF!</v>
      </c>
      <c r="G23" s="154" t="e">
        <f>#REF!</f>
        <v>#REF!</v>
      </c>
      <c r="I23" s="409" t="s">
        <v>19</v>
      </c>
      <c r="J23" s="414" t="s">
        <v>20</v>
      </c>
      <c r="K23" s="414" t="s">
        <v>54</v>
      </c>
      <c r="L23" s="414" t="s">
        <v>648</v>
      </c>
      <c r="M23" s="404">
        <v>9</v>
      </c>
      <c r="N23" s="410" t="s">
        <v>672</v>
      </c>
      <c r="O23" s="405" t="s">
        <v>671</v>
      </c>
    </row>
    <row r="24" spans="1:15">
      <c r="A24" t="e">
        <f>#REF!</f>
        <v>#REF!</v>
      </c>
      <c r="B24" s="1" t="e">
        <f>#REF!</f>
        <v>#REF!</v>
      </c>
      <c r="C24" s="1" t="e">
        <f>#REF!</f>
        <v>#REF!</v>
      </c>
      <c r="D24" s="1" t="e">
        <f>#REF!</f>
        <v>#REF!</v>
      </c>
      <c r="E24" s="136" t="e">
        <f>#REF!</f>
        <v>#REF!</v>
      </c>
      <c r="F24" s="143" t="e">
        <f>#REF!</f>
        <v>#REF!</v>
      </c>
      <c r="G24" s="37" t="e">
        <f>#REF!</f>
        <v>#REF!</v>
      </c>
      <c r="I24" s="290">
        <v>10</v>
      </c>
      <c r="J24" s="291" t="s">
        <v>21</v>
      </c>
      <c r="K24" s="291" t="s">
        <v>55</v>
      </c>
      <c r="L24" s="291" t="s">
        <v>649</v>
      </c>
      <c r="M24" s="404">
        <v>8</v>
      </c>
      <c r="N24" s="410" t="s">
        <v>672</v>
      </c>
      <c r="O24" s="407" t="s">
        <v>670</v>
      </c>
    </row>
    <row r="25" spans="1:15">
      <c r="A25" s="3" t="e">
        <f>#REF!</f>
        <v>#REF!</v>
      </c>
      <c r="B25" s="1" t="e">
        <f>#REF!</f>
        <v>#REF!</v>
      </c>
      <c r="C25" s="1" t="e">
        <f>#REF!</f>
        <v>#REF!</v>
      </c>
      <c r="D25" s="1" t="e">
        <f>#REF!</f>
        <v>#REF!</v>
      </c>
      <c r="E25" s="136" t="e">
        <f>#REF!</f>
        <v>#REF!</v>
      </c>
      <c r="F25" s="13"/>
      <c r="G25" s="37"/>
      <c r="I25" s="300" t="s">
        <v>22</v>
      </c>
      <c r="J25" s="291" t="s">
        <v>23</v>
      </c>
      <c r="K25" s="291" t="s">
        <v>56</v>
      </c>
      <c r="L25" s="291" t="s">
        <v>642</v>
      </c>
      <c r="M25" s="404" t="s">
        <v>35</v>
      </c>
      <c r="N25" s="412"/>
      <c r="O25" s="407"/>
    </row>
    <row r="26" spans="1:15">
      <c r="A26" s="387" t="e">
        <f>#REF!</f>
        <v>#REF!</v>
      </c>
      <c r="B26" s="386" t="e">
        <f>#REF!</f>
        <v>#REF!</v>
      </c>
      <c r="C26" s="386" t="e">
        <f>#REF!</f>
        <v>#REF!</v>
      </c>
      <c r="D26" s="386" t="e">
        <f>#REF!</f>
        <v>#REF!</v>
      </c>
      <c r="E26" s="136" t="e">
        <f>#REF!</f>
        <v>#REF!</v>
      </c>
      <c r="F26" s="143" t="e">
        <f>#REF!</f>
        <v>#REF!</v>
      </c>
      <c r="G26" s="154" t="e">
        <f>#REF!</f>
        <v>#REF!</v>
      </c>
      <c r="I26" s="409" t="s">
        <v>22</v>
      </c>
      <c r="J26" s="403" t="s">
        <v>23</v>
      </c>
      <c r="K26" s="403" t="s">
        <v>57</v>
      </c>
      <c r="L26" s="403" t="s">
        <v>643</v>
      </c>
      <c r="M26" s="404" t="s">
        <v>35</v>
      </c>
      <c r="N26" s="410" t="s">
        <v>672</v>
      </c>
      <c r="O26" s="405" t="s">
        <v>672</v>
      </c>
    </row>
    <row r="27" spans="1:15">
      <c r="A27" s="3" t="e">
        <f>#REF!</f>
        <v>#REF!</v>
      </c>
      <c r="B27" s="4" t="e">
        <f>#REF!</f>
        <v>#REF!</v>
      </c>
      <c r="C27" s="4" t="e">
        <f>#REF!</f>
        <v>#REF!</v>
      </c>
      <c r="D27" s="4" t="e">
        <f>#REF!</f>
        <v>#REF!</v>
      </c>
      <c r="E27" s="7" t="e">
        <f>#REF!</f>
        <v>#REF!</v>
      </c>
      <c r="F27" s="13"/>
      <c r="G27" s="37"/>
      <c r="I27" s="300" t="s">
        <v>24</v>
      </c>
      <c r="J27" s="301" t="s">
        <v>25</v>
      </c>
      <c r="K27" s="301" t="s">
        <v>58</v>
      </c>
      <c r="L27" s="301" t="s">
        <v>647</v>
      </c>
      <c r="M27" s="408" t="s">
        <v>36</v>
      </c>
      <c r="N27" s="412"/>
      <c r="O27" s="407"/>
    </row>
    <row r="28" spans="1:15">
      <c r="A28" s="3" t="e">
        <f>#REF!</f>
        <v>#REF!</v>
      </c>
      <c r="B28" s="4" t="e">
        <f>#REF!</f>
        <v>#REF!</v>
      </c>
      <c r="C28" s="4" t="e">
        <f>#REF!</f>
        <v>#REF!</v>
      </c>
      <c r="D28" s="4" t="e">
        <f>#REF!</f>
        <v>#REF!</v>
      </c>
      <c r="E28" s="7" t="e">
        <f>#REF!</f>
        <v>#REF!</v>
      </c>
      <c r="F28" s="143" t="e">
        <f>#REF!</f>
        <v>#REF!</v>
      </c>
      <c r="G28" s="154" t="e">
        <f>#REF!</f>
        <v>#REF!</v>
      </c>
      <c r="I28" s="300" t="s">
        <v>24</v>
      </c>
      <c r="J28" s="301" t="s">
        <v>25</v>
      </c>
      <c r="K28" s="301" t="s">
        <v>59</v>
      </c>
      <c r="L28" s="301" t="s">
        <v>650</v>
      </c>
      <c r="M28" s="408" t="s">
        <v>36</v>
      </c>
      <c r="N28" s="410" t="s">
        <v>671</v>
      </c>
      <c r="O28" s="405" t="s">
        <v>672</v>
      </c>
    </row>
    <row r="29" spans="1:15">
      <c r="A29" t="e">
        <f>#REF!</f>
        <v>#REF!</v>
      </c>
      <c r="B29" s="2" t="e">
        <f>#REF!</f>
        <v>#REF!</v>
      </c>
      <c r="C29" s="2" t="e">
        <f>#REF!</f>
        <v>#REF!</v>
      </c>
      <c r="D29" s="2" t="e">
        <f>#REF!</f>
        <v>#REF!</v>
      </c>
      <c r="E29" s="158" t="e">
        <f>#REF!</f>
        <v>#REF!</v>
      </c>
      <c r="F29" s="13"/>
      <c r="G29" s="37"/>
      <c r="I29" s="290">
        <v>12</v>
      </c>
      <c r="J29" s="298" t="s">
        <v>26</v>
      </c>
      <c r="K29" s="298" t="s">
        <v>47</v>
      </c>
      <c r="L29" s="298" t="s">
        <v>642</v>
      </c>
      <c r="M29" s="415">
        <v>9</v>
      </c>
      <c r="N29" s="412"/>
      <c r="O29" s="407"/>
    </row>
    <row r="30" spans="1:15">
      <c r="A30" s="385" t="e">
        <f>#REF!</f>
        <v>#REF!</v>
      </c>
      <c r="B30" s="389" t="e">
        <f>#REF!</f>
        <v>#REF!</v>
      </c>
      <c r="C30" s="389" t="e">
        <f>#REF!</f>
        <v>#REF!</v>
      </c>
      <c r="D30" s="389" t="e">
        <f>#REF!</f>
        <v>#REF!</v>
      </c>
      <c r="E30" s="158" t="e">
        <f>#REF!</f>
        <v>#REF!</v>
      </c>
      <c r="F30" s="143" t="e">
        <f>#REF!</f>
        <v>#REF!</v>
      </c>
      <c r="G30" s="154" t="e">
        <f>#REF!</f>
        <v>#REF!</v>
      </c>
      <c r="I30" s="402">
        <v>12</v>
      </c>
      <c r="J30" s="413" t="s">
        <v>26</v>
      </c>
      <c r="K30" s="413" t="s">
        <v>49</v>
      </c>
      <c r="L30" s="413" t="s">
        <v>643</v>
      </c>
      <c r="M30" s="415">
        <v>9</v>
      </c>
      <c r="N30" s="410" t="s">
        <v>671</v>
      </c>
      <c r="O30" s="405" t="s">
        <v>671</v>
      </c>
    </row>
    <row r="31" spans="1:15">
      <c r="A31" s="3" t="e">
        <f>#REF!</f>
        <v>#REF!</v>
      </c>
      <c r="B31" s="1" t="e">
        <f>#REF!</f>
        <v>#REF!</v>
      </c>
      <c r="C31" s="1" t="e">
        <f>#REF!</f>
        <v>#REF!</v>
      </c>
      <c r="D31" s="1" t="e">
        <f>#REF!</f>
        <v>#REF!</v>
      </c>
      <c r="E31" s="136" t="e">
        <f>#REF!</f>
        <v>#REF!</v>
      </c>
      <c r="F31" s="13"/>
      <c r="G31" s="37"/>
      <c r="I31" s="300" t="s">
        <v>27</v>
      </c>
      <c r="J31" s="291" t="s">
        <v>28</v>
      </c>
      <c r="K31" s="291" t="s">
        <v>99</v>
      </c>
      <c r="L31" s="291" t="s">
        <v>642</v>
      </c>
      <c r="M31" s="404">
        <v>9</v>
      </c>
      <c r="N31" s="412"/>
      <c r="O31" s="407"/>
    </row>
    <row r="32" spans="1:15">
      <c r="A32" s="387" t="e">
        <f>#REF!</f>
        <v>#REF!</v>
      </c>
      <c r="B32" s="386" t="e">
        <f>#REF!</f>
        <v>#REF!</v>
      </c>
      <c r="C32" s="390" t="e">
        <f>#REF!</f>
        <v>#REF!</v>
      </c>
      <c r="D32" s="386" t="e">
        <f>#REF!</f>
        <v>#REF!</v>
      </c>
      <c r="E32" s="136" t="e">
        <f>#REF!</f>
        <v>#REF!</v>
      </c>
      <c r="F32" s="143" t="e">
        <f>#REF!</f>
        <v>#REF!</v>
      </c>
      <c r="G32" s="154" t="e">
        <f>#REF!</f>
        <v>#REF!</v>
      </c>
      <c r="I32" s="409" t="s">
        <v>27</v>
      </c>
      <c r="J32" s="403" t="s">
        <v>28</v>
      </c>
      <c r="K32" s="416" t="s">
        <v>100</v>
      </c>
      <c r="L32" s="403" t="s">
        <v>643</v>
      </c>
      <c r="M32" s="404">
        <v>9</v>
      </c>
      <c r="N32" s="410" t="s">
        <v>672</v>
      </c>
      <c r="O32" s="405" t="s">
        <v>671</v>
      </c>
    </row>
    <row r="33" spans="1:15">
      <c r="A33" s="3" t="e">
        <f>#REF!</f>
        <v>#REF!</v>
      </c>
      <c r="B33" s="1" t="e">
        <f>#REF!</f>
        <v>#REF!</v>
      </c>
      <c r="C33" s="1" t="e">
        <f>#REF!</f>
        <v>#REF!</v>
      </c>
      <c r="D33" s="1" t="e">
        <f>#REF!</f>
        <v>#REF!</v>
      </c>
      <c r="E33" s="136" t="e">
        <f>#REF!</f>
        <v>#REF!</v>
      </c>
      <c r="F33" s="13"/>
      <c r="G33" s="37"/>
      <c r="I33" s="300" t="s">
        <v>29</v>
      </c>
      <c r="J33" s="291" t="s">
        <v>30</v>
      </c>
      <c r="K33" s="291" t="s">
        <v>99</v>
      </c>
      <c r="L33" s="291" t="s">
        <v>642</v>
      </c>
      <c r="M33" s="404" t="s">
        <v>35</v>
      </c>
      <c r="N33" s="412"/>
      <c r="O33" s="407"/>
    </row>
    <row r="34" spans="1:15">
      <c r="A34" s="387" t="e">
        <f>#REF!</f>
        <v>#REF!</v>
      </c>
      <c r="B34" s="386" t="e">
        <f>#REF!</f>
        <v>#REF!</v>
      </c>
      <c r="C34" s="390" t="e">
        <f>#REF!</f>
        <v>#REF!</v>
      </c>
      <c r="D34" s="386" t="e">
        <f>#REF!</f>
        <v>#REF!</v>
      </c>
      <c r="E34" s="136" t="e">
        <f>#REF!</f>
        <v>#REF!</v>
      </c>
      <c r="F34" s="143" t="e">
        <f>#REF!</f>
        <v>#REF!</v>
      </c>
      <c r="G34" s="154" t="e">
        <f>#REF!</f>
        <v>#REF!</v>
      </c>
      <c r="I34" s="409" t="s">
        <v>29</v>
      </c>
      <c r="J34" s="403" t="s">
        <v>30</v>
      </c>
      <c r="K34" s="416" t="s">
        <v>230</v>
      </c>
      <c r="L34" s="403" t="s">
        <v>644</v>
      </c>
      <c r="M34" s="404" t="s">
        <v>35</v>
      </c>
      <c r="N34" s="410" t="s">
        <v>672</v>
      </c>
      <c r="O34" s="405" t="s">
        <v>671</v>
      </c>
    </row>
    <row r="35" spans="1:15">
      <c r="A35" t="e">
        <f>#REF!</f>
        <v>#REF!</v>
      </c>
      <c r="B35" s="5" t="e">
        <f>#REF!</f>
        <v>#REF!</v>
      </c>
      <c r="C35" s="5" t="e">
        <f>#REF!</f>
        <v>#REF!</v>
      </c>
      <c r="D35" s="5" t="e">
        <f>#REF!</f>
        <v>#REF!</v>
      </c>
      <c r="E35" s="3" t="e">
        <f>#REF!</f>
        <v>#REF!</v>
      </c>
      <c r="F35" s="13"/>
      <c r="G35" s="37"/>
      <c r="I35" s="290">
        <v>14</v>
      </c>
      <c r="J35" s="303" t="s">
        <v>31</v>
      </c>
      <c r="K35" s="303" t="s">
        <v>61</v>
      </c>
      <c r="L35" s="303" t="s">
        <v>642</v>
      </c>
      <c r="M35" s="406">
        <v>6</v>
      </c>
      <c r="N35" s="412"/>
      <c r="O35" s="407"/>
    </row>
    <row r="36" spans="1:15">
      <c r="A36" t="e">
        <f>#REF!</f>
        <v>#REF!</v>
      </c>
      <c r="B36" t="e">
        <f>#REF!</f>
        <v>#REF!</v>
      </c>
      <c r="C36" s="5" t="e">
        <f>#REF!</f>
        <v>#REF!</v>
      </c>
      <c r="D36" s="1" t="e">
        <f>#REF!</f>
        <v>#REF!</v>
      </c>
      <c r="E36" s="3" t="e">
        <f>#REF!</f>
        <v>#REF!</v>
      </c>
      <c r="F36" s="143" t="e">
        <f>#REF!</f>
        <v>#REF!</v>
      </c>
      <c r="G36" s="37" t="e">
        <f>#REF!</f>
        <v>#REF!</v>
      </c>
      <c r="I36" s="290">
        <v>14</v>
      </c>
      <c r="J36" s="290" t="s">
        <v>31</v>
      </c>
      <c r="K36" s="303" t="s">
        <v>100</v>
      </c>
      <c r="L36" s="291" t="s">
        <v>643</v>
      </c>
      <c r="M36" s="406">
        <v>6</v>
      </c>
      <c r="N36" s="410" t="s">
        <v>672</v>
      </c>
      <c r="O36" s="407" t="s">
        <v>670</v>
      </c>
    </row>
    <row r="37" spans="1:15">
      <c r="A37" t="e">
        <f>#REF!</f>
        <v>#REF!</v>
      </c>
      <c r="B37" t="e">
        <f>#REF!</f>
        <v>#REF!</v>
      </c>
      <c r="C37" s="5" t="e">
        <f>#REF!</f>
        <v>#REF!</v>
      </c>
      <c r="D37" s="1" t="e">
        <f>#REF!</f>
        <v>#REF!</v>
      </c>
      <c r="E37" s="3" t="e">
        <f>#REF!</f>
        <v>#REF!</v>
      </c>
      <c r="F37" s="143" t="e">
        <f>#REF!</f>
        <v>#REF!</v>
      </c>
      <c r="G37" s="37" t="e">
        <f>#REF!</f>
        <v>#REF!</v>
      </c>
      <c r="I37" s="290">
        <v>14</v>
      </c>
      <c r="J37" s="290" t="s">
        <v>31</v>
      </c>
      <c r="K37" s="303" t="s">
        <v>230</v>
      </c>
      <c r="L37" s="291" t="s">
        <v>644</v>
      </c>
      <c r="M37" s="406">
        <v>6</v>
      </c>
      <c r="N37" s="410" t="s">
        <v>672</v>
      </c>
      <c r="O37" s="407" t="s">
        <v>670</v>
      </c>
    </row>
    <row r="38" spans="1:15">
      <c r="O38" s="1"/>
    </row>
    <row r="39" spans="1:15">
      <c r="A39" t="s">
        <v>667</v>
      </c>
      <c r="I39" t="s">
        <v>781</v>
      </c>
      <c r="O39" s="1"/>
    </row>
    <row r="40" spans="1:15">
      <c r="I40" s="135" t="s">
        <v>674</v>
      </c>
    </row>
    <row r="41" spans="1:15">
      <c r="I41" s="385" t="s">
        <v>675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0F29-BF5E-48EC-BCD2-82461C8AF5BF}">
  <sheetPr codeName="Tabelle19"/>
  <dimension ref="A1:M42"/>
  <sheetViews>
    <sheetView zoomScale="80" zoomScaleNormal="80" workbookViewId="0">
      <selection activeCell="B19" sqref="B19"/>
    </sheetView>
  </sheetViews>
  <sheetFormatPr baseColWidth="10" defaultRowHeight="14.5"/>
  <cols>
    <col min="1" max="1" width="5.1796875" customWidth="1"/>
    <col min="2" max="2" width="43.1796875" customWidth="1"/>
    <col min="3" max="3" width="17.1796875" bestFit="1" customWidth="1"/>
    <col min="4" max="4" width="19.54296875" bestFit="1" customWidth="1"/>
    <col min="7" max="12" width="22.7265625" customWidth="1"/>
    <col min="13" max="13" width="40.1796875" customWidth="1"/>
  </cols>
  <sheetData>
    <row r="1" spans="1:13">
      <c r="E1" s="1080" t="e">
        <f>#REF!</f>
        <v>#REF!</v>
      </c>
      <c r="F1" s="1080" t="e">
        <f>#REF!</f>
        <v>#REF!</v>
      </c>
      <c r="G1" t="e">
        <f>#REF!</f>
        <v>#REF!</v>
      </c>
      <c r="H1" t="e">
        <f>#REF!</f>
        <v>#REF!</v>
      </c>
      <c r="I1" t="e">
        <f>#REF!</f>
        <v>#REF!</v>
      </c>
      <c r="J1" t="e">
        <f>#REF!</f>
        <v>#REF!</v>
      </c>
      <c r="K1" t="e">
        <f>#REF!</f>
        <v>#REF!</v>
      </c>
      <c r="L1" t="e">
        <f>#REF!</f>
        <v>#REF!</v>
      </c>
    </row>
    <row r="2" spans="1:13">
      <c r="A2" s="6"/>
      <c r="B2" s="6"/>
      <c r="C2" s="6"/>
      <c r="D2" s="6"/>
      <c r="E2" s="1081" t="e">
        <f>#REF!</f>
        <v>#REF!</v>
      </c>
      <c r="F2" s="1081" t="e">
        <f>#REF!</f>
        <v>#REF!</v>
      </c>
      <c r="G2" s="108" t="e">
        <f>#REF!</f>
        <v>#REF!</v>
      </c>
      <c r="H2" s="108" t="e">
        <f>#REF!</f>
        <v>#REF!</v>
      </c>
      <c r="I2" s="109" t="e">
        <f>#REF!</f>
        <v>#REF!</v>
      </c>
      <c r="J2" s="6" t="e">
        <f>#REF!</f>
        <v>#REF!</v>
      </c>
      <c r="K2" s="6" t="e">
        <f>#REF!</f>
        <v>#REF!</v>
      </c>
      <c r="L2" t="e">
        <f>#REF!</f>
        <v>#REF!</v>
      </c>
    </row>
    <row r="3" spans="1:13">
      <c r="A3" s="10" t="e">
        <f>#REF!</f>
        <v>#REF!</v>
      </c>
      <c r="B3" s="10" t="e">
        <f>#REF!</f>
        <v>#REF!</v>
      </c>
      <c r="C3" s="10" t="e">
        <f>#REF!</f>
        <v>#REF!</v>
      </c>
      <c r="D3" s="10" t="e">
        <f>#REF!</f>
        <v>#REF!</v>
      </c>
      <c r="E3" s="11" t="e">
        <f>#REF!</f>
        <v>#REF!</v>
      </c>
      <c r="F3" s="11" t="e">
        <f>#REF!</f>
        <v>#REF!</v>
      </c>
      <c r="G3" s="118" t="e">
        <f>#REF!</f>
        <v>#REF!</v>
      </c>
      <c r="H3" s="118" t="e">
        <f>#REF!</f>
        <v>#REF!</v>
      </c>
      <c r="I3" s="118" t="e">
        <f>#REF!</f>
        <v>#REF!</v>
      </c>
      <c r="J3" s="118" t="e">
        <f>#REF!</f>
        <v>#REF!</v>
      </c>
      <c r="K3" s="11" t="e">
        <f>#REF!</f>
        <v>#REF!</v>
      </c>
      <c r="L3" s="118" t="e">
        <f>#REF!</f>
        <v>#REF!</v>
      </c>
      <c r="M3" t="s">
        <v>464</v>
      </c>
    </row>
    <row r="4" spans="1:13">
      <c r="A4" s="20"/>
      <c r="B4" s="20"/>
      <c r="C4" s="20"/>
      <c r="D4" s="20"/>
      <c r="E4" s="21" t="e">
        <f>#REF!</f>
        <v>#REF!</v>
      </c>
      <c r="F4" s="21" t="e">
        <f>#REF!</f>
        <v>#REF!</v>
      </c>
      <c r="G4" s="21" t="e">
        <f>#REF!</f>
        <v>#REF!</v>
      </c>
      <c r="H4" s="21" t="e">
        <f>#REF!</f>
        <v>#REF!</v>
      </c>
      <c r="I4" s="21" t="e">
        <f>#REF!</f>
        <v>#REF!</v>
      </c>
      <c r="J4" s="21" t="e">
        <f>#REF!</f>
        <v>#REF!</v>
      </c>
      <c r="K4" s="21" t="e">
        <f>#REF!</f>
        <v>#REF!</v>
      </c>
      <c r="L4" s="21" t="e">
        <f>#REF!</f>
        <v>#REF!</v>
      </c>
    </row>
    <row r="5" spans="1:13">
      <c r="A5" t="e">
        <f>#REF!</f>
        <v>#REF!</v>
      </c>
      <c r="B5" s="1" t="e">
        <f>#REF!</f>
        <v>#REF!</v>
      </c>
      <c r="C5" s="1" t="e">
        <f>#REF!</f>
        <v>#REF!</v>
      </c>
      <c r="D5" s="1" t="e">
        <f>#REF!</f>
        <v>#REF!</v>
      </c>
      <c r="E5" s="135" t="e">
        <f>#REF!</f>
        <v>#REF!</v>
      </c>
      <c r="F5" s="135" t="e">
        <f>#REF!</f>
        <v>#REF!</v>
      </c>
      <c r="G5" s="155" t="e">
        <f>#REF!</f>
        <v>#REF!</v>
      </c>
      <c r="H5" s="42" t="e">
        <f>#REF!</f>
        <v>#REF!</v>
      </c>
      <c r="I5" s="144" t="e">
        <f>#REF!</f>
        <v>#REF!</v>
      </c>
      <c r="J5" s="136" t="e">
        <f>#REF!</f>
        <v>#REF!</v>
      </c>
      <c r="K5" s="144" t="e">
        <f>#REF!</f>
        <v>#REF!</v>
      </c>
      <c r="L5" s="155" t="e">
        <f>#REF!</f>
        <v>#REF!</v>
      </c>
    </row>
    <row r="6" spans="1:13">
      <c r="A6" s="8" t="e">
        <f>#REF!</f>
        <v>#REF!</v>
      </c>
      <c r="B6" s="1" t="e">
        <f>#REF!</f>
        <v>#REF!</v>
      </c>
      <c r="C6" s="1" t="e">
        <f>#REF!</f>
        <v>#REF!</v>
      </c>
      <c r="D6" s="1" t="e">
        <f>#REF!</f>
        <v>#REF!</v>
      </c>
      <c r="E6" s="135" t="e">
        <f>#REF!</f>
        <v>#REF!</v>
      </c>
      <c r="F6" s="135" t="e">
        <f>#REF!</f>
        <v>#REF!</v>
      </c>
      <c r="G6" s="155" t="e">
        <f>#REF!</f>
        <v>#REF!</v>
      </c>
      <c r="H6" s="42" t="e">
        <f>#REF!</f>
        <v>#REF!</v>
      </c>
      <c r="I6" s="145" t="e">
        <f>#REF!</f>
        <v>#REF!</v>
      </c>
      <c r="J6" s="136" t="e">
        <f>#REF!</f>
        <v>#REF!</v>
      </c>
      <c r="K6" s="144" t="e">
        <f>#REF!</f>
        <v>#REF!</v>
      </c>
      <c r="L6" s="157" t="e">
        <f>#REF!</f>
        <v>#REF!</v>
      </c>
    </row>
    <row r="7" spans="1:13">
      <c r="A7" s="8">
        <v>2</v>
      </c>
      <c r="B7" s="1"/>
      <c r="C7" s="1" t="e">
        <f>#REF!</f>
        <v>#REF!</v>
      </c>
      <c r="D7" s="1" t="e">
        <f>#REF!</f>
        <v>#REF!</v>
      </c>
      <c r="E7" s="135" t="e">
        <f>#REF!</f>
        <v>#REF!</v>
      </c>
      <c r="F7" s="135" t="e">
        <f>#REF!</f>
        <v>#REF!</v>
      </c>
      <c r="G7" s="155" t="e">
        <f>#REF!</f>
        <v>#REF!</v>
      </c>
      <c r="H7" s="42" t="e">
        <f>#REF!</f>
        <v>#REF!</v>
      </c>
      <c r="I7" s="145" t="e">
        <f>#REF!</f>
        <v>#REF!</v>
      </c>
      <c r="J7" s="136" t="e">
        <f>#REF!</f>
        <v>#REF!</v>
      </c>
      <c r="K7" s="144" t="e">
        <f>#REF!</f>
        <v>#REF!</v>
      </c>
      <c r="L7" s="157" t="e">
        <f>#REF!</f>
        <v>#REF!</v>
      </c>
    </row>
    <row r="8" spans="1:13">
      <c r="A8" t="e">
        <f>#REF!</f>
        <v>#REF!</v>
      </c>
      <c r="B8" s="1" t="e">
        <f>#REF!</f>
        <v>#REF!</v>
      </c>
      <c r="C8" s="1" t="e">
        <f>#REF!</f>
        <v>#REF!</v>
      </c>
      <c r="D8" s="1" t="e">
        <f>#REF!</f>
        <v>#REF!</v>
      </c>
      <c r="E8" s="137" t="e">
        <f>#REF!</f>
        <v>#REF!</v>
      </c>
      <c r="F8" s="23" t="e">
        <f>#REF!</f>
        <v>#REF!</v>
      </c>
      <c r="G8" s="155" t="e">
        <f>#REF!</f>
        <v>#REF!</v>
      </c>
      <c r="H8" s="42" t="e">
        <f>#REF!</f>
        <v>#REF!</v>
      </c>
      <c r="I8" s="145" t="e">
        <f>#REF!</f>
        <v>#REF!</v>
      </c>
      <c r="J8" s="136" t="e">
        <f>#REF!</f>
        <v>#REF!</v>
      </c>
      <c r="K8" s="145" t="e">
        <f>#REF!</f>
        <v>#REF!</v>
      </c>
      <c r="L8" s="157" t="e">
        <f>#REF!</f>
        <v>#REF!</v>
      </c>
    </row>
    <row r="9" spans="1:13">
      <c r="A9" t="e">
        <f>#REF!</f>
        <v>#REF!</v>
      </c>
      <c r="B9" s="1" t="e">
        <f>#REF!</f>
        <v>#REF!</v>
      </c>
      <c r="C9" s="1" t="e">
        <f>#REF!</f>
        <v>#REF!</v>
      </c>
      <c r="D9" s="1" t="e">
        <f>#REF!</f>
        <v>#REF!</v>
      </c>
      <c r="E9" s="136" t="e">
        <f>#REF!</f>
        <v>#REF!</v>
      </c>
      <c r="F9" s="135" t="e">
        <f>#REF!</f>
        <v>#REF!</v>
      </c>
      <c r="G9" s="157" t="e">
        <f>#REF!</f>
        <v>#REF!</v>
      </c>
      <c r="H9" s="42" t="e">
        <f>#REF!</f>
        <v>#REF!</v>
      </c>
      <c r="I9" s="116" t="e">
        <f>#REF!</f>
        <v>#REF!</v>
      </c>
      <c r="J9" s="110" t="e">
        <f>#REF!</f>
        <v>#REF!</v>
      </c>
      <c r="K9" s="145" t="e">
        <f>#REF!</f>
        <v>#REF!</v>
      </c>
      <c r="L9" s="151" t="e">
        <f>#REF!</f>
        <v>#REF!</v>
      </c>
    </row>
    <row r="10" spans="1:13" ht="15" thickBot="1">
      <c r="B10" s="1"/>
      <c r="C10" s="1" t="e">
        <f>#REF!</f>
        <v>#REF!</v>
      </c>
      <c r="D10" s="1" t="e">
        <f>#REF!</f>
        <v>#REF!</v>
      </c>
      <c r="E10" s="136" t="e">
        <f>#REF!</f>
        <v>#REF!</v>
      </c>
      <c r="F10" s="135" t="e">
        <f>#REF!</f>
        <v>#REF!</v>
      </c>
      <c r="G10" s="157" t="e">
        <f>#REF!</f>
        <v>#REF!</v>
      </c>
      <c r="H10" s="42" t="e">
        <f>#REF!</f>
        <v>#REF!</v>
      </c>
      <c r="I10" s="146" t="e">
        <f>#REF!</f>
        <v>#REF!</v>
      </c>
      <c r="J10" s="136" t="e">
        <f>#REF!</f>
        <v>#REF!</v>
      </c>
      <c r="K10" s="13" t="e">
        <f>#REF!</f>
        <v>#REF!</v>
      </c>
      <c r="L10" s="153" t="e">
        <f>#REF!</f>
        <v>#REF!</v>
      </c>
    </row>
    <row r="11" spans="1:13">
      <c r="A11" s="167" t="e">
        <f>#REF!</f>
        <v>#REF!</v>
      </c>
      <c r="B11" s="245" t="e">
        <f>#REF!</f>
        <v>#REF!</v>
      </c>
      <c r="C11" s="168" t="e">
        <f>#REF!</f>
        <v>#REF!</v>
      </c>
      <c r="D11" s="168" t="e">
        <f>#REF!</f>
        <v>#REF!</v>
      </c>
      <c r="E11" s="171" t="e">
        <f>#REF!</f>
        <v>#REF!</v>
      </c>
      <c r="F11" s="169" t="e">
        <f>#REF!</f>
        <v>#REF!</v>
      </c>
      <c r="G11" s="231" t="e">
        <f>#REF!</f>
        <v>#REF!</v>
      </c>
      <c r="H11" s="275" t="e">
        <f>#REF!</f>
        <v>#REF!</v>
      </c>
      <c r="I11" s="233" t="e">
        <f>#REF!</f>
        <v>#REF!</v>
      </c>
      <c r="J11" s="234" t="e">
        <f>#REF!</f>
        <v>#REF!</v>
      </c>
      <c r="K11" s="194" t="e">
        <f>#REF!</f>
        <v>#REF!</v>
      </c>
      <c r="L11" s="235" t="e">
        <f>#REF!</f>
        <v>#REF!</v>
      </c>
    </row>
    <row r="12" spans="1:13" ht="15" thickBot="1">
      <c r="A12" s="197">
        <v>5</v>
      </c>
      <c r="B12" s="175"/>
      <c r="C12" s="175" t="e">
        <f>#REF!</f>
        <v>#REF!</v>
      </c>
      <c r="D12" s="175" t="e">
        <f>#REF!</f>
        <v>#REF!</v>
      </c>
      <c r="E12" s="204" t="e">
        <f>#REF!</f>
        <v>#REF!</v>
      </c>
      <c r="F12" s="176" t="e">
        <f>#REF!</f>
        <v>#REF!</v>
      </c>
      <c r="G12" s="232" t="e">
        <f>#REF!</f>
        <v>#REF!</v>
      </c>
      <c r="H12" s="276" t="e">
        <f>#REF!</f>
        <v>#REF!</v>
      </c>
      <c r="I12" s="201" t="e">
        <f>#REF!</f>
        <v>#REF!</v>
      </c>
      <c r="J12" s="204" t="e">
        <f>#REF!</f>
        <v>#REF!</v>
      </c>
      <c r="K12" s="207" t="e">
        <f>#REF!</f>
        <v>#REF!</v>
      </c>
      <c r="L12" s="181" t="e">
        <f>#REF!</f>
        <v>#REF!</v>
      </c>
      <c r="M12" s="164" t="s">
        <v>474</v>
      </c>
    </row>
    <row r="13" spans="1:13" ht="15" thickBot="1">
      <c r="A13" s="236" t="e">
        <f>#REF!</f>
        <v>#REF!</v>
      </c>
      <c r="B13" s="248" t="e">
        <f>#REF!</f>
        <v>#REF!</v>
      </c>
      <c r="C13" s="210" t="e">
        <f>#REF!</f>
        <v>#REF!</v>
      </c>
      <c r="D13" s="210" t="e">
        <f>#REF!</f>
        <v>#REF!</v>
      </c>
      <c r="E13" s="189" t="e">
        <f>#REF!</f>
        <v>#REF!</v>
      </c>
      <c r="F13" s="186" t="e">
        <f>#REF!</f>
        <v>#REF!</v>
      </c>
      <c r="G13" s="226" t="e">
        <f>#REF!</f>
        <v>#REF!</v>
      </c>
      <c r="H13" s="279" t="e">
        <f>#REF!</f>
        <v>#REF!</v>
      </c>
      <c r="I13" s="188" t="e">
        <f>#REF!</f>
        <v>#REF!</v>
      </c>
      <c r="J13" s="189" t="e">
        <f>#REF!</f>
        <v>#REF!</v>
      </c>
      <c r="K13" s="188" t="e">
        <f>#REF!</f>
        <v>#REF!</v>
      </c>
      <c r="L13" s="191" t="e">
        <f>#REF!</f>
        <v>#REF!</v>
      </c>
      <c r="M13" s="164" t="s">
        <v>474</v>
      </c>
    </row>
    <row r="14" spans="1:13">
      <c r="A14" s="8" t="e">
        <f>#REF!</f>
        <v>#REF!</v>
      </c>
      <c r="B14" s="1" t="e">
        <f>#REF!</f>
        <v>#REF!</v>
      </c>
      <c r="C14" s="1" t="e">
        <f>#REF!</f>
        <v>#REF!</v>
      </c>
      <c r="D14" s="1" t="e">
        <f>#REF!</f>
        <v>#REF!</v>
      </c>
      <c r="E14" s="135" t="e">
        <f>#REF!</f>
        <v>#REF!</v>
      </c>
      <c r="F14" s="135" t="e">
        <f>#REF!</f>
        <v>#REF!</v>
      </c>
      <c r="G14" s="153" t="e">
        <f>#REF!</f>
        <v>#REF!</v>
      </c>
      <c r="H14" s="42" t="e">
        <f>#REF!</f>
        <v>#REF!</v>
      </c>
      <c r="I14" s="143" t="e">
        <f>#REF!</f>
        <v>#REF!</v>
      </c>
      <c r="J14" s="136" t="e">
        <f>#REF!</f>
        <v>#REF!</v>
      </c>
      <c r="K14" s="148" t="e">
        <f>#REF!</f>
        <v>#REF!</v>
      </c>
      <c r="L14" s="153" t="e">
        <f>#REF!</f>
        <v>#REF!</v>
      </c>
    </row>
    <row r="15" spans="1:13" ht="15" thickBot="1">
      <c r="B15" s="1"/>
      <c r="C15" s="1" t="e">
        <f>#REF!</f>
        <v>#REF!</v>
      </c>
      <c r="D15" s="1" t="e">
        <f>#REF!</f>
        <v>#REF!</v>
      </c>
      <c r="E15" s="135" t="e">
        <f>#REF!</f>
        <v>#REF!</v>
      </c>
      <c r="F15" s="135" t="e">
        <f>#REF!</f>
        <v>#REF!</v>
      </c>
      <c r="G15" s="153" t="e">
        <f>#REF!</f>
        <v>#REF!</v>
      </c>
      <c r="H15" s="42" t="e">
        <f>#REF!</f>
        <v>#REF!</v>
      </c>
      <c r="I15" s="144" t="e">
        <f>#REF!</f>
        <v>#REF!</v>
      </c>
      <c r="J15" s="137" t="e">
        <f>#REF!</f>
        <v>#REF!</v>
      </c>
      <c r="K15" s="148" t="e">
        <f>#REF!</f>
        <v>#REF!</v>
      </c>
      <c r="L15" s="153" t="e">
        <f>#REF!</f>
        <v>#REF!</v>
      </c>
    </row>
    <row r="16" spans="1:13" ht="15" thickBot="1">
      <c r="A16" s="228" t="e">
        <f>#REF!</f>
        <v>#REF!</v>
      </c>
      <c r="B16" s="246" t="e">
        <f>#REF!</f>
        <v>#REF!</v>
      </c>
      <c r="C16" s="185" t="e">
        <f>#REF!</f>
        <v>#REF!</v>
      </c>
      <c r="D16" s="185" t="e">
        <f>#REF!</f>
        <v>#REF!</v>
      </c>
      <c r="E16" s="189" t="e">
        <f>#REF!</f>
        <v>#REF!</v>
      </c>
      <c r="F16" s="186" t="e">
        <f>#REF!</f>
        <v>#REF!</v>
      </c>
      <c r="G16" s="229" t="e">
        <f>#REF!</f>
        <v>#REF!</v>
      </c>
      <c r="H16" s="277" t="e">
        <f>#REF!</f>
        <v>#REF!</v>
      </c>
      <c r="I16" s="190" t="e">
        <f>#REF!</f>
        <v>#REF!</v>
      </c>
      <c r="J16" s="230" t="e">
        <f>#REF!</f>
        <v>#REF!</v>
      </c>
      <c r="K16" s="190" t="e">
        <f>#REF!</f>
        <v>#REF!</v>
      </c>
      <c r="L16" s="227" t="e">
        <f>#REF!</f>
        <v>#REF!</v>
      </c>
      <c r="M16" s="164" t="s">
        <v>475</v>
      </c>
    </row>
    <row r="17" spans="1:13" ht="15" thickBot="1">
      <c r="A17" s="209" t="e">
        <f>#REF!</f>
        <v>#REF!</v>
      </c>
      <c r="B17" s="248" t="e">
        <f>#REF!</f>
        <v>#REF!</v>
      </c>
      <c r="C17" s="210" t="e">
        <f>#REF!</f>
        <v>#REF!</v>
      </c>
      <c r="D17" s="210" t="e">
        <f>#REF!</f>
        <v>#REF!</v>
      </c>
      <c r="E17" s="189" t="e">
        <f>#REF!</f>
        <v>#REF!</v>
      </c>
      <c r="F17" s="186" t="e">
        <f>#REF!</f>
        <v>#REF!</v>
      </c>
      <c r="G17" s="226" t="e">
        <f>#REF!</f>
        <v>#REF!</v>
      </c>
      <c r="H17" s="277" t="e">
        <f>#REF!</f>
        <v>#REF!</v>
      </c>
      <c r="I17" s="190" t="e">
        <f>#REF!</f>
        <v>#REF!</v>
      </c>
      <c r="J17" s="230" t="e">
        <f>#REF!</f>
        <v>#REF!</v>
      </c>
      <c r="K17" s="237" t="e">
        <f>#REF!</f>
        <v>#REF!</v>
      </c>
      <c r="L17" s="238" t="e">
        <f>#REF!</f>
        <v>#REF!</v>
      </c>
      <c r="M17" t="s">
        <v>473</v>
      </c>
    </row>
    <row r="18" spans="1:13" ht="15" thickBot="1">
      <c r="A18" s="228" t="e">
        <f>#REF!</f>
        <v>#REF!</v>
      </c>
      <c r="B18" s="247" t="e">
        <f>#REF!</f>
        <v>#REF!</v>
      </c>
      <c r="C18" s="239" t="e">
        <f>#REF!</f>
        <v>#REF!</v>
      </c>
      <c r="D18" s="239" t="e">
        <f>#REF!</f>
        <v>#REF!</v>
      </c>
      <c r="E18" s="189" t="e">
        <f>#REF!</f>
        <v>#REF!</v>
      </c>
      <c r="F18" s="186" t="e">
        <f>#REF!</f>
        <v>#REF!</v>
      </c>
      <c r="G18" s="226" t="e">
        <f>#REF!</f>
        <v>#REF!</v>
      </c>
      <c r="H18" s="277" t="e">
        <f>#REF!</f>
        <v>#REF!</v>
      </c>
      <c r="I18" s="188" t="e">
        <f>#REF!</f>
        <v>#REF!</v>
      </c>
      <c r="J18" s="230" t="e">
        <f>#REF!</f>
        <v>#REF!</v>
      </c>
      <c r="K18" s="190" t="e">
        <f>#REF!</f>
        <v>#REF!</v>
      </c>
      <c r="L18" s="238" t="e">
        <f>#REF!</f>
        <v>#REF!</v>
      </c>
      <c r="M18" s="164" t="s">
        <v>470</v>
      </c>
    </row>
    <row r="19" spans="1:13" ht="15" thickBot="1">
      <c r="A19" s="3" t="e">
        <f>#REF!</f>
        <v>#REF!</v>
      </c>
      <c r="B19" s="2" t="e">
        <f>#REF!</f>
        <v>#REF!</v>
      </c>
      <c r="C19" s="2" t="e">
        <f>#REF!</f>
        <v>#REF!</v>
      </c>
      <c r="D19" s="2" t="e">
        <f>#REF!</f>
        <v>#REF!</v>
      </c>
      <c r="E19" s="136" t="e">
        <f>#REF!</f>
        <v>#REF!</v>
      </c>
      <c r="F19" s="135" t="e">
        <f>#REF!</f>
        <v>#REF!</v>
      </c>
      <c r="G19" s="155" t="e">
        <f>#REF!</f>
        <v>#REF!</v>
      </c>
      <c r="H19" s="42" t="e">
        <f>#REF!</f>
        <v>#REF!</v>
      </c>
      <c r="I19" s="146" t="e">
        <f>#REF!</f>
        <v>#REF!</v>
      </c>
      <c r="J19" s="137" t="e">
        <f>#REF!</f>
        <v>#REF!</v>
      </c>
      <c r="K19" s="144" t="e">
        <f>#REF!</f>
        <v>#REF!</v>
      </c>
      <c r="L19" s="42" t="e">
        <f>#REF!</f>
        <v>#REF!</v>
      </c>
    </row>
    <row r="20" spans="1:13">
      <c r="A20" s="271" t="e">
        <f>#REF!</f>
        <v>#REF!</v>
      </c>
      <c r="B20" s="245" t="e">
        <f>#REF!</f>
        <v>#REF!</v>
      </c>
      <c r="C20" s="168" t="e">
        <f>#REF!</f>
        <v>#REF!</v>
      </c>
      <c r="D20" s="168" t="e">
        <f>#REF!</f>
        <v>#REF!</v>
      </c>
      <c r="E20" s="171" t="e">
        <f>#REF!</f>
        <v>#REF!</v>
      </c>
      <c r="F20" s="169" t="e">
        <f>#REF!</f>
        <v>#REF!</v>
      </c>
      <c r="G20" s="231" t="e">
        <f>#REF!</f>
        <v>#REF!</v>
      </c>
      <c r="H20" s="275" t="e">
        <f>#REF!</f>
        <v>#REF!</v>
      </c>
      <c r="I20" s="195" t="e">
        <f>#REF!</f>
        <v>#REF!</v>
      </c>
      <c r="J20" s="171" t="e">
        <f>#REF!</f>
        <v>#REF!</v>
      </c>
      <c r="K20" s="194" t="e">
        <f>#REF!</f>
        <v>#REF!</v>
      </c>
      <c r="L20" s="173" t="e">
        <f>#REF!</f>
        <v>#REF!</v>
      </c>
      <c r="M20" s="164" t="s">
        <v>475</v>
      </c>
    </row>
    <row r="21" spans="1:13" ht="15" thickBot="1">
      <c r="A21" s="218"/>
      <c r="B21" s="175"/>
      <c r="C21" s="175" t="e">
        <f>#REF!</f>
        <v>#REF!</v>
      </c>
      <c r="D21" s="175" t="e">
        <f>#REF!</f>
        <v>#REF!</v>
      </c>
      <c r="E21" s="204" t="e">
        <f>#REF!</f>
        <v>#REF!</v>
      </c>
      <c r="F21" s="176" t="e">
        <f>#REF!</f>
        <v>#REF!</v>
      </c>
      <c r="G21" s="232" t="e">
        <f>#REF!</f>
        <v>#REF!</v>
      </c>
      <c r="H21" s="276" t="e">
        <f>#REF!</f>
        <v>#REF!</v>
      </c>
      <c r="I21" s="201" t="e">
        <f>#REF!</f>
        <v>#REF!</v>
      </c>
      <c r="J21" s="200" t="e">
        <f>#REF!</f>
        <v>#REF!</v>
      </c>
      <c r="K21" s="199" t="e">
        <f>#REF!</f>
        <v>#REF!</v>
      </c>
      <c r="L21" s="181" t="e">
        <f>#REF!</f>
        <v>#REF!</v>
      </c>
    </row>
    <row r="22" spans="1:13">
      <c r="A22" s="166" t="e">
        <f>#REF!</f>
        <v>#REF!</v>
      </c>
      <c r="B22" s="4" t="e">
        <f>#REF!</f>
        <v>#REF!</v>
      </c>
      <c r="C22" s="4" t="e">
        <f>#REF!</f>
        <v>#REF!</v>
      </c>
      <c r="D22" s="4" t="e">
        <f>#REF!</f>
        <v>#REF!</v>
      </c>
      <c r="E22" s="136" t="e">
        <f>#REF!</f>
        <v>#REF!</v>
      </c>
      <c r="F22" s="135" t="e">
        <f>#REF!</f>
        <v>#REF!</v>
      </c>
      <c r="G22" s="155" t="e">
        <f>#REF!</f>
        <v>#REF!</v>
      </c>
      <c r="H22" s="42" t="e">
        <f>#REF!</f>
        <v>#REF!</v>
      </c>
      <c r="I22" s="144" t="e">
        <f>#REF!</f>
        <v>#REF!</v>
      </c>
      <c r="J22" s="136" t="e">
        <f>#REF!</f>
        <v>#REF!</v>
      </c>
      <c r="K22" s="144" t="e">
        <f>#REF!</f>
        <v>#REF!</v>
      </c>
      <c r="L22" s="42" t="e">
        <f>#REF!</f>
        <v>#REF!</v>
      </c>
    </row>
    <row r="23" spans="1:13" ht="15" thickBot="1">
      <c r="A23" s="3"/>
      <c r="B23" s="4"/>
      <c r="C23" s="4" t="e">
        <f>#REF!</f>
        <v>#REF!</v>
      </c>
      <c r="D23" s="4" t="e">
        <f>#REF!</f>
        <v>#REF!</v>
      </c>
      <c r="E23" s="136" t="e">
        <f>#REF!</f>
        <v>#REF!</v>
      </c>
      <c r="F23" s="135" t="e">
        <f>#REF!</f>
        <v>#REF!</v>
      </c>
      <c r="G23" s="155" t="e">
        <f>#REF!</f>
        <v>#REF!</v>
      </c>
      <c r="H23" s="42" t="e">
        <f>#REF!</f>
        <v>#REF!</v>
      </c>
      <c r="I23" s="145" t="e">
        <f>#REF!</f>
        <v>#REF!</v>
      </c>
      <c r="J23" s="137" t="e">
        <f>#REF!</f>
        <v>#REF!</v>
      </c>
      <c r="K23" s="144" t="e">
        <f>#REF!</f>
        <v>#REF!</v>
      </c>
      <c r="L23" s="42" t="e">
        <f>#REF!</f>
        <v>#REF!</v>
      </c>
    </row>
    <row r="24" spans="1:13" ht="15" thickBot="1">
      <c r="A24" s="236" t="e">
        <f>#REF!</f>
        <v>#REF!</v>
      </c>
      <c r="B24" s="246" t="e">
        <f>#REF!</f>
        <v>#REF!</v>
      </c>
      <c r="C24" s="185" t="e">
        <f>#REF!</f>
        <v>#REF!</v>
      </c>
      <c r="D24" s="185" t="e">
        <f>#REF!</f>
        <v>#REF!</v>
      </c>
      <c r="E24" s="189" t="e">
        <f>#REF!</f>
        <v>#REF!</v>
      </c>
      <c r="F24" s="186" t="e">
        <f>#REF!</f>
        <v>#REF!</v>
      </c>
      <c r="G24" s="229" t="e">
        <f>#REF!</f>
        <v>#REF!</v>
      </c>
      <c r="H24" s="279" t="e">
        <f>#REF!</f>
        <v>#REF!</v>
      </c>
      <c r="I24" s="237" t="e">
        <f>#REF!</f>
        <v>#REF!</v>
      </c>
      <c r="J24" s="230" t="e">
        <f>#REF!</f>
        <v>#REF!</v>
      </c>
      <c r="K24" s="240" t="e">
        <f>#REF!</f>
        <v>#REF!</v>
      </c>
      <c r="L24" s="238" t="e">
        <f>#REF!</f>
        <v>#REF!</v>
      </c>
      <c r="M24" t="s">
        <v>471</v>
      </c>
    </row>
    <row r="25" spans="1:13">
      <c r="A25" s="271" t="e">
        <f>#REF!</f>
        <v>#REF!</v>
      </c>
      <c r="B25" s="245" t="e">
        <f>#REF!</f>
        <v>#REF!</v>
      </c>
      <c r="C25" s="168" t="e">
        <f>#REF!</f>
        <v>#REF!</v>
      </c>
      <c r="D25" s="168" t="e">
        <f>#REF!</f>
        <v>#REF!</v>
      </c>
      <c r="E25" s="171" t="e">
        <f>#REF!</f>
        <v>#REF!</v>
      </c>
      <c r="F25" s="169" t="e">
        <f>#REF!</f>
        <v>#REF!</v>
      </c>
      <c r="G25" s="231" t="e">
        <f>#REF!</f>
        <v>#REF!</v>
      </c>
      <c r="H25" s="275" t="e">
        <f>#REF!</f>
        <v>#REF!</v>
      </c>
      <c r="I25" s="194" t="e">
        <f>#REF!</f>
        <v>#REF!</v>
      </c>
      <c r="J25" s="171" t="e">
        <f>#REF!</f>
        <v>#REF!</v>
      </c>
      <c r="K25" s="195" t="e">
        <f>#REF!</f>
        <v>#REF!</v>
      </c>
      <c r="L25" s="173" t="e">
        <f>#REF!</f>
        <v>#REF!</v>
      </c>
      <c r="M25" s="164" t="s">
        <v>475</v>
      </c>
    </row>
    <row r="26" spans="1:13" ht="15" thickBot="1">
      <c r="A26" s="218"/>
      <c r="B26" s="175"/>
      <c r="C26" s="175" t="e">
        <f>#REF!</f>
        <v>#REF!</v>
      </c>
      <c r="D26" s="175" t="e">
        <f>#REF!</f>
        <v>#REF!</v>
      </c>
      <c r="E26" s="204" t="e">
        <f>#REF!</f>
        <v>#REF!</v>
      </c>
      <c r="F26" s="176" t="e">
        <f>#REF!</f>
        <v>#REF!</v>
      </c>
      <c r="G26" s="232" t="e">
        <f>#REF!</f>
        <v>#REF!</v>
      </c>
      <c r="H26" s="276" t="e">
        <f>#REF!</f>
        <v>#REF!</v>
      </c>
      <c r="I26" s="199" t="e">
        <f>#REF!</f>
        <v>#REF!</v>
      </c>
      <c r="J26" s="204" t="e">
        <f>#REF!</f>
        <v>#REF!</v>
      </c>
      <c r="K26" s="201" t="e">
        <f>#REF!</f>
        <v>#REF!</v>
      </c>
      <c r="L26" s="181" t="e">
        <f>#REF!</f>
        <v>#REF!</v>
      </c>
    </row>
    <row r="27" spans="1:13">
      <c r="A27" s="3" t="e">
        <f>#REF!</f>
        <v>#REF!</v>
      </c>
      <c r="B27" s="4" t="e">
        <f>#REF!</f>
        <v>#REF!</v>
      </c>
      <c r="C27" s="4" t="e">
        <f>#REF!</f>
        <v>#REF!</v>
      </c>
      <c r="D27" s="4" t="e">
        <f>#REF!</f>
        <v>#REF!</v>
      </c>
      <c r="E27" s="159" t="e">
        <f>#REF!</f>
        <v>#REF!</v>
      </c>
      <c r="F27" s="23" t="e">
        <f>#REF!</f>
        <v>#REF!</v>
      </c>
      <c r="G27" s="155" t="e">
        <f>#REF!</f>
        <v>#REF!</v>
      </c>
      <c r="H27" s="278" t="e">
        <f>#REF!</f>
        <v>#REF!</v>
      </c>
      <c r="I27" s="116" t="e">
        <f>#REF!</f>
        <v>#REF!</v>
      </c>
      <c r="J27" s="136" t="e">
        <f>#REF!</f>
        <v>#REF!</v>
      </c>
      <c r="K27" s="149" t="e">
        <f>#REF!</f>
        <v>#REF!</v>
      </c>
      <c r="L27" s="42" t="e">
        <f>#REF!</f>
        <v>#REF!</v>
      </c>
    </row>
    <row r="28" spans="1:13" ht="15" thickBot="1">
      <c r="A28" s="3"/>
      <c r="B28" s="4"/>
      <c r="C28" s="4" t="e">
        <f>#REF!</f>
        <v>#REF!</v>
      </c>
      <c r="D28" s="4" t="e">
        <f>#REF!</f>
        <v>#REF!</v>
      </c>
      <c r="E28" s="159" t="e">
        <f>#REF!</f>
        <v>#REF!</v>
      </c>
      <c r="F28" s="23" t="e">
        <f>#REF!</f>
        <v>#REF!</v>
      </c>
      <c r="G28" s="155" t="e">
        <f>#REF!</f>
        <v>#REF!</v>
      </c>
      <c r="H28" s="42" t="e">
        <f>#REF!</f>
        <v>#REF!</v>
      </c>
      <c r="I28" s="116" t="e">
        <f>#REF!</f>
        <v>#REF!</v>
      </c>
      <c r="J28" s="136" t="e">
        <f>#REF!</f>
        <v>#REF!</v>
      </c>
      <c r="K28" s="149" t="e">
        <f>#REF!</f>
        <v>#REF!</v>
      </c>
      <c r="L28" s="42" t="e">
        <f>#REF!</f>
        <v>#REF!</v>
      </c>
    </row>
    <row r="29" spans="1:13">
      <c r="A29" s="167" t="e">
        <f>#REF!</f>
        <v>#REF!</v>
      </c>
      <c r="B29" s="260" t="e">
        <f>#REF!</f>
        <v>#REF!</v>
      </c>
      <c r="C29" s="250" t="e">
        <f>#REF!</f>
        <v>#REF!</v>
      </c>
      <c r="D29" s="250" t="e">
        <f>#REF!</f>
        <v>#REF!</v>
      </c>
      <c r="E29" s="251" t="e">
        <f>#REF!</f>
        <v>#REF!</v>
      </c>
      <c r="F29" s="251" t="e">
        <f>#REF!</f>
        <v>#REF!</v>
      </c>
      <c r="G29" s="252" t="e">
        <f>#REF!</f>
        <v>#REF!</v>
      </c>
      <c r="H29" s="275" t="e">
        <f>#REF!</f>
        <v>#REF!</v>
      </c>
      <c r="I29" s="233" t="e">
        <f>#REF!</f>
        <v>#REF!</v>
      </c>
      <c r="J29" s="253"/>
      <c r="K29" s="254" t="e">
        <f>#REF!</f>
        <v>#REF!</v>
      </c>
      <c r="L29" s="255" t="e">
        <f>#REF!</f>
        <v>#REF!</v>
      </c>
      <c r="M29" s="8" t="s">
        <v>472</v>
      </c>
    </row>
    <row r="30" spans="1:13" ht="15" thickBot="1">
      <c r="A30" s="197">
        <v>12</v>
      </c>
      <c r="B30" s="256"/>
      <c r="C30" s="256" t="e">
        <f>#REF!</f>
        <v>#REF!</v>
      </c>
      <c r="D30" s="256" t="e">
        <f>#REF!</f>
        <v>#REF!</v>
      </c>
      <c r="E30" s="257" t="e">
        <f>#REF!</f>
        <v>#REF!</v>
      </c>
      <c r="F30" s="257" t="e">
        <f>#REF!</f>
        <v>#REF!</v>
      </c>
      <c r="G30" s="258" t="e">
        <f>#REF!</f>
        <v>#REF!</v>
      </c>
      <c r="H30" s="276" t="e">
        <f>#REF!</f>
        <v>#REF!</v>
      </c>
      <c r="I30" s="199" t="e">
        <f>#REF!</f>
        <v>#REF!</v>
      </c>
      <c r="J30" s="204" t="e">
        <f>#REF!</f>
        <v>#REF!</v>
      </c>
      <c r="K30" s="259" t="e">
        <f>#REF!</f>
        <v>#REF!</v>
      </c>
      <c r="L30" s="241" t="e">
        <f>#REF!</f>
        <v>#REF!</v>
      </c>
      <c r="M30" s="164" t="s">
        <v>474</v>
      </c>
    </row>
    <row r="31" spans="1:13">
      <c r="A31" s="3" t="e">
        <f>#REF!</f>
        <v>#REF!</v>
      </c>
      <c r="B31" s="1" t="e">
        <f>#REF!</f>
        <v>#REF!</v>
      </c>
      <c r="C31" s="1" t="e">
        <f>#REF!</f>
        <v>#REF!</v>
      </c>
      <c r="D31" s="1" t="e">
        <f>#REF!</f>
        <v>#REF!</v>
      </c>
      <c r="E31" s="136" t="e">
        <f>#REF!</f>
        <v>#REF!</v>
      </c>
      <c r="F31" s="135" t="e">
        <f>#REF!</f>
        <v>#REF!</v>
      </c>
      <c r="G31" s="153" t="e">
        <f>#REF!</f>
        <v>#REF!</v>
      </c>
      <c r="H31" s="42" t="e">
        <f>#REF!</f>
        <v>#REF!</v>
      </c>
      <c r="I31" s="116" t="e">
        <f>#REF!</f>
        <v>#REF!</v>
      </c>
      <c r="J31" s="110" t="e">
        <f>#REF!</f>
        <v>#REF!</v>
      </c>
      <c r="K31" s="145" t="e">
        <f>#REF!</f>
        <v>#REF!</v>
      </c>
      <c r="L31" s="151" t="e">
        <f>#REF!</f>
        <v>#REF!</v>
      </c>
    </row>
    <row r="32" spans="1:13" ht="15" thickBot="1">
      <c r="A32" s="166" t="s">
        <v>27</v>
      </c>
      <c r="B32" s="1"/>
      <c r="C32" s="5" t="e">
        <f>#REF!</f>
        <v>#REF!</v>
      </c>
      <c r="D32" s="1" t="e">
        <f>#REF!</f>
        <v>#REF!</v>
      </c>
      <c r="E32" s="136" t="e">
        <f>#REF!</f>
        <v>#REF!</v>
      </c>
      <c r="F32" s="135" t="e">
        <f>#REF!</f>
        <v>#REF!</v>
      </c>
      <c r="G32" s="153" t="e">
        <f>#REF!</f>
        <v>#REF!</v>
      </c>
      <c r="H32" s="42" t="e">
        <f>#REF!</f>
        <v>#REF!</v>
      </c>
      <c r="I32" s="144" t="e">
        <f>#REF!</f>
        <v>#REF!</v>
      </c>
      <c r="J32" s="136" t="e">
        <f>#REF!</f>
        <v>#REF!</v>
      </c>
      <c r="K32" s="145" t="e">
        <f>#REF!</f>
        <v>#REF!</v>
      </c>
      <c r="L32" s="42" t="e">
        <f>#REF!</f>
        <v>#REF!</v>
      </c>
    </row>
    <row r="33" spans="1:13">
      <c r="A33" s="222" t="e">
        <f>#REF!</f>
        <v>#REF!</v>
      </c>
      <c r="B33" s="245" t="e">
        <f>#REF!</f>
        <v>#REF!</v>
      </c>
      <c r="C33" s="168" t="e">
        <f>#REF!</f>
        <v>#REF!</v>
      </c>
      <c r="D33" s="168" t="e">
        <f>#REF!</f>
        <v>#REF!</v>
      </c>
      <c r="E33" s="171" t="e">
        <f>#REF!</f>
        <v>#REF!</v>
      </c>
      <c r="F33" s="169" t="e">
        <f>#REF!</f>
        <v>#REF!</v>
      </c>
      <c r="G33" s="231" t="e">
        <f>#REF!</f>
        <v>#REF!</v>
      </c>
      <c r="H33" s="275" t="e">
        <f>#REF!</f>
        <v>#REF!</v>
      </c>
      <c r="I33" s="195" t="e">
        <f>#REF!</f>
        <v>#REF!</v>
      </c>
      <c r="J33" s="234" t="e">
        <f>#REF!</f>
        <v>#REF!</v>
      </c>
      <c r="K33" s="194" t="e">
        <f>#REF!</f>
        <v>#REF!</v>
      </c>
      <c r="L33" s="235" t="e">
        <f>#REF!</f>
        <v>#REF!</v>
      </c>
      <c r="M33" s="164" t="s">
        <v>470</v>
      </c>
    </row>
    <row r="34" spans="1:13" ht="15" thickBot="1">
      <c r="A34" s="272" t="s">
        <v>29</v>
      </c>
      <c r="B34" s="175"/>
      <c r="C34" s="224" t="e">
        <f>#REF!</f>
        <v>#REF!</v>
      </c>
      <c r="D34" s="175" t="e">
        <f>#REF!</f>
        <v>#REF!</v>
      </c>
      <c r="E34" s="204" t="e">
        <f>#REF!</f>
        <v>#REF!</v>
      </c>
      <c r="F34" s="176" t="e">
        <f>#REF!</f>
        <v>#REF!</v>
      </c>
      <c r="G34" s="232" t="e">
        <f>#REF!</f>
        <v>#REF!</v>
      </c>
      <c r="H34" s="276" t="e">
        <f>#REF!</f>
        <v>#REF!</v>
      </c>
      <c r="I34" s="199" t="e">
        <f>#REF!</f>
        <v>#REF!</v>
      </c>
      <c r="J34" s="200" t="e">
        <f>#REF!</f>
        <v>#REF!</v>
      </c>
      <c r="K34" s="199" t="e">
        <f>#REF!</f>
        <v>#REF!</v>
      </c>
      <c r="L34" s="241" t="e">
        <f>#REF!</f>
        <v>#REF!</v>
      </c>
      <c r="M34" s="164"/>
    </row>
    <row r="35" spans="1:13">
      <c r="A35" s="270" t="e">
        <f>#REF!</f>
        <v>#REF!</v>
      </c>
      <c r="B35" s="5" t="e">
        <f>#REF!</f>
        <v>#REF!</v>
      </c>
      <c r="C35" s="5" t="e">
        <f>#REF!</f>
        <v>#REF!</v>
      </c>
      <c r="D35" s="5" t="e">
        <f>#REF!</f>
        <v>#REF!</v>
      </c>
      <c r="E35" s="137" t="e">
        <f>#REF!</f>
        <v>#REF!</v>
      </c>
      <c r="F35" s="23" t="e">
        <f>#REF!</f>
        <v>#REF!</v>
      </c>
      <c r="G35" s="153" t="e">
        <f>#REF!</f>
        <v>#REF!</v>
      </c>
      <c r="H35" s="42" t="e">
        <f>#REF!</f>
        <v>#REF!</v>
      </c>
      <c r="I35" s="145" t="e">
        <f>#REF!</f>
        <v>#REF!</v>
      </c>
      <c r="J35" s="110" t="e">
        <f>#REF!</f>
        <v>#REF!</v>
      </c>
      <c r="K35" s="145" t="e">
        <f>#REF!</f>
        <v>#REF!</v>
      </c>
      <c r="L35" s="151" t="e">
        <f>#REF!</f>
        <v>#REF!</v>
      </c>
    </row>
    <row r="36" spans="1:13">
      <c r="A36" s="270">
        <v>14</v>
      </c>
      <c r="C36" s="5" t="e">
        <f>#REF!</f>
        <v>#REF!</v>
      </c>
      <c r="D36" s="1" t="e">
        <f>#REF!</f>
        <v>#REF!</v>
      </c>
      <c r="E36" s="137" t="e">
        <f>#REF!</f>
        <v>#REF!</v>
      </c>
      <c r="F36" s="23" t="e">
        <f>#REF!</f>
        <v>#REF!</v>
      </c>
      <c r="G36" s="153" t="e">
        <f>#REF!</f>
        <v>#REF!</v>
      </c>
      <c r="H36" s="42" t="e">
        <f>#REF!</f>
        <v>#REF!</v>
      </c>
      <c r="I36" s="145" t="e">
        <f>#REF!</f>
        <v>#REF!</v>
      </c>
      <c r="J36" s="136" t="e">
        <f>#REF!</f>
        <v>#REF!</v>
      </c>
      <c r="K36" s="145" t="e">
        <f>#REF!</f>
        <v>#REF!</v>
      </c>
      <c r="L36" s="157" t="e">
        <f>#REF!</f>
        <v>#REF!</v>
      </c>
    </row>
    <row r="37" spans="1:13">
      <c r="C37" s="5" t="e">
        <f>#REF!</f>
        <v>#REF!</v>
      </c>
      <c r="D37" s="1" t="e">
        <f>#REF!</f>
        <v>#REF!</v>
      </c>
      <c r="E37" s="137" t="e">
        <f>#REF!</f>
        <v>#REF!</v>
      </c>
      <c r="F37" s="23" t="e">
        <f>#REF!</f>
        <v>#REF!</v>
      </c>
      <c r="G37" s="153" t="e">
        <f>#REF!</f>
        <v>#REF!</v>
      </c>
      <c r="H37" s="42" t="e">
        <f>#REF!</f>
        <v>#REF!</v>
      </c>
      <c r="I37" s="144" t="e">
        <f>#REF!</f>
        <v>#REF!</v>
      </c>
      <c r="J37" s="137" t="e">
        <f>#REF!</f>
        <v>#REF!</v>
      </c>
      <c r="K37" s="145" t="e">
        <f>#REF!</f>
        <v>#REF!</v>
      </c>
      <c r="L37" s="157" t="e">
        <f>#REF!</f>
        <v>#REF!</v>
      </c>
    </row>
    <row r="39" spans="1:13">
      <c r="E39" s="160" t="s">
        <v>463</v>
      </c>
      <c r="F39" s="160" t="s">
        <v>455</v>
      </c>
      <c r="G39" s="160" t="s">
        <v>446</v>
      </c>
      <c r="H39" s="160"/>
      <c r="I39" s="160" t="s">
        <v>449</v>
      </c>
      <c r="J39" s="160" t="s">
        <v>73</v>
      </c>
      <c r="K39" s="160" t="s">
        <v>446</v>
      </c>
      <c r="L39" s="160" t="s">
        <v>447</v>
      </c>
    </row>
    <row r="40" spans="1:13">
      <c r="E40" s="161" t="s">
        <v>462</v>
      </c>
      <c r="F40" s="161" t="s">
        <v>456</v>
      </c>
      <c r="G40" s="161" t="s">
        <v>447</v>
      </c>
      <c r="H40" s="161"/>
      <c r="I40" s="161" t="s">
        <v>446</v>
      </c>
      <c r="J40" s="161" t="s">
        <v>40</v>
      </c>
      <c r="K40" s="161" t="s">
        <v>451</v>
      </c>
      <c r="L40" s="161" t="s">
        <v>453</v>
      </c>
    </row>
    <row r="41" spans="1:13">
      <c r="E41" s="162"/>
      <c r="F41" s="162"/>
      <c r="G41" s="162" t="s">
        <v>448</v>
      </c>
      <c r="H41" s="162"/>
      <c r="I41" s="162" t="s">
        <v>447</v>
      </c>
      <c r="J41" s="162" t="s">
        <v>74</v>
      </c>
      <c r="K41" s="162" t="s">
        <v>450</v>
      </c>
      <c r="L41" s="162" t="s">
        <v>454</v>
      </c>
    </row>
    <row r="42" spans="1:13">
      <c r="E42" s="113"/>
      <c r="F42" s="113"/>
      <c r="G42" s="113"/>
      <c r="H42" s="113"/>
      <c r="I42" s="163" t="s">
        <v>448</v>
      </c>
      <c r="J42" s="113"/>
      <c r="K42" s="163" t="s">
        <v>452</v>
      </c>
      <c r="L42" s="113"/>
    </row>
  </sheetData>
  <mergeCells count="2">
    <mergeCell ref="E1:F1"/>
    <mergeCell ref="E2:F2"/>
  </mergeCells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0969-64AD-4E22-AAD7-D013F447894A}">
  <sheetPr codeName="Tabelle22"/>
  <dimension ref="A1:M42"/>
  <sheetViews>
    <sheetView zoomScale="80" zoomScaleNormal="80" workbookViewId="0">
      <selection activeCell="B19" sqref="B19"/>
    </sheetView>
  </sheetViews>
  <sheetFormatPr baseColWidth="10" defaultRowHeight="14.5"/>
  <cols>
    <col min="1" max="1" width="4.81640625" customWidth="1"/>
    <col min="2" max="2" width="43.81640625" customWidth="1"/>
    <col min="3" max="3" width="17.1796875" bestFit="1" customWidth="1"/>
    <col min="4" max="4" width="19.54296875" bestFit="1" customWidth="1"/>
    <col min="7" max="12" width="23" customWidth="1"/>
    <col min="13" max="13" width="35.7265625" customWidth="1"/>
  </cols>
  <sheetData>
    <row r="1" spans="1:13">
      <c r="E1" s="1080" t="e">
        <f>#REF!</f>
        <v>#REF!</v>
      </c>
      <c r="F1" s="1080" t="e">
        <f>#REF!</f>
        <v>#REF!</v>
      </c>
      <c r="G1" t="e">
        <f>#REF!</f>
        <v>#REF!</v>
      </c>
      <c r="H1" t="e">
        <f>#REF!</f>
        <v>#REF!</v>
      </c>
      <c r="I1" t="e">
        <f>#REF!</f>
        <v>#REF!</v>
      </c>
      <c r="J1" t="e">
        <f>#REF!</f>
        <v>#REF!</v>
      </c>
      <c r="K1" t="e">
        <f>#REF!</f>
        <v>#REF!</v>
      </c>
      <c r="L1" t="e">
        <f>#REF!</f>
        <v>#REF!</v>
      </c>
    </row>
    <row r="2" spans="1:13">
      <c r="A2" s="6"/>
      <c r="B2" s="6"/>
      <c r="C2" s="6"/>
      <c r="D2" s="6"/>
      <c r="E2" s="1081" t="e">
        <f>#REF!</f>
        <v>#REF!</v>
      </c>
      <c r="F2" s="1081" t="e">
        <f>#REF!</f>
        <v>#REF!</v>
      </c>
      <c r="G2" s="107" t="e">
        <f>#REF!</f>
        <v>#REF!</v>
      </c>
      <c r="H2" s="107" t="e">
        <f>#REF!</f>
        <v>#REF!</v>
      </c>
      <c r="I2" s="109" t="e">
        <f>#REF!</f>
        <v>#REF!</v>
      </c>
      <c r="J2" s="6" t="e">
        <f>#REF!</f>
        <v>#REF!</v>
      </c>
      <c r="K2" s="6" t="e">
        <f>#REF!</f>
        <v>#REF!</v>
      </c>
      <c r="L2" t="e">
        <f>#REF!</f>
        <v>#REF!</v>
      </c>
    </row>
    <row r="3" spans="1:13">
      <c r="A3" s="10" t="e">
        <f>#REF!</f>
        <v>#REF!</v>
      </c>
      <c r="B3" s="10" t="e">
        <f>#REF!</f>
        <v>#REF!</v>
      </c>
      <c r="C3" s="10" t="e">
        <f>#REF!</f>
        <v>#REF!</v>
      </c>
      <c r="D3" s="10" t="e">
        <f>#REF!</f>
        <v>#REF!</v>
      </c>
      <c r="E3" s="11" t="e">
        <f>#REF!</f>
        <v>#REF!</v>
      </c>
      <c r="F3" s="11" t="e">
        <f>#REF!</f>
        <v>#REF!</v>
      </c>
      <c r="G3" s="118" t="e">
        <f>#REF!</f>
        <v>#REF!</v>
      </c>
      <c r="H3" s="118" t="e">
        <f>#REF!</f>
        <v>#REF!</v>
      </c>
      <c r="I3" s="118" t="e">
        <f>#REF!</f>
        <v>#REF!</v>
      </c>
      <c r="J3" s="118" t="e">
        <f>#REF!</f>
        <v>#REF!</v>
      </c>
      <c r="K3" s="11" t="e">
        <f>#REF!</f>
        <v>#REF!</v>
      </c>
      <c r="L3" s="118" t="e">
        <f>#REF!</f>
        <v>#REF!</v>
      </c>
      <c r="M3" t="s">
        <v>464</v>
      </c>
    </row>
    <row r="4" spans="1:13">
      <c r="A4" s="20"/>
      <c r="B4" s="20"/>
      <c r="C4" s="20"/>
      <c r="D4" s="20"/>
      <c r="E4" s="21" t="e">
        <f>#REF!</f>
        <v>#REF!</v>
      </c>
      <c r="F4" s="21" t="e">
        <f>#REF!</f>
        <v>#REF!</v>
      </c>
      <c r="G4" s="21" t="e">
        <f>#REF!</f>
        <v>#REF!</v>
      </c>
      <c r="H4" s="21" t="e">
        <f>#REF!</f>
        <v>#REF!</v>
      </c>
      <c r="I4" s="21" t="e">
        <f>#REF!</f>
        <v>#REF!</v>
      </c>
      <c r="J4" s="21" t="e">
        <f>#REF!</f>
        <v>#REF!</v>
      </c>
      <c r="K4" s="21" t="e">
        <f>#REF!</f>
        <v>#REF!</v>
      </c>
      <c r="L4" s="21" t="e">
        <f>#REF!</f>
        <v>#REF!</v>
      </c>
    </row>
    <row r="5" spans="1:13">
      <c r="A5" s="8" t="e">
        <f>#REF!</f>
        <v>#REF!</v>
      </c>
      <c r="B5" s="1" t="e">
        <f>#REF!</f>
        <v>#REF!</v>
      </c>
      <c r="C5" s="1" t="e">
        <f>#REF!</f>
        <v>#REF!</v>
      </c>
      <c r="D5" s="1" t="e">
        <f>#REF!</f>
        <v>#REF!</v>
      </c>
      <c r="E5" s="135" t="e">
        <f>#REF!</f>
        <v>#REF!</v>
      </c>
      <c r="F5" s="135" t="e">
        <f>#REF!</f>
        <v>#REF!</v>
      </c>
      <c r="G5" s="105" t="e">
        <f>#REF!</f>
        <v>#REF!</v>
      </c>
      <c r="H5" s="42" t="e">
        <f>#REF!</f>
        <v>#REF!</v>
      </c>
      <c r="I5" s="143" t="e">
        <f>#REF!</f>
        <v>#REF!</v>
      </c>
      <c r="J5" s="136" t="e">
        <f>#REF!</f>
        <v>#REF!</v>
      </c>
      <c r="K5" s="144" t="e">
        <f>#REF!</f>
        <v>#REF!</v>
      </c>
      <c r="L5" s="153" t="e">
        <f>#REF!</f>
        <v>#REF!</v>
      </c>
    </row>
    <row r="6" spans="1:13">
      <c r="A6" t="e">
        <f>#REF!</f>
        <v>#REF!</v>
      </c>
      <c r="B6" s="1" t="e">
        <f>#REF!</f>
        <v>#REF!</v>
      </c>
      <c r="C6" s="1" t="e">
        <f>#REF!</f>
        <v>#REF!</v>
      </c>
      <c r="D6" s="1" t="e">
        <f>#REF!</f>
        <v>#REF!</v>
      </c>
      <c r="E6" s="135" t="e">
        <f>#REF!</f>
        <v>#REF!</v>
      </c>
      <c r="F6" s="135" t="e">
        <f>#REF!</f>
        <v>#REF!</v>
      </c>
      <c r="G6" s="105" t="e">
        <f>#REF!</f>
        <v>#REF!</v>
      </c>
      <c r="H6" s="42" t="e">
        <f>#REF!</f>
        <v>#REF!</v>
      </c>
      <c r="I6" s="145" t="e">
        <f>#REF!</f>
        <v>#REF!</v>
      </c>
      <c r="J6" s="136" t="e">
        <f>#REF!</f>
        <v>#REF!</v>
      </c>
      <c r="K6" s="144" t="e">
        <f>#REF!</f>
        <v>#REF!</v>
      </c>
      <c r="L6" s="157" t="e">
        <f>#REF!</f>
        <v>#REF!</v>
      </c>
    </row>
    <row r="7" spans="1:13" ht="15" thickBot="1">
      <c r="A7" s="8">
        <v>2</v>
      </c>
      <c r="B7" s="1"/>
      <c r="C7" s="1" t="e">
        <f>#REF!</f>
        <v>#REF!</v>
      </c>
      <c r="D7" s="1" t="e">
        <f>#REF!</f>
        <v>#REF!</v>
      </c>
      <c r="E7" s="135" t="e">
        <f>#REF!</f>
        <v>#REF!</v>
      </c>
      <c r="F7" s="135" t="e">
        <f>#REF!</f>
        <v>#REF!</v>
      </c>
      <c r="G7" s="105" t="e">
        <f>#REF!</f>
        <v>#REF!</v>
      </c>
      <c r="H7" s="42" t="e">
        <f>#REF!</f>
        <v>#REF!</v>
      </c>
      <c r="I7" s="145" t="e">
        <f>#REF!</f>
        <v>#REF!</v>
      </c>
      <c r="J7" s="136" t="e">
        <f>#REF!</f>
        <v>#REF!</v>
      </c>
      <c r="K7" s="144" t="e">
        <f>#REF!</f>
        <v>#REF!</v>
      </c>
      <c r="L7" s="157" t="e">
        <f>#REF!</f>
        <v>#REF!</v>
      </c>
    </row>
    <row r="8" spans="1:13" ht="15" thickBot="1">
      <c r="A8" s="184" t="e">
        <f>#REF!</f>
        <v>#REF!</v>
      </c>
      <c r="B8" s="246" t="e">
        <f>#REF!</f>
        <v>#REF!</v>
      </c>
      <c r="C8" s="185" t="e">
        <f>#REF!</f>
        <v>#REF!</v>
      </c>
      <c r="D8" s="185" t="e">
        <f>#REF!</f>
        <v>#REF!</v>
      </c>
      <c r="E8" s="189" t="e">
        <f>#REF!</f>
        <v>#REF!</v>
      </c>
      <c r="F8" s="186" t="e">
        <f>#REF!</f>
        <v>#REF!</v>
      </c>
      <c r="G8" s="265" t="e">
        <f>#REF!</f>
        <v>#REF!</v>
      </c>
      <c r="H8" s="277" t="e">
        <f>#REF!</f>
        <v>#REF!</v>
      </c>
      <c r="I8" s="188" t="e">
        <f>#REF!</f>
        <v>#REF!</v>
      </c>
      <c r="J8" s="189" t="e">
        <f>#REF!</f>
        <v>#REF!</v>
      </c>
      <c r="K8" s="188" t="e">
        <f>#REF!</f>
        <v>#REF!</v>
      </c>
      <c r="L8" s="227" t="e">
        <f>#REF!</f>
        <v>#REF!</v>
      </c>
      <c r="M8" t="s">
        <v>469</v>
      </c>
    </row>
    <row r="9" spans="1:13">
      <c r="A9" t="e">
        <f>#REF!</f>
        <v>#REF!</v>
      </c>
      <c r="B9" s="1" t="e">
        <f>#REF!</f>
        <v>#REF!</v>
      </c>
      <c r="C9" s="1" t="e">
        <f>#REF!</f>
        <v>#REF!</v>
      </c>
      <c r="D9" s="1" t="e">
        <f>#REF!</f>
        <v>#REF!</v>
      </c>
      <c r="E9" s="136" t="e">
        <f>#REF!</f>
        <v>#REF!</v>
      </c>
      <c r="F9" s="135" t="e">
        <f>#REF!</f>
        <v>#REF!</v>
      </c>
      <c r="G9" s="142" t="e">
        <f>#REF!</f>
        <v>#REF!</v>
      </c>
      <c r="H9" s="42" t="e">
        <f>#REF!</f>
        <v>#REF!</v>
      </c>
      <c r="I9" s="116" t="e">
        <f>#REF!</f>
        <v>#REF!</v>
      </c>
      <c r="J9" s="110" t="e">
        <f>#REF!</f>
        <v>#REF!</v>
      </c>
      <c r="K9" s="145" t="e">
        <f>#REF!</f>
        <v>#REF!</v>
      </c>
      <c r="L9" s="151" t="e">
        <f>#REF!</f>
        <v>#REF!</v>
      </c>
    </row>
    <row r="10" spans="1:13">
      <c r="B10" s="1"/>
      <c r="C10" s="1" t="e">
        <f>#REF!</f>
        <v>#REF!</v>
      </c>
      <c r="D10" s="1" t="e">
        <f>#REF!</f>
        <v>#REF!</v>
      </c>
      <c r="E10" s="136" t="e">
        <f>#REF!</f>
        <v>#REF!</v>
      </c>
      <c r="F10" s="135" t="e">
        <f>#REF!</f>
        <v>#REF!</v>
      </c>
      <c r="G10" s="142" t="e">
        <f>#REF!</f>
        <v>#REF!</v>
      </c>
      <c r="H10" s="42" t="e">
        <f>#REF!</f>
        <v>#REF!</v>
      </c>
      <c r="I10" s="146" t="e">
        <f>#REF!</f>
        <v>#REF!</v>
      </c>
      <c r="J10" s="136" t="e">
        <f>#REF!</f>
        <v>#REF!</v>
      </c>
      <c r="K10" s="13" t="e">
        <f>#REF!</f>
        <v>#REF!</v>
      </c>
      <c r="L10" s="153" t="e">
        <f>#REF!</f>
        <v>#REF!</v>
      </c>
    </row>
    <row r="11" spans="1:13">
      <c r="A11" t="e">
        <f>#REF!</f>
        <v>#REF!</v>
      </c>
      <c r="B11" s="1" t="e">
        <f>#REF!</f>
        <v>#REF!</v>
      </c>
      <c r="C11" s="1" t="e">
        <f>#REF!</f>
        <v>#REF!</v>
      </c>
      <c r="D11" s="1" t="e">
        <f>#REF!</f>
        <v>#REF!</v>
      </c>
      <c r="E11" s="136" t="e">
        <f>#REF!</f>
        <v>#REF!</v>
      </c>
      <c r="F11" s="135" t="e">
        <f>#REF!</f>
        <v>#REF!</v>
      </c>
      <c r="G11" s="141" t="e">
        <f>#REF!</f>
        <v>#REF!</v>
      </c>
      <c r="H11" s="42" t="e">
        <f>#REF!</f>
        <v>#REF!</v>
      </c>
      <c r="I11" s="116" t="e">
        <f>#REF!</f>
        <v>#REF!</v>
      </c>
      <c r="J11" s="110" t="e">
        <f>#REF!</f>
        <v>#REF!</v>
      </c>
      <c r="K11" s="145" t="e">
        <f>#REF!</f>
        <v>#REF!</v>
      </c>
      <c r="L11" s="151" t="e">
        <f>#REF!</f>
        <v>#REF!</v>
      </c>
    </row>
    <row r="12" spans="1:13">
      <c r="B12" s="1"/>
      <c r="C12" s="1" t="e">
        <f>#REF!</f>
        <v>#REF!</v>
      </c>
      <c r="D12" s="1" t="e">
        <f>#REF!</f>
        <v>#REF!</v>
      </c>
      <c r="E12" s="136" t="e">
        <f>#REF!</f>
        <v>#REF!</v>
      </c>
      <c r="F12" s="135" t="e">
        <f>#REF!</f>
        <v>#REF!</v>
      </c>
      <c r="G12" s="141" t="e">
        <f>#REF!</f>
        <v>#REF!</v>
      </c>
      <c r="H12" s="42" t="e">
        <f>#REF!</f>
        <v>#REF!</v>
      </c>
      <c r="I12" s="145" t="e">
        <f>#REF!</f>
        <v>#REF!</v>
      </c>
      <c r="J12" s="136" t="e">
        <f>#REF!</f>
        <v>#REF!</v>
      </c>
      <c r="K12" s="13" t="e">
        <f>#REF!</f>
        <v>#REF!</v>
      </c>
      <c r="L12" s="153" t="e">
        <f>#REF!</f>
        <v>#REF!</v>
      </c>
    </row>
    <row r="13" spans="1:13">
      <c r="A13" s="8" t="e">
        <f>#REF!</f>
        <v>#REF!</v>
      </c>
      <c r="B13" s="2" t="e">
        <f>#REF!</f>
        <v>#REF!</v>
      </c>
      <c r="C13" s="2" t="e">
        <f>#REF!</f>
        <v>#REF!</v>
      </c>
      <c r="D13" s="2" t="e">
        <f>#REF!</f>
        <v>#REF!</v>
      </c>
      <c r="E13" s="136" t="e">
        <f>#REF!</f>
        <v>#REF!</v>
      </c>
      <c r="F13" s="135" t="e">
        <f>#REF!</f>
        <v>#REF!</v>
      </c>
      <c r="G13" s="105" t="e">
        <f>#REF!</f>
        <v>#REF!</v>
      </c>
      <c r="H13" s="278" t="e">
        <f>#REF!</f>
        <v>#REF!</v>
      </c>
      <c r="I13" s="145" t="e">
        <f>#REF!</f>
        <v>#REF!</v>
      </c>
      <c r="J13" s="136" t="e">
        <f>#REF!</f>
        <v>#REF!</v>
      </c>
      <c r="K13" s="145" t="e">
        <f>#REF!</f>
        <v>#REF!</v>
      </c>
      <c r="L13" s="155" t="e">
        <f>#REF!</f>
        <v>#REF!</v>
      </c>
    </row>
    <row r="14" spans="1:13">
      <c r="A14" s="8" t="e">
        <f>#REF!</f>
        <v>#REF!</v>
      </c>
      <c r="B14" s="1" t="e">
        <f>#REF!</f>
        <v>#REF!</v>
      </c>
      <c r="C14" s="1" t="e">
        <f>#REF!</f>
        <v>#REF!</v>
      </c>
      <c r="D14" s="1" t="e">
        <f>#REF!</f>
        <v>#REF!</v>
      </c>
      <c r="E14" s="135" t="e">
        <f>#REF!</f>
        <v>#REF!</v>
      </c>
      <c r="F14" s="135" t="e">
        <f>#REF!</f>
        <v>#REF!</v>
      </c>
      <c r="G14" s="141" t="e">
        <f>#REF!</f>
        <v>#REF!</v>
      </c>
      <c r="H14" s="42" t="e">
        <f>#REF!</f>
        <v>#REF!</v>
      </c>
      <c r="I14" s="143" t="e">
        <f>#REF!</f>
        <v>#REF!</v>
      </c>
      <c r="J14" s="136" t="e">
        <f>#REF!</f>
        <v>#REF!</v>
      </c>
      <c r="K14" s="148" t="e">
        <f>#REF!</f>
        <v>#REF!</v>
      </c>
      <c r="L14" s="153" t="e">
        <f>#REF!</f>
        <v>#REF!</v>
      </c>
    </row>
    <row r="15" spans="1:13">
      <c r="A15" s="270">
        <v>7</v>
      </c>
      <c r="B15" s="1"/>
      <c r="C15" s="1" t="e">
        <f>#REF!</f>
        <v>#REF!</v>
      </c>
      <c r="D15" s="1" t="e">
        <f>#REF!</f>
        <v>#REF!</v>
      </c>
      <c r="E15" s="135" t="e">
        <f>#REF!</f>
        <v>#REF!</v>
      </c>
      <c r="F15" s="135" t="e">
        <f>#REF!</f>
        <v>#REF!</v>
      </c>
      <c r="G15" s="141" t="e">
        <f>#REF!</f>
        <v>#REF!</v>
      </c>
      <c r="H15" s="42" t="e">
        <f>#REF!</f>
        <v>#REF!</v>
      </c>
      <c r="I15" s="145" t="e">
        <f>#REF!</f>
        <v>#REF!</v>
      </c>
      <c r="J15" s="136" t="e">
        <f>#REF!</f>
        <v>#REF!</v>
      </c>
      <c r="K15" s="148" t="e">
        <f>#REF!</f>
        <v>#REF!</v>
      </c>
      <c r="L15" s="153" t="e">
        <f>#REF!</f>
        <v>#REF!</v>
      </c>
    </row>
    <row r="16" spans="1:13">
      <c r="A16" s="267" t="e">
        <f>#REF!</f>
        <v>#REF!</v>
      </c>
      <c r="B16" s="1" t="e">
        <f>#REF!</f>
        <v>#REF!</v>
      </c>
      <c r="C16" s="1" t="e">
        <f>#REF!</f>
        <v>#REF!</v>
      </c>
      <c r="D16" s="1" t="e">
        <f>#REF!</f>
        <v>#REF!</v>
      </c>
      <c r="E16" s="136" t="e">
        <f>#REF!</f>
        <v>#REF!</v>
      </c>
      <c r="F16" s="135" t="e">
        <f>#REF!</f>
        <v>#REF!</v>
      </c>
      <c r="G16" s="141" t="e">
        <f>#REF!</f>
        <v>#REF!</v>
      </c>
      <c r="H16" s="42" t="e">
        <f>#REF!</f>
        <v>#REF!</v>
      </c>
      <c r="I16" s="145" t="e">
        <f>#REF!</f>
        <v>#REF!</v>
      </c>
      <c r="J16" s="136" t="e">
        <f>#REF!</f>
        <v>#REF!</v>
      </c>
      <c r="K16" s="144" t="e">
        <f>#REF!</f>
        <v>#REF!</v>
      </c>
      <c r="L16" s="155" t="e">
        <f>#REF!</f>
        <v>#REF!</v>
      </c>
    </row>
    <row r="17" spans="1:13">
      <c r="A17" s="166" t="e">
        <f>#REF!</f>
        <v>#REF!</v>
      </c>
      <c r="B17" s="2" t="e">
        <f>#REF!</f>
        <v>#REF!</v>
      </c>
      <c r="C17" s="2" t="e">
        <f>#REF!</f>
        <v>#REF!</v>
      </c>
      <c r="D17" s="2" t="e">
        <f>#REF!</f>
        <v>#REF!</v>
      </c>
      <c r="E17" s="136" t="e">
        <f>#REF!</f>
        <v>#REF!</v>
      </c>
      <c r="F17" s="135" t="e">
        <f>#REF!</f>
        <v>#REF!</v>
      </c>
      <c r="G17" s="105" t="e">
        <f>#REF!</f>
        <v>#REF!</v>
      </c>
      <c r="H17" s="42" t="e">
        <f>#REF!</f>
        <v>#REF!</v>
      </c>
      <c r="I17" s="145" t="e">
        <f>#REF!</f>
        <v>#REF!</v>
      </c>
      <c r="J17" s="136" t="e">
        <f>#REF!</f>
        <v>#REF!</v>
      </c>
      <c r="K17" s="143" t="e">
        <f>#REF!</f>
        <v>#REF!</v>
      </c>
      <c r="L17" s="152" t="e">
        <f>#REF!</f>
        <v>#REF!</v>
      </c>
    </row>
    <row r="18" spans="1:13">
      <c r="A18" s="166" t="e">
        <f>#REF!</f>
        <v>#REF!</v>
      </c>
      <c r="B18" s="4" t="e">
        <f>#REF!</f>
        <v>#REF!</v>
      </c>
      <c r="C18" s="4" t="e">
        <f>#REF!</f>
        <v>#REF!</v>
      </c>
      <c r="D18" s="4" t="e">
        <f>#REF!</f>
        <v>#REF!</v>
      </c>
      <c r="E18" s="136" t="e">
        <f>#REF!</f>
        <v>#REF!</v>
      </c>
      <c r="F18" s="135" t="e">
        <f>#REF!</f>
        <v>#REF!</v>
      </c>
      <c r="G18" s="105" t="e">
        <f>#REF!</f>
        <v>#REF!</v>
      </c>
      <c r="H18" s="42" t="e">
        <f>#REF!</f>
        <v>#REF!</v>
      </c>
      <c r="I18" s="145" t="e">
        <f>#REF!</f>
        <v>#REF!</v>
      </c>
      <c r="J18" s="136" t="e">
        <f>#REF!</f>
        <v>#REF!</v>
      </c>
      <c r="K18" s="144" t="e">
        <f>#REF!</f>
        <v>#REF!</v>
      </c>
      <c r="L18" s="152" t="e">
        <f>#REF!</f>
        <v>#REF!</v>
      </c>
    </row>
    <row r="19" spans="1:13">
      <c r="A19" s="3" t="e">
        <f>#REF!</f>
        <v>#REF!</v>
      </c>
      <c r="B19" s="2" t="e">
        <f>#REF!</f>
        <v>#REF!</v>
      </c>
      <c r="C19" s="2" t="e">
        <f>#REF!</f>
        <v>#REF!</v>
      </c>
      <c r="D19" s="2" t="e">
        <f>#REF!</f>
        <v>#REF!</v>
      </c>
      <c r="E19" s="136" t="e">
        <f>#REF!</f>
        <v>#REF!</v>
      </c>
      <c r="F19" s="135" t="e">
        <f>#REF!</f>
        <v>#REF!</v>
      </c>
      <c r="G19" s="105" t="e">
        <f>#REF!</f>
        <v>#REF!</v>
      </c>
      <c r="H19" s="42" t="e">
        <f>#REF!</f>
        <v>#REF!</v>
      </c>
      <c r="I19" s="146" t="e">
        <f>#REF!</f>
        <v>#REF!</v>
      </c>
      <c r="J19" s="136" t="e">
        <f>#REF!</f>
        <v>#REF!</v>
      </c>
      <c r="K19" s="144" t="e">
        <f>#REF!</f>
        <v>#REF!</v>
      </c>
      <c r="L19" s="152" t="e">
        <f>#REF!</f>
        <v>#REF!</v>
      </c>
    </row>
    <row r="20" spans="1:13">
      <c r="A20" s="166" t="e">
        <f>#REF!</f>
        <v>#REF!</v>
      </c>
      <c r="B20" s="1" t="e">
        <f>#REF!</f>
        <v>#REF!</v>
      </c>
      <c r="C20" s="1" t="e">
        <f>#REF!</f>
        <v>#REF!</v>
      </c>
      <c r="D20" s="1" t="e">
        <f>#REF!</f>
        <v>#REF!</v>
      </c>
      <c r="E20" s="136" t="e">
        <f>#REF!</f>
        <v>#REF!</v>
      </c>
      <c r="F20" s="135" t="e">
        <f>#REF!</f>
        <v>#REF!</v>
      </c>
      <c r="G20" s="141" t="e">
        <f>#REF!</f>
        <v>#REF!</v>
      </c>
      <c r="H20" s="42" t="e">
        <f>#REF!</f>
        <v>#REF!</v>
      </c>
      <c r="I20" s="143" t="e">
        <f>#REF!</f>
        <v>#REF!</v>
      </c>
      <c r="J20" s="136" t="e">
        <f>#REF!</f>
        <v>#REF!</v>
      </c>
      <c r="K20" s="145" t="e">
        <f>#REF!</f>
        <v>#REF!</v>
      </c>
      <c r="L20" s="154" t="e">
        <f>#REF!</f>
        <v>#REF!</v>
      </c>
    </row>
    <row r="21" spans="1:13">
      <c r="A21" s="3"/>
      <c r="B21" s="1"/>
      <c r="C21" s="1" t="e">
        <f>#REF!</f>
        <v>#REF!</v>
      </c>
      <c r="D21" s="1" t="e">
        <f>#REF!</f>
        <v>#REF!</v>
      </c>
      <c r="E21" s="136" t="e">
        <f>#REF!</f>
        <v>#REF!</v>
      </c>
      <c r="F21" s="135" t="e">
        <f>#REF!</f>
        <v>#REF!</v>
      </c>
      <c r="G21" s="141" t="e">
        <f>#REF!</f>
        <v>#REF!</v>
      </c>
      <c r="H21" s="42" t="e">
        <f>#REF!</f>
        <v>#REF!</v>
      </c>
      <c r="I21" s="144" t="e">
        <f>#REF!</f>
        <v>#REF!</v>
      </c>
      <c r="J21" s="136" t="e">
        <f>#REF!</f>
        <v>#REF!</v>
      </c>
      <c r="K21" s="145" t="e">
        <f>#REF!</f>
        <v>#REF!</v>
      </c>
      <c r="L21" s="154" t="e">
        <f>#REF!</f>
        <v>#REF!</v>
      </c>
    </row>
    <row r="22" spans="1:13">
      <c r="A22" s="3" t="e">
        <f>#REF!</f>
        <v>#REF!</v>
      </c>
      <c r="B22" s="4" t="e">
        <f>#REF!</f>
        <v>#REF!</v>
      </c>
      <c r="C22" s="4" t="e">
        <f>#REF!</f>
        <v>#REF!</v>
      </c>
      <c r="D22" s="4" t="e">
        <f>#REF!</f>
        <v>#REF!</v>
      </c>
      <c r="E22" s="136" t="e">
        <f>#REF!</f>
        <v>#REF!</v>
      </c>
      <c r="F22" s="135" t="e">
        <f>#REF!</f>
        <v>#REF!</v>
      </c>
      <c r="G22" s="105" t="e">
        <f>#REF!</f>
        <v>#REF!</v>
      </c>
      <c r="H22" s="42" t="e">
        <f>#REF!</f>
        <v>#REF!</v>
      </c>
      <c r="I22" s="145" t="e">
        <f>#REF!</f>
        <v>#REF!</v>
      </c>
      <c r="J22" s="136" t="e">
        <f>#REF!</f>
        <v>#REF!</v>
      </c>
      <c r="K22" s="144" t="e">
        <f>#REF!</f>
        <v>#REF!</v>
      </c>
      <c r="L22" s="152" t="e">
        <f>#REF!</f>
        <v>#REF!</v>
      </c>
    </row>
    <row r="23" spans="1:13">
      <c r="A23" s="3"/>
      <c r="B23" s="4"/>
      <c r="C23" s="4" t="e">
        <f>#REF!</f>
        <v>#REF!</v>
      </c>
      <c r="D23" s="4" t="e">
        <f>#REF!</f>
        <v>#REF!</v>
      </c>
      <c r="E23" s="136" t="e">
        <f>#REF!</f>
        <v>#REF!</v>
      </c>
      <c r="F23" s="135" t="e">
        <f>#REF!</f>
        <v>#REF!</v>
      </c>
      <c r="G23" s="105" t="e">
        <f>#REF!</f>
        <v>#REF!</v>
      </c>
      <c r="H23" s="42" t="e">
        <f>#REF!</f>
        <v>#REF!</v>
      </c>
      <c r="I23" s="145" t="e">
        <f>#REF!</f>
        <v>#REF!</v>
      </c>
      <c r="J23" s="136" t="e">
        <f>#REF!</f>
        <v>#REF!</v>
      </c>
      <c r="K23" s="144" t="e">
        <f>#REF!</f>
        <v>#REF!</v>
      </c>
      <c r="L23" s="152" t="e">
        <f>#REF!</f>
        <v>#REF!</v>
      </c>
    </row>
    <row r="24" spans="1:13">
      <c r="A24" s="270" t="e">
        <f>#REF!</f>
        <v>#REF!</v>
      </c>
      <c r="B24" s="1" t="e">
        <f>#REF!</f>
        <v>#REF!</v>
      </c>
      <c r="C24" s="1" t="e">
        <f>#REF!</f>
        <v>#REF!</v>
      </c>
      <c r="D24" s="1" t="e">
        <f>#REF!</f>
        <v>#REF!</v>
      </c>
      <c r="E24" s="136" t="e">
        <f>#REF!</f>
        <v>#REF!</v>
      </c>
      <c r="F24" s="135" t="e">
        <f>#REF!</f>
        <v>#REF!</v>
      </c>
      <c r="G24" s="141" t="e">
        <f>#REF!</f>
        <v>#REF!</v>
      </c>
      <c r="H24" s="278" t="e">
        <f>#REF!</f>
        <v>#REF!</v>
      </c>
      <c r="I24" s="143" t="e">
        <f>#REF!</f>
        <v>#REF!</v>
      </c>
      <c r="J24" s="136" t="e">
        <f>#REF!</f>
        <v>#REF!</v>
      </c>
      <c r="K24" s="149" t="e">
        <f>#REF!</f>
        <v>#REF!</v>
      </c>
      <c r="L24" s="152" t="e">
        <f>#REF!</f>
        <v>#REF!</v>
      </c>
    </row>
    <row r="25" spans="1:13">
      <c r="A25" s="3" t="e">
        <f>#REF!</f>
        <v>#REF!</v>
      </c>
      <c r="B25" s="1" t="e">
        <f>#REF!</f>
        <v>#REF!</v>
      </c>
      <c r="C25" s="1" t="e">
        <f>#REF!</f>
        <v>#REF!</v>
      </c>
      <c r="D25" s="1" t="e">
        <f>#REF!</f>
        <v>#REF!</v>
      </c>
      <c r="E25" s="136" t="e">
        <f>#REF!</f>
        <v>#REF!</v>
      </c>
      <c r="F25" s="135" t="e">
        <f>#REF!</f>
        <v>#REF!</v>
      </c>
      <c r="G25" s="141" t="e">
        <f>#REF!</f>
        <v>#REF!</v>
      </c>
      <c r="H25" s="42" t="e">
        <f>#REF!</f>
        <v>#REF!</v>
      </c>
      <c r="I25" s="144" t="e">
        <f>#REF!</f>
        <v>#REF!</v>
      </c>
      <c r="J25" s="136" t="e">
        <f>#REF!</f>
        <v>#REF!</v>
      </c>
      <c r="K25" s="144" t="e">
        <f>#REF!</f>
        <v>#REF!</v>
      </c>
      <c r="L25" s="154" t="e">
        <f>#REF!</f>
        <v>#REF!</v>
      </c>
    </row>
    <row r="26" spans="1:13" ht="15" thickBot="1">
      <c r="A26" s="3"/>
      <c r="B26" s="1"/>
      <c r="C26" s="1" t="e">
        <f>#REF!</f>
        <v>#REF!</v>
      </c>
      <c r="D26" s="1" t="e">
        <f>#REF!</f>
        <v>#REF!</v>
      </c>
      <c r="E26" s="136" t="e">
        <f>#REF!</f>
        <v>#REF!</v>
      </c>
      <c r="F26" s="135" t="e">
        <f>#REF!</f>
        <v>#REF!</v>
      </c>
      <c r="G26" s="141" t="e">
        <f>#REF!</f>
        <v>#REF!</v>
      </c>
      <c r="H26" s="42" t="e">
        <f>#REF!</f>
        <v>#REF!</v>
      </c>
      <c r="I26" s="145" t="e">
        <f>#REF!</f>
        <v>#REF!</v>
      </c>
      <c r="J26" s="136" t="e">
        <f>#REF!</f>
        <v>#REF!</v>
      </c>
      <c r="K26" s="144" t="e">
        <f>#REF!</f>
        <v>#REF!</v>
      </c>
      <c r="L26" s="154" t="e">
        <f>#REF!</f>
        <v>#REF!</v>
      </c>
    </row>
    <row r="27" spans="1:13">
      <c r="A27" s="222" t="e">
        <f>#REF!</f>
        <v>#REF!</v>
      </c>
      <c r="B27" s="249" t="e">
        <f>#REF!</f>
        <v>#REF!</v>
      </c>
      <c r="C27" s="215" t="e">
        <f>#REF!</f>
        <v>#REF!</v>
      </c>
      <c r="D27" s="215" t="e">
        <f>#REF!</f>
        <v>#REF!</v>
      </c>
      <c r="E27" s="261" t="e">
        <f>#REF!</f>
        <v>#REF!</v>
      </c>
      <c r="F27" s="169" t="e">
        <f>#REF!</f>
        <v>#REF!</v>
      </c>
      <c r="G27" s="216" t="e">
        <f>#REF!</f>
        <v>#REF!</v>
      </c>
      <c r="H27" s="280" t="e">
        <f>#REF!</f>
        <v>#REF!</v>
      </c>
      <c r="I27" s="233" t="e">
        <f>#REF!</f>
        <v>#REF!</v>
      </c>
      <c r="J27" s="171" t="e">
        <f>#REF!</f>
        <v>#REF!</v>
      </c>
      <c r="K27" s="262" t="e">
        <f>#REF!</f>
        <v>#REF!</v>
      </c>
      <c r="L27" s="217" t="e">
        <f>#REF!</f>
        <v>#REF!</v>
      </c>
      <c r="M27" t="s">
        <v>469</v>
      </c>
    </row>
    <row r="28" spans="1:13" ht="15" thickBot="1">
      <c r="A28" s="218"/>
      <c r="B28" s="219"/>
      <c r="C28" s="219" t="e">
        <f>#REF!</f>
        <v>#REF!</v>
      </c>
      <c r="D28" s="219" t="e">
        <f>#REF!</f>
        <v>#REF!</v>
      </c>
      <c r="E28" s="263" t="e">
        <f>#REF!</f>
        <v>#REF!</v>
      </c>
      <c r="F28" s="176" t="e">
        <f>#REF!</f>
        <v>#REF!</v>
      </c>
      <c r="G28" s="220" t="e">
        <f>#REF!</f>
        <v>#REF!</v>
      </c>
      <c r="H28" s="276" t="e">
        <f>#REF!</f>
        <v>#REF!</v>
      </c>
      <c r="I28" s="205" t="e">
        <f>#REF!</f>
        <v>#REF!</v>
      </c>
      <c r="J28" s="204" t="e">
        <f>#REF!</f>
        <v>#REF!</v>
      </c>
      <c r="K28" s="264" t="e">
        <f>#REF!</f>
        <v>#REF!</v>
      </c>
      <c r="L28" s="221" t="e">
        <f>#REF!</f>
        <v>#REF!</v>
      </c>
    </row>
    <row r="29" spans="1:13">
      <c r="A29" t="e">
        <f>#REF!</f>
        <v>#REF!</v>
      </c>
      <c r="B29" s="2" t="e">
        <f>#REF!</f>
        <v>#REF!</v>
      </c>
      <c r="C29" s="2" t="e">
        <f>#REF!</f>
        <v>#REF!</v>
      </c>
      <c r="D29" s="2" t="e">
        <f>#REF!</f>
        <v>#REF!</v>
      </c>
      <c r="E29" s="158" t="e">
        <f>#REF!</f>
        <v>#REF!</v>
      </c>
      <c r="F29" s="158" t="e">
        <f>#REF!</f>
        <v>#REF!</v>
      </c>
      <c r="G29" s="105" t="e">
        <f>#REF!</f>
        <v>#REF!</v>
      </c>
      <c r="H29" s="42" t="e">
        <f>#REF!</f>
        <v>#REF!</v>
      </c>
      <c r="I29" s="116" t="e">
        <f>#REF!</f>
        <v>#REF!</v>
      </c>
      <c r="J29" s="3"/>
      <c r="K29" s="150" t="e">
        <f>#REF!</f>
        <v>#REF!</v>
      </c>
      <c r="L29" s="152" t="e">
        <f>#REF!</f>
        <v>#REF!</v>
      </c>
    </row>
    <row r="30" spans="1:13">
      <c r="A30" s="8">
        <v>12</v>
      </c>
      <c r="B30" s="2"/>
      <c r="C30" s="2" t="e">
        <f>#REF!</f>
        <v>#REF!</v>
      </c>
      <c r="D30" s="2" t="e">
        <f>#REF!</f>
        <v>#REF!</v>
      </c>
      <c r="E30" s="158" t="e">
        <f>#REF!</f>
        <v>#REF!</v>
      </c>
      <c r="F30" s="158" t="e">
        <f>#REF!</f>
        <v>#REF!</v>
      </c>
      <c r="G30" s="105" t="e">
        <f>#REF!</f>
        <v>#REF!</v>
      </c>
      <c r="H30" s="42" t="e">
        <f>#REF!</f>
        <v>#REF!</v>
      </c>
      <c r="I30" s="145" t="e">
        <f>#REF!</f>
        <v>#REF!</v>
      </c>
      <c r="J30" s="136" t="e">
        <f>#REF!</f>
        <v>#REF!</v>
      </c>
      <c r="K30" s="111" t="e">
        <f>#REF!</f>
        <v>#REF!</v>
      </c>
      <c r="L30" s="152" t="e">
        <f>#REF!</f>
        <v>#REF!</v>
      </c>
    </row>
    <row r="31" spans="1:13">
      <c r="A31" s="3" t="e">
        <f>#REF!</f>
        <v>#REF!</v>
      </c>
      <c r="B31" s="1" t="e">
        <f>#REF!</f>
        <v>#REF!</v>
      </c>
      <c r="C31" s="1" t="e">
        <f>#REF!</f>
        <v>#REF!</v>
      </c>
      <c r="D31" s="1" t="e">
        <f>#REF!</f>
        <v>#REF!</v>
      </c>
      <c r="E31" s="136" t="e">
        <f>#REF!</f>
        <v>#REF!</v>
      </c>
      <c r="F31" s="135" t="e">
        <f>#REF!</f>
        <v>#REF!</v>
      </c>
      <c r="G31" s="141" t="e">
        <f>#REF!</f>
        <v>#REF!</v>
      </c>
      <c r="H31" s="42" t="e">
        <f>#REF!</f>
        <v>#REF!</v>
      </c>
      <c r="I31" s="116" t="e">
        <f>#REF!</f>
        <v>#REF!</v>
      </c>
      <c r="J31" s="110" t="e">
        <f>#REF!</f>
        <v>#REF!</v>
      </c>
      <c r="K31" s="145" t="e">
        <f>#REF!</f>
        <v>#REF!</v>
      </c>
      <c r="L31" s="151" t="e">
        <f>#REF!</f>
        <v>#REF!</v>
      </c>
    </row>
    <row r="32" spans="1:13">
      <c r="A32" s="267" t="s">
        <v>27</v>
      </c>
      <c r="B32" s="1"/>
      <c r="C32" s="5" t="e">
        <f>#REF!</f>
        <v>#REF!</v>
      </c>
      <c r="D32" s="1" t="e">
        <f>#REF!</f>
        <v>#REF!</v>
      </c>
      <c r="E32" s="136" t="e">
        <f>#REF!</f>
        <v>#REF!</v>
      </c>
      <c r="F32" s="135" t="e">
        <f>#REF!</f>
        <v>#REF!</v>
      </c>
      <c r="G32" s="141" t="e">
        <f>#REF!</f>
        <v>#REF!</v>
      </c>
      <c r="H32" s="42" t="e">
        <f>#REF!</f>
        <v>#REF!</v>
      </c>
      <c r="I32" s="145" t="e">
        <f>#REF!</f>
        <v>#REF!</v>
      </c>
      <c r="J32" s="136" t="e">
        <f>#REF!</f>
        <v>#REF!</v>
      </c>
      <c r="K32" s="145" t="e">
        <f>#REF!</f>
        <v>#REF!</v>
      </c>
      <c r="L32" s="42" t="e">
        <f>#REF!</f>
        <v>#REF!</v>
      </c>
    </row>
    <row r="33" spans="1:13">
      <c r="A33" s="166" t="e">
        <f>#REF!</f>
        <v>#REF!</v>
      </c>
      <c r="B33" s="1" t="e">
        <f>#REF!</f>
        <v>#REF!</v>
      </c>
      <c r="C33" s="1" t="e">
        <f>#REF!</f>
        <v>#REF!</v>
      </c>
      <c r="D33" s="1" t="e">
        <f>#REF!</f>
        <v>#REF!</v>
      </c>
      <c r="E33" s="136" t="e">
        <f>#REF!</f>
        <v>#REF!</v>
      </c>
      <c r="F33" s="135" t="e">
        <f>#REF!</f>
        <v>#REF!</v>
      </c>
      <c r="G33" s="141" t="e">
        <f>#REF!</f>
        <v>#REF!</v>
      </c>
      <c r="H33" s="42" t="e">
        <f>#REF!</f>
        <v>#REF!</v>
      </c>
      <c r="I33" s="143" t="e">
        <f>#REF!</f>
        <v>#REF!</v>
      </c>
      <c r="J33" s="110" t="e">
        <f>#REF!</f>
        <v>#REF!</v>
      </c>
      <c r="K33" s="145" t="e">
        <f>#REF!</f>
        <v>#REF!</v>
      </c>
      <c r="L33" s="151" t="e">
        <f>#REF!</f>
        <v>#REF!</v>
      </c>
    </row>
    <row r="34" spans="1:13" ht="15" thickBot="1">
      <c r="A34" s="267" t="s">
        <v>29</v>
      </c>
      <c r="B34" s="1"/>
      <c r="C34" s="5" t="e">
        <f>#REF!</f>
        <v>#REF!</v>
      </c>
      <c r="D34" s="1" t="e">
        <f>#REF!</f>
        <v>#REF!</v>
      </c>
      <c r="E34" s="136" t="e">
        <f>#REF!</f>
        <v>#REF!</v>
      </c>
      <c r="F34" s="135" t="e">
        <f>#REF!</f>
        <v>#REF!</v>
      </c>
      <c r="G34" s="141" t="e">
        <f>#REF!</f>
        <v>#REF!</v>
      </c>
      <c r="H34" s="42" t="e">
        <f>#REF!</f>
        <v>#REF!</v>
      </c>
      <c r="I34" s="145" t="e">
        <f>#REF!</f>
        <v>#REF!</v>
      </c>
      <c r="J34" s="136" t="e">
        <f>#REF!</f>
        <v>#REF!</v>
      </c>
      <c r="K34" s="145" t="e">
        <f>#REF!</f>
        <v>#REF!</v>
      </c>
      <c r="L34" s="42" t="e">
        <f>#REF!</f>
        <v>#REF!</v>
      </c>
    </row>
    <row r="35" spans="1:13">
      <c r="A35" s="167" t="e">
        <f>#REF!</f>
        <v>#REF!</v>
      </c>
      <c r="B35" s="244" t="e">
        <f>#REF!</f>
        <v>#REF!</v>
      </c>
      <c r="C35" s="242" t="e">
        <f>#REF!</f>
        <v>#REF!</v>
      </c>
      <c r="D35" s="242" t="e">
        <f>#REF!</f>
        <v>#REF!</v>
      </c>
      <c r="E35" s="171" t="e">
        <f>#REF!</f>
        <v>#REF!</v>
      </c>
      <c r="F35" s="169" t="e">
        <f>#REF!</f>
        <v>#REF!</v>
      </c>
      <c r="G35" s="170" t="e">
        <f>#REF!</f>
        <v>#REF!</v>
      </c>
      <c r="H35" s="275" t="e">
        <f>#REF!</f>
        <v>#REF!</v>
      </c>
      <c r="I35" s="195" t="e">
        <f>#REF!</f>
        <v>#REF!</v>
      </c>
      <c r="J35" s="234" t="e">
        <f>#REF!</f>
        <v>#REF!</v>
      </c>
      <c r="K35" s="194" t="e">
        <f>#REF!</f>
        <v>#REF!</v>
      </c>
      <c r="L35" s="235" t="e">
        <f>#REF!</f>
        <v>#REF!</v>
      </c>
      <c r="M35" t="s">
        <v>469</v>
      </c>
    </row>
    <row r="36" spans="1:13">
      <c r="A36" s="273">
        <v>14</v>
      </c>
      <c r="C36" s="5" t="e">
        <f>#REF!</f>
        <v>#REF!</v>
      </c>
      <c r="D36" s="1" t="e">
        <f>#REF!</f>
        <v>#REF!</v>
      </c>
      <c r="E36" s="136" t="e">
        <f>#REF!</f>
        <v>#REF!</v>
      </c>
      <c r="F36" s="135" t="e">
        <f>#REF!</f>
        <v>#REF!</v>
      </c>
      <c r="G36" s="141" t="e">
        <f>#REF!</f>
        <v>#REF!</v>
      </c>
      <c r="H36" s="42" t="e">
        <f>#REF!</f>
        <v>#REF!</v>
      </c>
      <c r="I36" s="145" t="e">
        <f>#REF!</f>
        <v>#REF!</v>
      </c>
      <c r="J36" s="136" t="e">
        <f>#REF!</f>
        <v>#REF!</v>
      </c>
      <c r="K36" s="145" t="e">
        <f>#REF!</f>
        <v>#REF!</v>
      </c>
      <c r="L36" s="243" t="e">
        <f>#REF!</f>
        <v>#REF!</v>
      </c>
    </row>
    <row r="37" spans="1:13" ht="15" thickBot="1">
      <c r="A37" s="274">
        <v>14</v>
      </c>
      <c r="B37" s="66"/>
      <c r="C37" s="224" t="e">
        <f>#REF!</f>
        <v>#REF!</v>
      </c>
      <c r="D37" s="175" t="e">
        <f>#REF!</f>
        <v>#REF!</v>
      </c>
      <c r="E37" s="204" t="e">
        <f>#REF!</f>
        <v>#REF!</v>
      </c>
      <c r="F37" s="176" t="e">
        <f>#REF!</f>
        <v>#REF!</v>
      </c>
      <c r="G37" s="177" t="e">
        <f>#REF!</f>
        <v>#REF!</v>
      </c>
      <c r="H37" s="276" t="e">
        <f>#REF!</f>
        <v>#REF!</v>
      </c>
      <c r="I37" s="199" t="e">
        <f>#REF!</f>
        <v>#REF!</v>
      </c>
      <c r="J37" s="204" t="e">
        <f>#REF!</f>
        <v>#REF!</v>
      </c>
      <c r="K37" s="199" t="e">
        <f>#REF!</f>
        <v>#REF!</v>
      </c>
      <c r="L37" s="202" t="e">
        <f>#REF!</f>
        <v>#REF!</v>
      </c>
    </row>
    <row r="39" spans="1:13">
      <c r="E39" s="160" t="s">
        <v>457</v>
      </c>
      <c r="F39" s="160" t="s">
        <v>458</v>
      </c>
      <c r="G39" s="160" t="s">
        <v>446</v>
      </c>
      <c r="H39" s="160"/>
      <c r="I39" s="160" t="s">
        <v>449</v>
      </c>
      <c r="J39" s="160" t="s">
        <v>73</v>
      </c>
      <c r="K39" s="160" t="s">
        <v>446</v>
      </c>
      <c r="L39" s="160" t="s">
        <v>447</v>
      </c>
    </row>
    <row r="40" spans="1:13">
      <c r="E40" s="161"/>
      <c r="F40" s="161"/>
      <c r="G40" s="161" t="s">
        <v>447</v>
      </c>
      <c r="H40" s="161"/>
      <c r="I40" s="161" t="s">
        <v>446</v>
      </c>
      <c r="J40" s="161" t="s">
        <v>40</v>
      </c>
      <c r="K40" s="161" t="s">
        <v>451</v>
      </c>
      <c r="L40" s="161" t="s">
        <v>453</v>
      </c>
    </row>
    <row r="41" spans="1:13">
      <c r="E41" s="162"/>
      <c r="F41" s="162"/>
      <c r="G41" s="162" t="s">
        <v>448</v>
      </c>
      <c r="H41" s="162"/>
      <c r="I41" s="162" t="s">
        <v>447</v>
      </c>
      <c r="J41" s="162" t="s">
        <v>74</v>
      </c>
      <c r="K41" s="162" t="s">
        <v>450</v>
      </c>
      <c r="L41" s="162" t="s">
        <v>454</v>
      </c>
    </row>
    <row r="42" spans="1:13">
      <c r="E42" s="113"/>
      <c r="F42" s="113"/>
      <c r="G42" s="113"/>
      <c r="H42" s="113"/>
      <c r="I42" s="163" t="s">
        <v>448</v>
      </c>
      <c r="J42" s="113"/>
      <c r="K42" s="163" t="s">
        <v>452</v>
      </c>
      <c r="L42" s="113"/>
    </row>
  </sheetData>
  <mergeCells count="2">
    <mergeCell ref="E1:F1"/>
    <mergeCell ref="E2:F2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94FF-AB11-446A-B6E5-390F5A284992}">
  <sheetPr codeName="Tabelle23">
    <tabColor theme="7"/>
  </sheetPr>
  <dimension ref="B1:N53"/>
  <sheetViews>
    <sheetView topLeftCell="B1" workbookViewId="0">
      <selection activeCell="J18" sqref="J18"/>
    </sheetView>
  </sheetViews>
  <sheetFormatPr baseColWidth="10" defaultColWidth="11.453125" defaultRowHeight="14.5"/>
  <cols>
    <col min="1" max="1" width="5.7265625" customWidth="1"/>
    <col min="2" max="2" width="6.26953125" customWidth="1"/>
    <col min="3" max="3" width="47" customWidth="1"/>
    <col min="4" max="5" width="8.81640625" customWidth="1"/>
    <col min="6" max="7" width="6.7265625" style="30" customWidth="1"/>
    <col min="8" max="9" width="5.81640625" customWidth="1"/>
    <col min="10" max="12" width="20.54296875" customWidth="1"/>
  </cols>
  <sheetData>
    <row r="1" spans="2:14">
      <c r="J1" s="4" t="s">
        <v>773</v>
      </c>
      <c r="K1" s="2" t="s">
        <v>772</v>
      </c>
    </row>
    <row r="2" spans="2:14">
      <c r="J2" s="8" t="s">
        <v>771</v>
      </c>
      <c r="K2" s="23" t="s">
        <v>770</v>
      </c>
    </row>
    <row r="3" spans="2:14" ht="15" customHeight="1">
      <c r="D3" s="1082" t="s">
        <v>769</v>
      </c>
      <c r="E3" s="1082"/>
      <c r="F3" s="1082" t="s">
        <v>768</v>
      </c>
      <c r="G3" s="1082"/>
    </row>
    <row r="4" spans="2:14">
      <c r="B4" s="34" t="s">
        <v>0</v>
      </c>
      <c r="C4" s="34" t="s">
        <v>1</v>
      </c>
      <c r="D4" s="311" t="s">
        <v>108</v>
      </c>
      <c r="E4" s="311" t="s">
        <v>109</v>
      </c>
      <c r="F4" s="311" t="s">
        <v>767</v>
      </c>
      <c r="G4" s="311" t="s">
        <v>766</v>
      </c>
      <c r="H4" s="34" t="s">
        <v>765</v>
      </c>
      <c r="I4" s="34" t="s">
        <v>764</v>
      </c>
      <c r="J4" s="34" t="s">
        <v>763</v>
      </c>
      <c r="K4" s="34" t="s">
        <v>762</v>
      </c>
      <c r="L4" s="34" t="s">
        <v>761</v>
      </c>
      <c r="M4" s="1083" t="s">
        <v>760</v>
      </c>
      <c r="N4" s="1083"/>
    </row>
    <row r="5" spans="2:14">
      <c r="B5">
        <v>1</v>
      </c>
      <c r="C5" s="1" t="s">
        <v>2</v>
      </c>
      <c r="D5" s="400">
        <v>9</v>
      </c>
      <c r="E5" s="400">
        <v>6</v>
      </c>
      <c r="F5" s="361">
        <v>9</v>
      </c>
      <c r="G5" s="398"/>
      <c r="H5">
        <v>9</v>
      </c>
      <c r="I5">
        <v>6</v>
      </c>
      <c r="J5" t="s">
        <v>754</v>
      </c>
      <c r="L5" t="s">
        <v>754</v>
      </c>
    </row>
    <row r="6" spans="2:14">
      <c r="B6">
        <v>2</v>
      </c>
      <c r="C6" s="1" t="s">
        <v>3</v>
      </c>
      <c r="D6" s="400">
        <v>9</v>
      </c>
      <c r="E6" s="400">
        <v>6</v>
      </c>
      <c r="F6" s="361">
        <v>9</v>
      </c>
      <c r="G6" s="398" t="s">
        <v>759</v>
      </c>
      <c r="H6">
        <v>9</v>
      </c>
      <c r="I6">
        <v>5</v>
      </c>
      <c r="J6" t="s">
        <v>758</v>
      </c>
      <c r="K6" t="s">
        <v>757</v>
      </c>
      <c r="L6" t="s">
        <v>756</v>
      </c>
    </row>
    <row r="7" spans="2:14">
      <c r="B7">
        <v>3</v>
      </c>
      <c r="C7" s="1" t="s">
        <v>4</v>
      </c>
      <c r="D7" s="400"/>
      <c r="E7" s="400"/>
      <c r="F7" s="399"/>
      <c r="G7" s="398"/>
      <c r="H7" s="3" t="s">
        <v>35</v>
      </c>
      <c r="I7">
        <v>1</v>
      </c>
      <c r="J7" t="s">
        <v>755</v>
      </c>
      <c r="L7" t="s">
        <v>755</v>
      </c>
    </row>
    <row r="8" spans="2:14">
      <c r="B8">
        <v>4</v>
      </c>
      <c r="C8" s="1" t="s">
        <v>5</v>
      </c>
      <c r="D8" s="400">
        <v>9</v>
      </c>
      <c r="E8" s="400">
        <v>6</v>
      </c>
      <c r="F8" s="399"/>
      <c r="G8" s="398"/>
      <c r="H8" s="3">
        <v>9</v>
      </c>
      <c r="I8">
        <v>6</v>
      </c>
      <c r="J8" t="s">
        <v>754</v>
      </c>
      <c r="L8" t="s">
        <v>754</v>
      </c>
    </row>
    <row r="9" spans="2:14">
      <c r="B9">
        <v>5</v>
      </c>
      <c r="C9" s="1" t="s">
        <v>6</v>
      </c>
      <c r="D9" s="400">
        <v>8</v>
      </c>
      <c r="E9" s="400">
        <v>2</v>
      </c>
      <c r="F9" s="399" t="s">
        <v>461</v>
      </c>
      <c r="G9" s="398" t="s">
        <v>753</v>
      </c>
      <c r="H9" s="3">
        <v>9</v>
      </c>
      <c r="I9">
        <v>3</v>
      </c>
      <c r="J9" t="s">
        <v>752</v>
      </c>
      <c r="K9" t="s">
        <v>751</v>
      </c>
      <c r="L9" t="s">
        <v>750</v>
      </c>
    </row>
    <row r="10" spans="2:14">
      <c r="B10">
        <v>6</v>
      </c>
      <c r="C10" s="2" t="s">
        <v>7</v>
      </c>
      <c r="D10" s="400"/>
      <c r="E10" s="400"/>
      <c r="F10" s="399"/>
      <c r="G10" s="398"/>
      <c r="H10" s="3">
        <v>8</v>
      </c>
      <c r="I10">
        <v>2</v>
      </c>
      <c r="J10" t="s">
        <v>749</v>
      </c>
      <c r="K10" s="8" t="s">
        <v>748</v>
      </c>
      <c r="L10" t="s">
        <v>724</v>
      </c>
    </row>
    <row r="11" spans="2:14">
      <c r="B11">
        <v>7</v>
      </c>
      <c r="C11" s="1" t="s">
        <v>8</v>
      </c>
      <c r="D11" s="400">
        <v>9</v>
      </c>
      <c r="E11" s="400">
        <v>6</v>
      </c>
      <c r="F11" s="361">
        <v>9</v>
      </c>
      <c r="G11" s="398"/>
      <c r="H11">
        <v>9</v>
      </c>
      <c r="I11">
        <v>4</v>
      </c>
      <c r="J11" t="s">
        <v>746</v>
      </c>
      <c r="K11" t="s">
        <v>747</v>
      </c>
      <c r="L11" t="s">
        <v>746</v>
      </c>
    </row>
    <row r="12" spans="2:14">
      <c r="B12" s="3" t="s">
        <v>9</v>
      </c>
      <c r="C12" s="1" t="s">
        <v>10</v>
      </c>
      <c r="D12" s="400">
        <v>8</v>
      </c>
      <c r="E12" s="400">
        <v>2</v>
      </c>
      <c r="F12" s="361">
        <v>8</v>
      </c>
      <c r="G12" s="398" t="s">
        <v>745</v>
      </c>
      <c r="H12" s="3" t="s">
        <v>35</v>
      </c>
      <c r="I12">
        <v>2</v>
      </c>
      <c r="J12" t="s">
        <v>744</v>
      </c>
      <c r="K12" t="s">
        <v>743</v>
      </c>
      <c r="L12" t="s">
        <v>743</v>
      </c>
    </row>
    <row r="13" spans="2:14">
      <c r="B13" s="3" t="s">
        <v>11</v>
      </c>
      <c r="C13" s="2" t="s">
        <v>12</v>
      </c>
      <c r="D13" s="400"/>
      <c r="E13" s="400"/>
      <c r="F13" s="399"/>
      <c r="G13" s="398"/>
      <c r="H13" s="3">
        <v>8</v>
      </c>
      <c r="I13">
        <v>2</v>
      </c>
      <c r="J13" t="s">
        <v>742</v>
      </c>
      <c r="L13" t="s">
        <v>742</v>
      </c>
    </row>
    <row r="14" spans="2:14">
      <c r="B14" s="3" t="s">
        <v>13</v>
      </c>
      <c r="C14" s="4" t="s">
        <v>14</v>
      </c>
      <c r="D14" s="400">
        <v>9</v>
      </c>
      <c r="E14" s="400">
        <v>3</v>
      </c>
      <c r="F14" s="361">
        <v>6</v>
      </c>
      <c r="G14" s="398" t="s">
        <v>741</v>
      </c>
      <c r="H14" s="3">
        <v>8</v>
      </c>
      <c r="I14">
        <v>2</v>
      </c>
      <c r="J14" t="s">
        <v>739</v>
      </c>
      <c r="K14" s="8" t="s">
        <v>740</v>
      </c>
      <c r="L14" t="s">
        <v>739</v>
      </c>
    </row>
    <row r="15" spans="2:14">
      <c r="B15" s="3" t="s">
        <v>15</v>
      </c>
      <c r="C15" s="2" t="s">
        <v>16</v>
      </c>
      <c r="D15" s="400"/>
      <c r="E15" s="400"/>
      <c r="F15" s="399"/>
      <c r="G15" s="398"/>
      <c r="H15" s="3">
        <v>9</v>
      </c>
      <c r="I15">
        <v>3</v>
      </c>
      <c r="J15" t="s">
        <v>738</v>
      </c>
      <c r="L15" t="s">
        <v>738</v>
      </c>
    </row>
    <row r="16" spans="2:14">
      <c r="B16" s="3" t="s">
        <v>17</v>
      </c>
      <c r="C16" s="1" t="s">
        <v>18</v>
      </c>
      <c r="D16" s="400">
        <v>8</v>
      </c>
      <c r="E16" s="361">
        <v>2</v>
      </c>
      <c r="F16" s="399" t="s">
        <v>461</v>
      </c>
      <c r="G16" s="398" t="s">
        <v>737</v>
      </c>
      <c r="H16" s="3">
        <v>8</v>
      </c>
      <c r="I16">
        <v>2</v>
      </c>
      <c r="J16" t="s">
        <v>730</v>
      </c>
      <c r="K16" t="s">
        <v>736</v>
      </c>
      <c r="L16" t="s">
        <v>730</v>
      </c>
    </row>
    <row r="17" spans="2:13">
      <c r="B17" s="3" t="s">
        <v>19</v>
      </c>
      <c r="C17" s="4" t="s">
        <v>20</v>
      </c>
      <c r="D17" s="400">
        <v>9</v>
      </c>
      <c r="E17" s="361">
        <v>3</v>
      </c>
      <c r="F17" s="399" t="s">
        <v>36</v>
      </c>
      <c r="G17" s="398" t="s">
        <v>735</v>
      </c>
      <c r="H17" s="3">
        <v>9</v>
      </c>
      <c r="I17">
        <v>3</v>
      </c>
      <c r="J17" t="s">
        <v>733</v>
      </c>
      <c r="K17" t="s">
        <v>734</v>
      </c>
      <c r="L17" t="s">
        <v>733</v>
      </c>
      <c r="M17" t="s">
        <v>732</v>
      </c>
    </row>
    <row r="18" spans="2:13">
      <c r="B18">
        <v>10</v>
      </c>
      <c r="C18" s="1" t="s">
        <v>21</v>
      </c>
      <c r="D18" s="361">
        <v>8</v>
      </c>
      <c r="E18" s="361">
        <v>2</v>
      </c>
      <c r="F18" s="399" t="s">
        <v>731</v>
      </c>
      <c r="G18" s="398"/>
      <c r="H18" s="3">
        <v>8</v>
      </c>
      <c r="I18">
        <v>2</v>
      </c>
      <c r="J18" t="s">
        <v>730</v>
      </c>
      <c r="L18" t="s">
        <v>730</v>
      </c>
    </row>
    <row r="19" spans="2:13">
      <c r="B19" s="3" t="s">
        <v>22</v>
      </c>
      <c r="C19" s="1" t="s">
        <v>23</v>
      </c>
      <c r="D19" s="361">
        <v>8</v>
      </c>
      <c r="E19" s="361">
        <v>2</v>
      </c>
      <c r="F19" s="399" t="s">
        <v>716</v>
      </c>
      <c r="G19" s="398" t="s">
        <v>729</v>
      </c>
      <c r="H19" s="3" t="s">
        <v>35</v>
      </c>
      <c r="I19">
        <v>1</v>
      </c>
      <c r="J19" t="s">
        <v>727</v>
      </c>
      <c r="K19" t="s">
        <v>728</v>
      </c>
      <c r="L19" t="s">
        <v>727</v>
      </c>
      <c r="M19" t="s">
        <v>726</v>
      </c>
    </row>
    <row r="20" spans="2:13">
      <c r="B20" s="3" t="s">
        <v>24</v>
      </c>
      <c r="C20" s="4" t="s">
        <v>25</v>
      </c>
      <c r="D20" s="361">
        <v>6</v>
      </c>
      <c r="E20" s="361">
        <v>1</v>
      </c>
      <c r="F20" s="399" t="s">
        <v>716</v>
      </c>
      <c r="G20" s="398"/>
      <c r="H20" s="7" t="s">
        <v>36</v>
      </c>
      <c r="I20">
        <v>1</v>
      </c>
      <c r="J20" t="s">
        <v>725</v>
      </c>
      <c r="L20" t="s">
        <v>724</v>
      </c>
    </row>
    <row r="21" spans="2:13">
      <c r="B21">
        <v>12</v>
      </c>
      <c r="C21" s="2" t="s">
        <v>26</v>
      </c>
      <c r="D21" s="400"/>
      <c r="E21" s="400"/>
      <c r="F21" s="399" t="s">
        <v>723</v>
      </c>
      <c r="G21" s="30" t="s">
        <v>722</v>
      </c>
      <c r="H21" s="8">
        <v>9</v>
      </c>
      <c r="I21" s="8">
        <v>3</v>
      </c>
      <c r="J21" s="8" t="s">
        <v>721</v>
      </c>
      <c r="K21" s="8" t="s">
        <v>720</v>
      </c>
      <c r="L21" s="8" t="s">
        <v>720</v>
      </c>
    </row>
    <row r="22" spans="2:13">
      <c r="B22" s="3" t="s">
        <v>27</v>
      </c>
      <c r="C22" s="1" t="s">
        <v>28</v>
      </c>
      <c r="D22" s="400"/>
      <c r="E22" s="400"/>
      <c r="F22" s="361">
        <v>8</v>
      </c>
      <c r="G22" s="398" t="s">
        <v>719</v>
      </c>
      <c r="H22" s="3">
        <v>9</v>
      </c>
      <c r="I22">
        <v>3</v>
      </c>
      <c r="J22" t="s">
        <v>718</v>
      </c>
      <c r="K22" t="s">
        <v>717</v>
      </c>
      <c r="L22" t="s">
        <v>717</v>
      </c>
    </row>
    <row r="23" spans="2:13">
      <c r="B23" s="3" t="s">
        <v>29</v>
      </c>
      <c r="C23" s="1" t="s">
        <v>30</v>
      </c>
      <c r="D23" s="361">
        <v>6</v>
      </c>
      <c r="E23" s="361">
        <v>1</v>
      </c>
      <c r="F23" s="399" t="s">
        <v>716</v>
      </c>
      <c r="G23" s="398" t="s">
        <v>715</v>
      </c>
      <c r="H23" s="3" t="s">
        <v>35</v>
      </c>
      <c r="I23">
        <v>1</v>
      </c>
      <c r="J23" t="s">
        <v>714</v>
      </c>
      <c r="L23" t="s">
        <v>714</v>
      </c>
    </row>
    <row r="24" spans="2:13">
      <c r="B24">
        <v>14</v>
      </c>
      <c r="C24" s="5" t="s">
        <v>31</v>
      </c>
      <c r="D24" s="361">
        <v>4</v>
      </c>
      <c r="E24" s="361">
        <v>1</v>
      </c>
      <c r="F24" s="399" t="s">
        <v>713</v>
      </c>
      <c r="G24" s="398"/>
      <c r="H24" s="3" t="s">
        <v>35</v>
      </c>
      <c r="I24">
        <v>1</v>
      </c>
      <c r="J24" t="s">
        <v>712</v>
      </c>
      <c r="K24" t="s">
        <v>711</v>
      </c>
      <c r="L24" t="s">
        <v>711</v>
      </c>
    </row>
    <row r="25" spans="2:13">
      <c r="C25" s="36" t="s">
        <v>710</v>
      </c>
      <c r="D25" s="36"/>
      <c r="E25" s="36"/>
      <c r="F25" s="399"/>
      <c r="G25" s="398"/>
    </row>
    <row r="26" spans="2:13">
      <c r="C26" s="1" t="s">
        <v>709</v>
      </c>
      <c r="D26" s="1"/>
      <c r="E26" s="1"/>
      <c r="F26" s="399" t="s">
        <v>708</v>
      </c>
      <c r="G26" s="398"/>
      <c r="H26" s="7"/>
    </row>
    <row r="27" spans="2:13">
      <c r="C27" s="1" t="s">
        <v>707</v>
      </c>
      <c r="D27" s="1"/>
      <c r="E27" s="1"/>
      <c r="F27" s="399" t="s">
        <v>36</v>
      </c>
      <c r="G27" s="398"/>
      <c r="H27" s="7"/>
    </row>
    <row r="28" spans="2:13">
      <c r="C28" s="1" t="s">
        <v>706</v>
      </c>
      <c r="D28" s="1"/>
      <c r="E28" s="1"/>
      <c r="F28" s="399" t="s">
        <v>705</v>
      </c>
      <c r="G28" s="398"/>
      <c r="H28" s="7"/>
    </row>
    <row r="29" spans="2:13">
      <c r="C29" s="1" t="s">
        <v>704</v>
      </c>
      <c r="D29" s="1"/>
      <c r="E29" s="1"/>
      <c r="F29" s="361">
        <v>5</v>
      </c>
      <c r="G29" s="398"/>
      <c r="H29" s="7"/>
    </row>
    <row r="30" spans="2:13">
      <c r="C30" s="1" t="s">
        <v>703</v>
      </c>
      <c r="D30" s="1"/>
      <c r="E30" s="1"/>
      <c r="F30" s="399"/>
      <c r="G30" s="398"/>
      <c r="H30" s="7" t="s">
        <v>36</v>
      </c>
      <c r="I30">
        <v>1</v>
      </c>
      <c r="J30" t="s">
        <v>702</v>
      </c>
    </row>
    <row r="31" spans="2:13">
      <c r="C31" s="34" t="s">
        <v>701</v>
      </c>
      <c r="D31" s="34"/>
      <c r="E31" s="34"/>
      <c r="F31" s="399"/>
      <c r="G31" s="398"/>
    </row>
    <row r="32" spans="2:13">
      <c r="C32" s="1" t="s">
        <v>700</v>
      </c>
      <c r="D32" s="1"/>
      <c r="E32" s="1"/>
      <c r="F32" s="399"/>
      <c r="G32" s="398"/>
      <c r="H32" s="23"/>
      <c r="I32" s="23"/>
      <c r="J32" s="1" t="s">
        <v>699</v>
      </c>
    </row>
    <row r="33" spans="3:13">
      <c r="C33" s="1" t="s">
        <v>698</v>
      </c>
      <c r="D33" s="1"/>
      <c r="E33" s="1"/>
      <c r="F33" s="399"/>
      <c r="G33" s="398"/>
      <c r="H33" s="23"/>
      <c r="I33" s="23"/>
      <c r="J33" s="1" t="s">
        <v>697</v>
      </c>
    </row>
    <row r="34" spans="3:13">
      <c r="C34" s="1" t="s">
        <v>696</v>
      </c>
      <c r="D34" s="1"/>
      <c r="E34" s="1"/>
      <c r="F34" s="399"/>
      <c r="G34" s="398"/>
      <c r="H34" s="23"/>
      <c r="I34" s="23"/>
      <c r="J34" s="1" t="s">
        <v>695</v>
      </c>
    </row>
    <row r="35" spans="3:13">
      <c r="C35" s="1" t="s">
        <v>694</v>
      </c>
      <c r="D35" s="1"/>
      <c r="E35" s="1"/>
      <c r="F35" s="399"/>
      <c r="G35" s="398"/>
      <c r="H35" s="23"/>
      <c r="I35" s="23"/>
      <c r="J35" s="1" t="s">
        <v>693</v>
      </c>
    </row>
    <row r="36" spans="3:13">
      <c r="C36" s="1" t="s">
        <v>692</v>
      </c>
      <c r="D36" s="1"/>
      <c r="E36" s="1"/>
      <c r="F36" s="399"/>
      <c r="G36" s="398"/>
      <c r="H36" s="23"/>
      <c r="I36" s="23"/>
      <c r="J36" s="1"/>
    </row>
    <row r="37" spans="3:13">
      <c r="C37" s="1" t="s">
        <v>691</v>
      </c>
      <c r="D37" s="1"/>
      <c r="E37" s="1"/>
      <c r="F37" s="399"/>
      <c r="G37" s="398"/>
      <c r="H37" s="23"/>
      <c r="I37" s="23"/>
      <c r="J37" s="1" t="s">
        <v>690</v>
      </c>
    </row>
    <row r="38" spans="3:13">
      <c r="C38" s="1" t="s">
        <v>689</v>
      </c>
      <c r="D38" s="1"/>
      <c r="E38" s="1"/>
      <c r="F38" s="399"/>
      <c r="G38" s="398"/>
      <c r="H38" s="23"/>
      <c r="I38" s="23"/>
      <c r="J38" s="1" t="s">
        <v>688</v>
      </c>
    </row>
    <row r="39" spans="3:13">
      <c r="C39" s="1" t="s">
        <v>687</v>
      </c>
      <c r="D39" s="1"/>
      <c r="E39" s="1"/>
      <c r="F39" s="399"/>
      <c r="G39" s="398"/>
      <c r="H39" s="23"/>
      <c r="I39" s="23"/>
      <c r="J39" s="1" t="s">
        <v>686</v>
      </c>
    </row>
    <row r="40" spans="3:13">
      <c r="C40" s="1" t="s">
        <v>685</v>
      </c>
      <c r="D40" s="1"/>
      <c r="E40" s="1"/>
      <c r="F40" s="399"/>
      <c r="G40" s="398"/>
      <c r="H40" s="23"/>
      <c r="I40" s="23"/>
      <c r="J40" s="1" t="s">
        <v>684</v>
      </c>
    </row>
    <row r="42" spans="3:13">
      <c r="C42" t="s">
        <v>683</v>
      </c>
      <c r="M42" s="397"/>
    </row>
    <row r="43" spans="3:13">
      <c r="C43" t="s">
        <v>682</v>
      </c>
    </row>
    <row r="44" spans="3:13">
      <c r="C44" t="s">
        <v>681</v>
      </c>
    </row>
    <row r="45" spans="3:13">
      <c r="C45" t="s">
        <v>680</v>
      </c>
    </row>
    <row r="47" spans="3:13">
      <c r="C47" s="164" t="s">
        <v>679</v>
      </c>
      <c r="D47" s="164"/>
      <c r="E47" s="164"/>
      <c r="F47" s="311"/>
      <c r="G47" s="311"/>
      <c r="M47" s="397"/>
    </row>
    <row r="48" spans="3:13">
      <c r="C48" s="1" t="s">
        <v>678</v>
      </c>
      <c r="D48" s="1"/>
      <c r="E48" s="1"/>
    </row>
    <row r="49" spans="3:7">
      <c r="C49" s="1" t="s">
        <v>677</v>
      </c>
      <c r="D49" s="1"/>
      <c r="E49" s="1"/>
    </row>
    <row r="50" spans="3:7">
      <c r="C50" s="1" t="s">
        <v>676</v>
      </c>
      <c r="D50" s="1"/>
      <c r="E50" s="1"/>
    </row>
    <row r="53" spans="3:7">
      <c r="C53" s="36"/>
      <c r="D53" s="36"/>
      <c r="E53" s="36"/>
      <c r="F53" s="311"/>
      <c r="G53" s="311"/>
    </row>
  </sheetData>
  <autoFilter ref="B2:N40" xr:uid="{E9D4CAC2-B9AF-4287-A815-24039B142F33}"/>
  <mergeCells count="3">
    <mergeCell ref="D3:E3"/>
    <mergeCell ref="F3:G3"/>
    <mergeCell ref="M4:N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C904-1D63-43FF-97A2-9324A0453818}">
  <sheetPr codeName="Tabelle25"/>
  <dimension ref="A2:E55"/>
  <sheetViews>
    <sheetView workbookViewId="0">
      <selection activeCell="J18" sqref="J18"/>
    </sheetView>
  </sheetViews>
  <sheetFormatPr baseColWidth="10" defaultRowHeight="14.5"/>
  <cols>
    <col min="2" max="2" width="52.26953125" bestFit="1" customWidth="1"/>
    <col min="3" max="3" width="16.7265625" bestFit="1" customWidth="1"/>
    <col min="4" max="4" width="13.81640625" bestFit="1" customWidth="1"/>
  </cols>
  <sheetData>
    <row r="2" spans="1:5">
      <c r="A2" t="s">
        <v>104</v>
      </c>
      <c r="B2" t="s">
        <v>1</v>
      </c>
      <c r="C2" t="s">
        <v>505</v>
      </c>
      <c r="D2" t="s">
        <v>76</v>
      </c>
      <c r="E2" t="s">
        <v>192</v>
      </c>
    </row>
    <row r="3" spans="1:5">
      <c r="A3">
        <v>3</v>
      </c>
      <c r="B3" t="s">
        <v>4</v>
      </c>
      <c r="C3" s="13">
        <v>0.19</v>
      </c>
      <c r="D3" s="13">
        <v>0.84</v>
      </c>
      <c r="E3" t="s">
        <v>506</v>
      </c>
    </row>
    <row r="4" spans="1:5">
      <c r="A4" s="3" t="s">
        <v>11</v>
      </c>
      <c r="B4" t="s">
        <v>12</v>
      </c>
      <c r="C4" s="309">
        <v>0.30599999999999999</v>
      </c>
      <c r="D4" s="13">
        <v>2.1800000000000002</v>
      </c>
      <c r="E4" t="s">
        <v>507</v>
      </c>
    </row>
    <row r="5" spans="1:5">
      <c r="A5" s="310" t="s">
        <v>15</v>
      </c>
      <c r="B5" t="s">
        <v>16</v>
      </c>
      <c r="C5" s="309">
        <v>0.01</v>
      </c>
      <c r="D5" s="13">
        <v>0.99</v>
      </c>
      <c r="E5" t="s">
        <v>508</v>
      </c>
    </row>
    <row r="6" spans="1:5">
      <c r="A6">
        <v>12</v>
      </c>
      <c r="B6" t="s">
        <v>509</v>
      </c>
      <c r="C6" s="19">
        <v>14.01</v>
      </c>
      <c r="D6" s="13">
        <v>0.6</v>
      </c>
      <c r="E6" t="s">
        <v>510</v>
      </c>
    </row>
    <row r="7" spans="1:5">
      <c r="B7" t="s">
        <v>511</v>
      </c>
    </row>
    <row r="8" spans="1:5">
      <c r="A8">
        <v>6</v>
      </c>
      <c r="B8" t="s">
        <v>234</v>
      </c>
      <c r="C8">
        <v>0.6</v>
      </c>
      <c r="D8" t="s">
        <v>512</v>
      </c>
    </row>
    <row r="9" spans="1:5">
      <c r="A9" s="3" t="s">
        <v>24</v>
      </c>
      <c r="B9" t="s">
        <v>25</v>
      </c>
      <c r="C9">
        <v>0.18</v>
      </c>
      <c r="D9" t="s">
        <v>513</v>
      </c>
    </row>
    <row r="15" spans="1:5">
      <c r="B15" s="88" t="s">
        <v>328</v>
      </c>
      <c r="C15" s="33"/>
      <c r="D15" s="33"/>
    </row>
    <row r="16" spans="1:5">
      <c r="C16" s="34" t="s">
        <v>160</v>
      </c>
    </row>
    <row r="17" spans="1:4">
      <c r="A17">
        <v>7</v>
      </c>
      <c r="B17" s="1" t="s">
        <v>8</v>
      </c>
      <c r="C17">
        <v>0.46200000000000002</v>
      </c>
      <c r="D17" t="s">
        <v>161</v>
      </c>
    </row>
    <row r="18" spans="1:4">
      <c r="C18">
        <v>0.97</v>
      </c>
      <c r="D18" t="s">
        <v>162</v>
      </c>
    </row>
    <row r="19" spans="1:4">
      <c r="C19" s="34">
        <f>1*C17*C18</f>
        <v>0.44813999999999998</v>
      </c>
      <c r="D19" s="34" t="s">
        <v>163</v>
      </c>
    </row>
    <row r="21" spans="1:4">
      <c r="A21" s="3" t="s">
        <v>13</v>
      </c>
      <c r="B21" s="1" t="s">
        <v>14</v>
      </c>
      <c r="C21" s="100">
        <v>7.4499999999999997E-2</v>
      </c>
      <c r="D21" t="s">
        <v>164</v>
      </c>
    </row>
    <row r="22" spans="1:4">
      <c r="C22" s="100">
        <v>5.3900000000000003E-2</v>
      </c>
      <c r="D22" t="s">
        <v>165</v>
      </c>
    </row>
    <row r="23" spans="1:4">
      <c r="C23" s="100">
        <v>1.2281</v>
      </c>
      <c r="D23" t="s">
        <v>166</v>
      </c>
    </row>
    <row r="24" spans="1:4">
      <c r="C24" s="101">
        <v>8.6300000000000002E-2</v>
      </c>
      <c r="D24" s="30" t="s">
        <v>167</v>
      </c>
    </row>
    <row r="25" spans="1:4">
      <c r="C25" s="102">
        <f>1/C21</f>
        <v>13.422818791946309</v>
      </c>
      <c r="D25" s="1" t="s">
        <v>168</v>
      </c>
    </row>
    <row r="26" spans="1:4">
      <c r="C26" s="102">
        <f>1/C23</f>
        <v>0.81426593925576096</v>
      </c>
      <c r="D26" s="1" t="s">
        <v>169</v>
      </c>
    </row>
    <row r="27" spans="1:4">
      <c r="C27" s="102">
        <v>19.899999999999999</v>
      </c>
      <c r="D27" s="1" t="s">
        <v>373</v>
      </c>
    </row>
    <row r="28" spans="1:4">
      <c r="C28" s="103">
        <f>C21*C27</f>
        <v>1.4825499999999998</v>
      </c>
      <c r="D28" s="36" t="s">
        <v>374</v>
      </c>
    </row>
    <row r="29" spans="1:4">
      <c r="C29" s="35"/>
      <c r="D29" s="36"/>
    </row>
    <row r="31" spans="1:4">
      <c r="A31" s="3" t="s">
        <v>11</v>
      </c>
      <c r="B31" s="1" t="s">
        <v>12</v>
      </c>
      <c r="C31">
        <f>C19</f>
        <v>0.44813999999999998</v>
      </c>
      <c r="D31" t="s">
        <v>163</v>
      </c>
    </row>
    <row r="32" spans="1:4">
      <c r="C32">
        <v>0.68300000000000005</v>
      </c>
      <c r="D32" t="s">
        <v>170</v>
      </c>
    </row>
    <row r="33" spans="1:4">
      <c r="C33" s="34">
        <f>C31*C32</f>
        <v>0.30607962</v>
      </c>
      <c r="D33" s="34" t="s">
        <v>171</v>
      </c>
    </row>
    <row r="35" spans="1:4">
      <c r="A35" s="3" t="s">
        <v>19</v>
      </c>
      <c r="B35" s="1" t="s">
        <v>20</v>
      </c>
      <c r="C35">
        <v>5.5E-2</v>
      </c>
      <c r="D35" t="s">
        <v>172</v>
      </c>
    </row>
    <row r="36" spans="1:4">
      <c r="C36">
        <v>1.1998</v>
      </c>
      <c r="D36" t="s">
        <v>173</v>
      </c>
    </row>
    <row r="37" spans="1:4">
      <c r="C37">
        <v>-0.19980000000000001</v>
      </c>
      <c r="D37" t="s">
        <v>174</v>
      </c>
    </row>
    <row r="38" spans="1:4">
      <c r="C38" s="35">
        <f>1/C35</f>
        <v>18.181818181818183</v>
      </c>
      <c r="D38" s="36" t="s">
        <v>175</v>
      </c>
    </row>
    <row r="39" spans="1:4">
      <c r="C39" s="35">
        <f>1/C36</f>
        <v>0.83347224537422904</v>
      </c>
      <c r="D39" s="36" t="s">
        <v>176</v>
      </c>
    </row>
    <row r="41" spans="1:4">
      <c r="A41">
        <v>10</v>
      </c>
      <c r="B41" s="1" t="s">
        <v>21</v>
      </c>
      <c r="C41" s="29">
        <v>1.6553</v>
      </c>
      <c r="D41" s="29" t="s">
        <v>177</v>
      </c>
    </row>
    <row r="42" spans="1:4">
      <c r="C42" s="34">
        <f>1/C41</f>
        <v>0.6041200990756963</v>
      </c>
      <c r="D42" s="34" t="s">
        <v>178</v>
      </c>
    </row>
    <row r="44" spans="1:4">
      <c r="A44" t="s">
        <v>24</v>
      </c>
      <c r="B44" s="1" t="s">
        <v>25</v>
      </c>
      <c r="C44" s="30">
        <v>1.25</v>
      </c>
      <c r="D44" s="30" t="s">
        <v>179</v>
      </c>
    </row>
    <row r="45" spans="1:4">
      <c r="C45" s="30">
        <v>0.24679999999999999</v>
      </c>
      <c r="D45" s="30" t="s">
        <v>180</v>
      </c>
    </row>
    <row r="46" spans="1:4">
      <c r="C46" s="30">
        <v>3.3399999999999999E-2</v>
      </c>
      <c r="D46" s="30" t="s">
        <v>181</v>
      </c>
    </row>
    <row r="47" spans="1:4">
      <c r="C47" s="30">
        <v>4.2998000000000003</v>
      </c>
      <c r="D47" s="30" t="s">
        <v>182</v>
      </c>
    </row>
    <row r="48" spans="1:4">
      <c r="C48" s="30">
        <v>0.74119999999999997</v>
      </c>
      <c r="D48" s="30" t="s">
        <v>183</v>
      </c>
    </row>
    <row r="49" spans="3:4">
      <c r="C49" s="30">
        <v>1.5599999999999999E-2</v>
      </c>
      <c r="D49" s="30" t="s">
        <v>184</v>
      </c>
    </row>
    <row r="50" spans="3:4">
      <c r="C50">
        <v>1.4972000000000001</v>
      </c>
      <c r="D50" t="s">
        <v>185</v>
      </c>
    </row>
    <row r="51" spans="3:4">
      <c r="C51">
        <v>0.34079999999999999</v>
      </c>
      <c r="D51" t="s">
        <v>186</v>
      </c>
    </row>
    <row r="52" spans="3:4">
      <c r="C52">
        <v>4.53E-2</v>
      </c>
      <c r="D52" t="s">
        <v>187</v>
      </c>
    </row>
    <row r="53" spans="3:4">
      <c r="C53" s="30">
        <v>0.32590000000000002</v>
      </c>
      <c r="D53" s="30" t="s">
        <v>188</v>
      </c>
    </row>
    <row r="54" spans="3:4">
      <c r="C54" s="35">
        <f>1/C51</f>
        <v>2.9342723004694835</v>
      </c>
      <c r="D54" s="36" t="s">
        <v>189</v>
      </c>
    </row>
    <row r="55" spans="3:4">
      <c r="C55" s="34">
        <f>1/C50</f>
        <v>0.66791343841838091</v>
      </c>
      <c r="D55" s="34" t="s">
        <v>190</v>
      </c>
    </row>
  </sheetData>
  <pageMargins left="0.7" right="0.7" top="0.78740157499999996" bottom="0.78740157499999996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4BD0-B146-4900-813D-A1AEB696DFDD}">
  <sheetPr codeName="Tabelle26"/>
  <dimension ref="A1:O56"/>
  <sheetViews>
    <sheetView workbookViewId="0">
      <selection activeCell="L29" sqref="L29"/>
    </sheetView>
  </sheetViews>
  <sheetFormatPr baseColWidth="10" defaultRowHeight="14.5"/>
  <sheetData>
    <row r="1" spans="1:10">
      <c r="A1" s="87" t="s">
        <v>514</v>
      </c>
    </row>
    <row r="3" spans="1:10">
      <c r="A3" t="s">
        <v>515</v>
      </c>
    </row>
    <row r="4" spans="1:10">
      <c r="A4" t="s">
        <v>516</v>
      </c>
    </row>
    <row r="6" spans="1:10">
      <c r="B6" s="34">
        <v>1</v>
      </c>
      <c r="C6" s="34" t="s">
        <v>319</v>
      </c>
    </row>
    <row r="7" spans="1:10">
      <c r="B7" s="34">
        <v>1</v>
      </c>
      <c r="C7" s="34" t="s">
        <v>320</v>
      </c>
    </row>
    <row r="8" spans="1:10">
      <c r="B8" s="34">
        <v>2</v>
      </c>
      <c r="C8" s="34" t="s">
        <v>321</v>
      </c>
    </row>
    <row r="10" spans="1:10">
      <c r="A10" s="30" t="s">
        <v>517</v>
      </c>
      <c r="B10" s="30">
        <f>B7/B8</f>
        <v>0.5</v>
      </c>
      <c r="C10" s="30" t="s">
        <v>322</v>
      </c>
      <c r="D10" s="30"/>
      <c r="E10" s="30"/>
    </row>
    <row r="11" spans="1:10">
      <c r="A11" s="30"/>
      <c r="B11" s="30">
        <v>0.38</v>
      </c>
      <c r="C11" s="30" t="s">
        <v>323</v>
      </c>
      <c r="D11" s="30"/>
      <c r="E11" s="30"/>
    </row>
    <row r="12" spans="1:10">
      <c r="A12" s="30"/>
      <c r="B12" s="311">
        <f>B10*B11</f>
        <v>0.19</v>
      </c>
      <c r="C12" s="311" t="s">
        <v>518</v>
      </c>
      <c r="D12" s="30"/>
      <c r="E12" s="30"/>
    </row>
    <row r="13" spans="1:10">
      <c r="A13" s="87" t="s">
        <v>519</v>
      </c>
    </row>
    <row r="14" spans="1:10">
      <c r="J14" t="s">
        <v>520</v>
      </c>
    </row>
    <row r="15" spans="1:10">
      <c r="J15" t="s">
        <v>521</v>
      </c>
    </row>
    <row r="18" spans="10:15">
      <c r="J18" s="8" t="s">
        <v>522</v>
      </c>
    </row>
    <row r="20" spans="10:15">
      <c r="J20">
        <v>50</v>
      </c>
    </row>
    <row r="21" spans="10:15">
      <c r="J21">
        <v>54</v>
      </c>
    </row>
    <row r="22" spans="10:15">
      <c r="J22">
        <v>24.4</v>
      </c>
    </row>
    <row r="23" spans="10:15">
      <c r="J23">
        <v>22</v>
      </c>
    </row>
    <row r="24" spans="10:15">
      <c r="J24">
        <v>21.5</v>
      </c>
    </row>
    <row r="25" spans="10:15">
      <c r="J25">
        <v>21.2</v>
      </c>
    </row>
    <row r="26" spans="10:15">
      <c r="J26">
        <v>54.4</v>
      </c>
      <c r="L26" t="s">
        <v>660</v>
      </c>
      <c r="M26">
        <v>24.7</v>
      </c>
      <c r="N26" t="s">
        <v>662</v>
      </c>
      <c r="O26" t="s">
        <v>661</v>
      </c>
    </row>
    <row r="27" spans="10:15">
      <c r="J27">
        <v>56.5</v>
      </c>
      <c r="L27" t="s">
        <v>665</v>
      </c>
      <c r="M27">
        <f>(340+510)/2/1000</f>
        <v>0.42499999999999999</v>
      </c>
      <c r="N27" t="s">
        <v>663</v>
      </c>
      <c r="O27" t="s">
        <v>664</v>
      </c>
    </row>
    <row r="28" spans="10:15">
      <c r="J28">
        <v>62.3</v>
      </c>
      <c r="L28" t="s">
        <v>673</v>
      </c>
      <c r="M28" s="9">
        <f>M27*M26</f>
        <v>10.497499999999999</v>
      </c>
      <c r="N28" t="s">
        <v>662</v>
      </c>
      <c r="O28" t="s">
        <v>666</v>
      </c>
    </row>
    <row r="29" spans="10:15">
      <c r="J29">
        <v>41.7</v>
      </c>
    </row>
    <row r="30" spans="10:15">
      <c r="J30">
        <v>13</v>
      </c>
    </row>
    <row r="31" spans="10:15">
      <c r="J31">
        <v>27.6</v>
      </c>
    </row>
    <row r="32" spans="10:15">
      <c r="J32">
        <v>38.799999999999997</v>
      </c>
    </row>
    <row r="33" spans="10:10">
      <c r="J33">
        <v>31.9</v>
      </c>
    </row>
    <row r="34" spans="10:10">
      <c r="J34">
        <v>50.9</v>
      </c>
    </row>
    <row r="35" spans="10:10">
      <c r="J35">
        <f>AVERAGE(J20:J34)</f>
        <v>38.013333333333335</v>
      </c>
    </row>
    <row r="56" spans="1:1">
      <c r="A56" s="87" t="s">
        <v>523</v>
      </c>
    </row>
  </sheetData>
  <hyperlinks>
    <hyperlink ref="A1" r:id="rId1" xr:uid="{5F02AB34-EA14-4323-AF6D-33A0BE9D956A}"/>
    <hyperlink ref="A13" r:id="rId2" xr:uid="{CF7B01D7-5B14-4344-B3C9-D1574B5621CC}"/>
    <hyperlink ref="A56" r:id="rId3" xr:uid="{D737542F-ACBF-407D-9FEF-AE6EA3D57881}"/>
  </hyperlinks>
  <pageMargins left="0.7" right="0.7" top="0.78740157499999996" bottom="0.78740157499999996" header="0.3" footer="0.3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A42A-5AAC-466E-8E19-DB9D0B0AF834}">
  <sheetPr codeName="Tabelle27"/>
  <dimension ref="A1:E37"/>
  <sheetViews>
    <sheetView workbookViewId="0">
      <selection activeCell="F35" sqref="F3:F35"/>
    </sheetView>
  </sheetViews>
  <sheetFormatPr baseColWidth="10" defaultRowHeight="14.5"/>
  <sheetData>
    <row r="1" spans="1:5">
      <c r="A1" t="s">
        <v>524</v>
      </c>
    </row>
    <row r="2" spans="1:5">
      <c r="A2">
        <v>52</v>
      </c>
      <c r="B2" t="s">
        <v>525</v>
      </c>
    </row>
    <row r="5" spans="1:5">
      <c r="A5" t="s">
        <v>526</v>
      </c>
    </row>
    <row r="6" spans="1:5">
      <c r="A6">
        <v>0.04</v>
      </c>
      <c r="B6" t="s">
        <v>527</v>
      </c>
      <c r="D6">
        <v>43</v>
      </c>
      <c r="E6" t="s">
        <v>528</v>
      </c>
    </row>
    <row r="7" spans="1:5">
      <c r="A7" s="9">
        <f>1/A6/D6</f>
        <v>0.58139534883720934</v>
      </c>
      <c r="B7" t="s">
        <v>529</v>
      </c>
    </row>
    <row r="9" spans="1:5">
      <c r="A9" t="s">
        <v>530</v>
      </c>
    </row>
    <row r="10" spans="1:5">
      <c r="A10">
        <v>0.6</v>
      </c>
      <c r="B10" t="s">
        <v>529</v>
      </c>
    </row>
    <row r="13" spans="1:5">
      <c r="A13" t="s">
        <v>531</v>
      </c>
    </row>
    <row r="14" spans="1:5">
      <c r="A14" t="s">
        <v>234</v>
      </c>
    </row>
    <row r="15" spans="1:5">
      <c r="A15" t="s">
        <v>532</v>
      </c>
    </row>
    <row r="16" spans="1:5">
      <c r="A16" t="s">
        <v>533</v>
      </c>
    </row>
    <row r="17" spans="1:3">
      <c r="A17" t="s">
        <v>534</v>
      </c>
      <c r="B17">
        <v>675000</v>
      </c>
      <c r="C17" t="s">
        <v>535</v>
      </c>
    </row>
    <row r="18" spans="1:3">
      <c r="A18" t="s">
        <v>90</v>
      </c>
      <c r="B18">
        <v>797</v>
      </c>
      <c r="C18" t="s">
        <v>536</v>
      </c>
    </row>
    <row r="19" spans="1:3">
      <c r="B19">
        <v>2869200</v>
      </c>
      <c r="C19" t="s">
        <v>537</v>
      </c>
    </row>
    <row r="20" spans="1:3">
      <c r="B20">
        <f>B17/B19</f>
        <v>0.23525721455457968</v>
      </c>
      <c r="C20" t="s">
        <v>538</v>
      </c>
    </row>
    <row r="21" spans="1:3">
      <c r="A21" t="s">
        <v>90</v>
      </c>
      <c r="B21">
        <v>43.1</v>
      </c>
      <c r="C21" t="s">
        <v>539</v>
      </c>
    </row>
    <row r="22" spans="1:3">
      <c r="B22" s="100">
        <f>1/B20/B21</f>
        <v>9.8623356535189471E-2</v>
      </c>
      <c r="C22" t="s">
        <v>540</v>
      </c>
    </row>
    <row r="24" spans="1:3">
      <c r="A24" t="s">
        <v>541</v>
      </c>
    </row>
    <row r="25" spans="1:3">
      <c r="A25" s="13">
        <v>0.52</v>
      </c>
      <c r="B25" s="87" t="s">
        <v>542</v>
      </c>
    </row>
    <row r="26" spans="1:3">
      <c r="A26" s="13">
        <v>0.65</v>
      </c>
      <c r="B26" s="87" t="s">
        <v>543</v>
      </c>
    </row>
    <row r="27" spans="1:3">
      <c r="A27">
        <v>18.100000000000001</v>
      </c>
      <c r="B27" t="s">
        <v>544</v>
      </c>
      <c r="C27" t="s">
        <v>545</v>
      </c>
    </row>
    <row r="28" spans="1:3">
      <c r="A28" s="19">
        <v>0.61899999999999999</v>
      </c>
      <c r="B28" t="s">
        <v>546</v>
      </c>
      <c r="C28" s="87" t="s">
        <v>547</v>
      </c>
    </row>
    <row r="29" spans="1:3">
      <c r="A29" s="19">
        <f>0.715*0.978*1*1</f>
        <v>0.69926999999999995</v>
      </c>
      <c r="B29" s="87" t="s">
        <v>548</v>
      </c>
    </row>
    <row r="31" spans="1:3">
      <c r="A31" s="23" t="s">
        <v>549</v>
      </c>
      <c r="B31" s="87" t="s">
        <v>550</v>
      </c>
    </row>
    <row r="33" spans="2:3">
      <c r="B33">
        <v>1.06</v>
      </c>
      <c r="C33" t="s">
        <v>551</v>
      </c>
    </row>
    <row r="34" spans="2:3">
      <c r="B34" s="312">
        <f>1/B33</f>
        <v>0.94339622641509424</v>
      </c>
      <c r="C34" t="s">
        <v>552</v>
      </c>
    </row>
    <row r="35" spans="2:3">
      <c r="B35">
        <v>43.1</v>
      </c>
      <c r="C35" t="s">
        <v>553</v>
      </c>
    </row>
    <row r="36" spans="2:3">
      <c r="B36">
        <v>27</v>
      </c>
      <c r="C36" t="s">
        <v>554</v>
      </c>
    </row>
    <row r="37" spans="2:3">
      <c r="B37" s="313">
        <f>1/B35*B36</f>
        <v>0.62645011600928069</v>
      </c>
      <c r="C37" s="34" t="s">
        <v>555</v>
      </c>
    </row>
  </sheetData>
  <hyperlinks>
    <hyperlink ref="B25" r:id="rId1" xr:uid="{C74ABC82-C538-4387-8960-6852D1DFD569}"/>
    <hyperlink ref="B26" r:id="rId2" xr:uid="{871A450E-656C-4F3D-9C2B-ED8F2CA29902}"/>
    <hyperlink ref="C28" r:id="rId3" xr:uid="{84041E6A-4D98-4339-98F4-7E1D437A1984}"/>
    <hyperlink ref="B29" r:id="rId4" tooltip="Persistent link using digital object identifier" xr:uid="{BE9BFA2F-DCC8-45FD-B155-1316C34FD9D7}"/>
    <hyperlink ref="B31" r:id="rId5" xr:uid="{E6A84F9D-42E9-40E1-AED5-2DE50440D6F8}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99EE-85D0-4A46-81A7-F9FC7EBCB2AE}">
  <sheetPr codeName="Tabelle28"/>
  <dimension ref="A2:S19"/>
  <sheetViews>
    <sheetView workbookViewId="0">
      <selection activeCell="F35" sqref="F3:F35"/>
    </sheetView>
  </sheetViews>
  <sheetFormatPr baseColWidth="10" defaultRowHeight="14.5"/>
  <cols>
    <col min="12" max="12" width="13.453125" customWidth="1"/>
  </cols>
  <sheetData>
    <row r="2" spans="1:19">
      <c r="A2" s="87" t="s">
        <v>556</v>
      </c>
    </row>
    <row r="3" spans="1:19">
      <c r="A3" t="s">
        <v>557</v>
      </c>
    </row>
    <row r="4" spans="1:19" ht="16.5">
      <c r="A4" t="s">
        <v>558</v>
      </c>
    </row>
    <row r="7" spans="1:19">
      <c r="L7" t="s">
        <v>50</v>
      </c>
      <c r="M7">
        <v>-103.7</v>
      </c>
      <c r="N7" t="s">
        <v>326</v>
      </c>
      <c r="Q7" t="s">
        <v>559</v>
      </c>
      <c r="R7" s="43" t="s">
        <v>560</v>
      </c>
      <c r="S7" t="s">
        <v>539</v>
      </c>
    </row>
    <row r="8" spans="1:19">
      <c r="L8" t="s">
        <v>561</v>
      </c>
      <c r="M8">
        <v>11.7</v>
      </c>
      <c r="N8" t="s">
        <v>327</v>
      </c>
      <c r="Q8" t="s">
        <v>51</v>
      </c>
      <c r="R8">
        <v>22.7</v>
      </c>
      <c r="S8" t="s">
        <v>539</v>
      </c>
    </row>
    <row r="10" spans="1:19">
      <c r="M10" s="34">
        <f>M7+M8</f>
        <v>-92</v>
      </c>
      <c r="N10" s="34" t="s">
        <v>327</v>
      </c>
    </row>
    <row r="18" spans="12:13">
      <c r="L18" s="34" t="s">
        <v>562</v>
      </c>
    </row>
    <row r="19" spans="12:13">
      <c r="L19">
        <v>11.7</v>
      </c>
      <c r="M19" t="s">
        <v>327</v>
      </c>
    </row>
  </sheetData>
  <hyperlinks>
    <hyperlink ref="A2" r:id="rId1" xr:uid="{2A2E0C12-9F28-4C71-9461-C90108E974DB}"/>
  </hyperlinks>
  <pageMargins left="0.7" right="0.7" top="0.78740157499999996" bottom="0.78740157499999996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86D6-260A-49B5-8695-DF2516625DB0}">
  <sheetPr codeName="Tabelle29"/>
  <dimension ref="A1:P13"/>
  <sheetViews>
    <sheetView topLeftCell="A13" workbookViewId="0">
      <selection activeCell="D40" sqref="D40"/>
    </sheetView>
  </sheetViews>
  <sheetFormatPr baseColWidth="10" defaultRowHeight="14.5"/>
  <cols>
    <col min="14" max="14" width="13.81640625" customWidth="1"/>
    <col min="15" max="15" width="14.7265625" bestFit="1" customWidth="1"/>
  </cols>
  <sheetData>
    <row r="1" spans="1:16">
      <c r="A1" s="87" t="s">
        <v>318</v>
      </c>
    </row>
    <row r="2" spans="1:16">
      <c r="N2">
        <v>10</v>
      </c>
      <c r="O2" t="s">
        <v>329</v>
      </c>
    </row>
    <row r="3" spans="1:16">
      <c r="N3">
        <v>1000</v>
      </c>
      <c r="O3" t="s">
        <v>330</v>
      </c>
    </row>
    <row r="5" spans="1:16">
      <c r="N5" s="87" t="s">
        <v>563</v>
      </c>
    </row>
    <row r="6" spans="1:16">
      <c r="N6" s="34" t="s">
        <v>652</v>
      </c>
    </row>
    <row r="7" spans="1:16">
      <c r="N7" t="s">
        <v>564</v>
      </c>
      <c r="O7" s="314">
        <v>24726000</v>
      </c>
      <c r="P7" t="s">
        <v>565</v>
      </c>
    </row>
    <row r="8" spans="1:16">
      <c r="N8" t="s">
        <v>564</v>
      </c>
      <c r="O8" s="315">
        <f>O7*1000</f>
        <v>24726000000</v>
      </c>
      <c r="P8" t="s">
        <v>535</v>
      </c>
    </row>
    <row r="9" spans="1:16">
      <c r="N9" t="s">
        <v>564</v>
      </c>
      <c r="O9" s="315">
        <f>O7/1000000</f>
        <v>24.725999999999999</v>
      </c>
      <c r="P9" t="s">
        <v>566</v>
      </c>
    </row>
    <row r="11" spans="1:16">
      <c r="N11" s="34" t="s">
        <v>505</v>
      </c>
      <c r="O11" s="316">
        <f>N2/N3</f>
        <v>0.01</v>
      </c>
    </row>
    <row r="12" spans="1:16">
      <c r="N12" s="34" t="s">
        <v>76</v>
      </c>
      <c r="O12" s="317">
        <v>0.99</v>
      </c>
      <c r="P12" t="s">
        <v>567</v>
      </c>
    </row>
    <row r="13" spans="1:16">
      <c r="N13" s="34" t="s">
        <v>653</v>
      </c>
      <c r="O13" s="391">
        <f>O9*O11</f>
        <v>0.24726000000000001</v>
      </c>
      <c r="P13" s="34" t="s">
        <v>566</v>
      </c>
    </row>
  </sheetData>
  <hyperlinks>
    <hyperlink ref="A1" r:id="rId1" xr:uid="{3CC55BC4-29D8-4909-B108-7CF753996138}"/>
    <hyperlink ref="N5" r:id="rId2" xr:uid="{4E7D20A5-731F-47C4-81B9-642C9F6C52C1}"/>
  </hyperlinks>
  <pageMargins left="0.7" right="0.7" top="0.78740157499999996" bottom="0.78740157499999996" header="0.3" footer="0.3"/>
  <pageSetup paperSize="9" orientation="portrait" r:id="rId3"/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8DD9-1615-4C10-AA3C-885EBB2070EC}">
  <sheetPr codeName="Tabelle30"/>
  <dimension ref="A1:E19"/>
  <sheetViews>
    <sheetView workbookViewId="0">
      <selection activeCell="D28" sqref="D28"/>
    </sheetView>
  </sheetViews>
  <sheetFormatPr baseColWidth="10" defaultRowHeight="14.5"/>
  <sheetData>
    <row r="1" spans="1:5">
      <c r="A1" t="s">
        <v>568</v>
      </c>
    </row>
    <row r="2" spans="1:5">
      <c r="A2" t="s">
        <v>569</v>
      </c>
    </row>
    <row r="3" spans="1:5">
      <c r="A3" s="9">
        <f>507/1580</f>
        <v>0.32088607594936708</v>
      </c>
      <c r="B3" t="s">
        <v>570</v>
      </c>
      <c r="D3" s="9">
        <f>507/255</f>
        <v>1.9882352941176471</v>
      </c>
      <c r="E3" t="s">
        <v>571</v>
      </c>
    </row>
    <row r="5" spans="1:5">
      <c r="A5" t="s">
        <v>572</v>
      </c>
    </row>
    <row r="6" spans="1:5">
      <c r="A6" t="s">
        <v>573</v>
      </c>
    </row>
    <row r="7" spans="1:5">
      <c r="A7" s="9">
        <f>351/2387</f>
        <v>0.14704650188521157</v>
      </c>
      <c r="B7" t="s">
        <v>570</v>
      </c>
      <c r="D7" s="9">
        <f>351/223</f>
        <v>1.5739910313901346</v>
      </c>
      <c r="E7" t="s">
        <v>571</v>
      </c>
    </row>
    <row r="9" spans="1:5">
      <c r="A9" t="s">
        <v>390</v>
      </c>
    </row>
    <row r="10" spans="1:5">
      <c r="D10">
        <v>1.4972000000000001</v>
      </c>
      <c r="E10" t="s">
        <v>574</v>
      </c>
    </row>
    <row r="11" spans="1:5">
      <c r="D11" s="9">
        <f>1/D10/44*120</f>
        <v>1.8215821047774026</v>
      </c>
      <c r="E11" t="s">
        <v>571</v>
      </c>
    </row>
    <row r="12" spans="1:5">
      <c r="B12" s="1075" t="s">
        <v>500</v>
      </c>
      <c r="C12" s="1075"/>
      <c r="D12" s="1075"/>
    </row>
    <row r="13" spans="1:5">
      <c r="A13" s="305" t="s">
        <v>24</v>
      </c>
      <c r="B13" s="306" t="s">
        <v>427</v>
      </c>
      <c r="C13" s="306">
        <v>0.34079999999999999</v>
      </c>
      <c r="D13" s="307" t="s">
        <v>502</v>
      </c>
    </row>
    <row r="14" spans="1:5">
      <c r="A14" s="305"/>
      <c r="B14" s="306" t="s">
        <v>427</v>
      </c>
      <c r="C14" s="306">
        <v>44</v>
      </c>
      <c r="D14" s="307" t="s">
        <v>419</v>
      </c>
    </row>
    <row r="15" spans="1:5">
      <c r="A15" s="305"/>
      <c r="B15" s="306" t="s">
        <v>427</v>
      </c>
      <c r="C15" s="306"/>
      <c r="D15" s="307"/>
    </row>
    <row r="16" spans="1:5">
      <c r="A16" s="305"/>
      <c r="B16" s="306" t="s">
        <v>427</v>
      </c>
      <c r="C16" s="308">
        <f>1/C13/C14</f>
        <v>6.6688006828851898E-2</v>
      </c>
      <c r="D16" s="307" t="s">
        <v>430</v>
      </c>
    </row>
    <row r="19" spans="1:1">
      <c r="A19" s="36">
        <f>(0.32+0.15+0.07)/3</f>
        <v>0.18000000000000002</v>
      </c>
    </row>
  </sheetData>
  <mergeCells count="1">
    <mergeCell ref="B12:D12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0EA6-7D0E-4544-A60A-379A118D46DE}">
  <sheetPr codeName="Tabelle31"/>
  <dimension ref="A2:F42"/>
  <sheetViews>
    <sheetView workbookViewId="0">
      <selection activeCell="F35" sqref="F3:F35"/>
    </sheetView>
  </sheetViews>
  <sheetFormatPr baseColWidth="10" defaultRowHeight="14.5"/>
  <sheetData>
    <row r="2" spans="1:5">
      <c r="A2" s="87" t="s">
        <v>575</v>
      </c>
    </row>
    <row r="4" spans="1:5">
      <c r="A4" s="318">
        <v>1.33</v>
      </c>
      <c r="B4" s="30" t="s">
        <v>576</v>
      </c>
      <c r="C4" s="30"/>
      <c r="D4" s="318">
        <v>1.33</v>
      </c>
      <c r="E4" s="30" t="s">
        <v>576</v>
      </c>
    </row>
    <row r="5" spans="1:5">
      <c r="A5" s="30">
        <v>7.5</v>
      </c>
      <c r="B5" s="30" t="s">
        <v>577</v>
      </c>
      <c r="C5" s="30"/>
      <c r="D5" s="30">
        <v>29.7</v>
      </c>
      <c r="E5" s="30" t="s">
        <v>539</v>
      </c>
    </row>
    <row r="6" spans="1:5">
      <c r="A6" s="30"/>
      <c r="B6" s="30"/>
      <c r="C6" s="30"/>
      <c r="D6" s="30"/>
      <c r="E6" s="30"/>
    </row>
    <row r="7" spans="1:5">
      <c r="A7" s="319">
        <f>A4/A5</f>
        <v>0.17733333333333334</v>
      </c>
      <c r="B7" s="30" t="s">
        <v>578</v>
      </c>
      <c r="C7" s="30"/>
      <c r="D7" s="319">
        <f>D4/D5</f>
        <v>4.4781144781144783E-2</v>
      </c>
      <c r="E7" s="30" t="s">
        <v>579</v>
      </c>
    </row>
    <row r="8" spans="1:5">
      <c r="A8" s="319">
        <f>A7/3.6</f>
        <v>4.925925925925926E-2</v>
      </c>
      <c r="B8" s="30" t="s">
        <v>579</v>
      </c>
      <c r="C8" s="30"/>
      <c r="D8" s="319"/>
      <c r="E8" s="30"/>
    </row>
    <row r="9" spans="1:5">
      <c r="A9" s="30"/>
      <c r="B9" s="30"/>
      <c r="C9" s="30"/>
      <c r="D9" s="30"/>
      <c r="E9" s="30"/>
    </row>
    <row r="10" spans="1:5">
      <c r="A10" s="319">
        <f>A8*1000</f>
        <v>49.25925925925926</v>
      </c>
      <c r="B10" s="30" t="s">
        <v>195</v>
      </c>
      <c r="C10" s="30"/>
      <c r="D10" s="319">
        <f>D7*1000</f>
        <v>44.781144781144782</v>
      </c>
      <c r="E10" s="30" t="s">
        <v>195</v>
      </c>
    </row>
    <row r="13" spans="1:5">
      <c r="A13" t="s">
        <v>317</v>
      </c>
    </row>
    <row r="14" spans="1:5">
      <c r="A14" t="s">
        <v>580</v>
      </c>
    </row>
    <row r="36" spans="2:6">
      <c r="B36" t="s">
        <v>581</v>
      </c>
    </row>
    <row r="38" spans="2:6">
      <c r="B38" s="34" t="s">
        <v>76</v>
      </c>
      <c r="C38" s="317">
        <v>0.6</v>
      </c>
      <c r="E38">
        <v>2.12</v>
      </c>
      <c r="F38" t="s">
        <v>333</v>
      </c>
    </row>
    <row r="39" spans="2:6">
      <c r="B39" t="s">
        <v>582</v>
      </c>
      <c r="C39">
        <f>2.12*10^3</f>
        <v>2120</v>
      </c>
      <c r="D39" t="s">
        <v>535</v>
      </c>
      <c r="E39" s="312">
        <f>C39/C42</f>
        <v>7.1380471380471378E-2</v>
      </c>
      <c r="F39" t="s">
        <v>334</v>
      </c>
    </row>
    <row r="40" spans="2:6">
      <c r="B40" t="s">
        <v>47</v>
      </c>
      <c r="C40">
        <v>1000</v>
      </c>
      <c r="D40" t="s">
        <v>535</v>
      </c>
      <c r="E40" s="89">
        <f>1/E39</f>
        <v>14.009433962264152</v>
      </c>
      <c r="F40" s="34" t="s">
        <v>335</v>
      </c>
    </row>
    <row r="41" spans="2:6">
      <c r="C41" s="30">
        <v>29.7</v>
      </c>
      <c r="D41" s="30" t="s">
        <v>539</v>
      </c>
    </row>
    <row r="42" spans="2:6">
      <c r="B42" t="s">
        <v>47</v>
      </c>
      <c r="C42">
        <f>C40*C41</f>
        <v>29700</v>
      </c>
      <c r="D42" t="s">
        <v>537</v>
      </c>
    </row>
  </sheetData>
  <hyperlinks>
    <hyperlink ref="A2" r:id="rId1" xr:uid="{EA5EE902-E1CD-4DE4-BF87-30999BB8D554}"/>
  </hyperlinks>
  <pageMargins left="0.7" right="0.7" top="0.78740157499999996" bottom="0.78740157499999996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D3ED-766C-4FC7-808B-6B713D4206E1}">
  <sheetPr codeName="Tabelle32"/>
  <dimension ref="A1:N36"/>
  <sheetViews>
    <sheetView workbookViewId="0">
      <selection activeCell="J18" sqref="J18"/>
    </sheetView>
  </sheetViews>
  <sheetFormatPr baseColWidth="10" defaultRowHeight="14.5"/>
  <cols>
    <col min="8" max="8" width="25.81640625" customWidth="1"/>
    <col min="9" max="9" width="14.7265625" bestFit="1" customWidth="1"/>
    <col min="10" max="10" width="15.7265625" bestFit="1" customWidth="1"/>
  </cols>
  <sheetData>
    <row r="1" spans="1:13">
      <c r="A1" t="s">
        <v>583</v>
      </c>
    </row>
    <row r="2" spans="1:13">
      <c r="H2" s="1084" t="s">
        <v>584</v>
      </c>
      <c r="I2" s="1084"/>
      <c r="J2" s="1084"/>
      <c r="K2" s="1084"/>
      <c r="L2" s="1084"/>
      <c r="M2" s="1084"/>
    </row>
    <row r="3" spans="1:13">
      <c r="H3" s="320" t="s">
        <v>585</v>
      </c>
      <c r="I3" s="321">
        <v>9.7200000000000006</v>
      </c>
      <c r="J3" s="321" t="s">
        <v>355</v>
      </c>
      <c r="K3" s="321"/>
      <c r="L3" s="321"/>
      <c r="M3" s="321"/>
    </row>
    <row r="4" spans="1:13">
      <c r="H4" s="320" t="s">
        <v>586</v>
      </c>
      <c r="I4" s="321">
        <f>1/11.63</f>
        <v>8.5984522785898534E-2</v>
      </c>
      <c r="J4" s="321" t="s">
        <v>587</v>
      </c>
      <c r="K4" s="321"/>
      <c r="L4" s="321"/>
      <c r="M4" s="321"/>
    </row>
    <row r="5" spans="1:13">
      <c r="H5" s="321" t="s">
        <v>588</v>
      </c>
      <c r="I5" s="322">
        <v>1.2</v>
      </c>
      <c r="J5" s="323" t="s">
        <v>375</v>
      </c>
      <c r="K5" s="321"/>
      <c r="L5" s="321"/>
      <c r="M5" s="321"/>
    </row>
    <row r="6" spans="1:13">
      <c r="H6" s="321" t="s">
        <v>589</v>
      </c>
      <c r="I6" s="321" t="s">
        <v>590</v>
      </c>
      <c r="J6" s="321" t="s">
        <v>591</v>
      </c>
      <c r="K6" s="321" t="s">
        <v>592</v>
      </c>
      <c r="L6" s="321" t="s">
        <v>203</v>
      </c>
      <c r="M6" s="321" t="s">
        <v>566</v>
      </c>
    </row>
    <row r="7" spans="1:13">
      <c r="H7" s="321">
        <v>1</v>
      </c>
      <c r="I7" s="324">
        <f>H7*10^9</f>
        <v>1000000000</v>
      </c>
      <c r="J7" s="325">
        <f>I7*I3</f>
        <v>9720000000</v>
      </c>
      <c r="K7" s="326">
        <f>J7/10^9</f>
        <v>9.7200000000000006</v>
      </c>
      <c r="L7" s="327">
        <f>K7*I4</f>
        <v>0.83576956147893378</v>
      </c>
      <c r="M7" s="328">
        <f>L7/I5</f>
        <v>0.69647463456577818</v>
      </c>
    </row>
    <row r="8" spans="1:13">
      <c r="H8" s="321">
        <v>3.5</v>
      </c>
      <c r="I8" s="324">
        <f>H8*10^9</f>
        <v>3500000000</v>
      </c>
      <c r="J8" s="325">
        <f>I8*I3</f>
        <v>34020000000.000004</v>
      </c>
      <c r="K8" s="326">
        <f>J8/10^9</f>
        <v>34.020000000000003</v>
      </c>
      <c r="L8" s="327">
        <f>K8*I4</f>
        <v>2.9251934651762683</v>
      </c>
      <c r="M8" s="329">
        <f>L8/I5</f>
        <v>2.4376612209802238</v>
      </c>
    </row>
    <row r="9" spans="1:13">
      <c r="H9" s="321">
        <v>18</v>
      </c>
      <c r="I9" s="324">
        <f>H9*10^9</f>
        <v>18000000000</v>
      </c>
      <c r="J9" s="325">
        <f>I9*I3</f>
        <v>174960000000</v>
      </c>
      <c r="K9" s="326">
        <f>J9/10^9</f>
        <v>174.96</v>
      </c>
      <c r="L9" s="327">
        <f>K9*I4</f>
        <v>15.043852106620808</v>
      </c>
      <c r="M9" s="329">
        <f>L9/I5</f>
        <v>12.536543422184007</v>
      </c>
    </row>
    <row r="10" spans="1:13">
      <c r="H10" s="321">
        <v>54</v>
      </c>
      <c r="I10" s="324">
        <f>H10*10^9</f>
        <v>54000000000</v>
      </c>
      <c r="J10" s="325">
        <f>I10*I3</f>
        <v>524880000000.00006</v>
      </c>
      <c r="K10" s="326">
        <f>J10/10^9</f>
        <v>524.88000000000011</v>
      </c>
      <c r="L10" s="327">
        <f>K10*I4</f>
        <v>45.131556319862433</v>
      </c>
      <c r="M10" s="329">
        <f>L10/I5</f>
        <v>37.609630266552031</v>
      </c>
    </row>
    <row r="11" spans="1:13">
      <c r="H11" s="321">
        <v>7.5</v>
      </c>
      <c r="I11" s="324">
        <f>H11*10^9</f>
        <v>7500000000</v>
      </c>
      <c r="J11" s="325">
        <f>I11*I3</f>
        <v>72900000000</v>
      </c>
      <c r="K11" s="326">
        <f>J11/10^9</f>
        <v>72.900000000000006</v>
      </c>
      <c r="L11" s="327">
        <f>K11*I4</f>
        <v>6.2682717110920034</v>
      </c>
      <c r="M11" s="329">
        <f>L11/I5</f>
        <v>5.2235597592433365</v>
      </c>
    </row>
    <row r="12" spans="1:13">
      <c r="H12" s="330">
        <f>I12/10^9</f>
        <v>3.8065843621399176</v>
      </c>
      <c r="I12" s="325">
        <f>J12/I3</f>
        <v>3806584362.1399174</v>
      </c>
      <c r="J12" s="325">
        <f>K12*10^9</f>
        <v>37000000000</v>
      </c>
      <c r="K12" s="321">
        <v>37</v>
      </c>
      <c r="L12" s="327">
        <f>K12*I4</f>
        <v>3.1814273430782456</v>
      </c>
      <c r="M12" s="329">
        <f>L12/I5</f>
        <v>2.6511894525652049</v>
      </c>
    </row>
    <row r="13" spans="1:13">
      <c r="H13" s="321"/>
      <c r="I13" s="321"/>
      <c r="J13" s="321"/>
      <c r="K13" s="321">
        <v>100</v>
      </c>
      <c r="L13" s="327">
        <f>K13*I4</f>
        <v>8.5984522785898534</v>
      </c>
      <c r="M13" s="329">
        <f>L13/I5</f>
        <v>7.1653768988248778</v>
      </c>
    </row>
    <row r="14" spans="1:13">
      <c r="H14" s="321"/>
      <c r="I14" s="321"/>
      <c r="J14" s="321"/>
      <c r="K14" s="321">
        <v>570</v>
      </c>
      <c r="L14" s="327">
        <f>K14*I4</f>
        <v>49.011177987962164</v>
      </c>
      <c r="M14" s="329">
        <f>L14/I5</f>
        <v>40.842648323301802</v>
      </c>
    </row>
    <row r="15" spans="1:13">
      <c r="H15" s="321"/>
      <c r="I15" s="321"/>
      <c r="J15" s="321"/>
      <c r="K15" s="396">
        <v>0.3</v>
      </c>
      <c r="L15" s="396">
        <f>K15*I4</f>
        <v>2.579535683576956E-2</v>
      </c>
      <c r="M15" s="396">
        <f>L15/I5</f>
        <v>2.1496130696474634E-2</v>
      </c>
    </row>
    <row r="16" spans="1:13">
      <c r="H16" s="321" t="s">
        <v>593</v>
      </c>
      <c r="I16" s="321"/>
      <c r="J16" s="321"/>
      <c r="K16" s="321"/>
      <c r="L16" s="321"/>
      <c r="M16" s="321"/>
    </row>
    <row r="22" spans="1:14" ht="31.5" customHeight="1">
      <c r="A22" s="1085" t="s">
        <v>594</v>
      </c>
      <c r="B22" s="1085"/>
      <c r="C22" s="1085"/>
      <c r="D22" s="1085"/>
      <c r="E22" s="1085"/>
    </row>
    <row r="23" spans="1:14">
      <c r="A23" s="70"/>
      <c r="B23" s="70" t="s">
        <v>589</v>
      </c>
      <c r="C23" t="s">
        <v>566</v>
      </c>
      <c r="D23" s="70" t="s">
        <v>566</v>
      </c>
    </row>
    <row r="24" spans="1:14">
      <c r="A24" s="70" t="s">
        <v>595</v>
      </c>
      <c r="B24" s="70" t="s">
        <v>596</v>
      </c>
      <c r="C24" t="s">
        <v>597</v>
      </c>
      <c r="D24" s="70" t="s">
        <v>598</v>
      </c>
      <c r="E24" t="s">
        <v>599</v>
      </c>
      <c r="N24" s="331"/>
    </row>
    <row r="25" spans="1:14">
      <c r="A25" s="70">
        <v>2023</v>
      </c>
      <c r="B25" s="70">
        <v>22</v>
      </c>
      <c r="C25">
        <f>B25*0.7</f>
        <v>15.399999999999999</v>
      </c>
      <c r="D25" s="70">
        <v>29</v>
      </c>
      <c r="E25" s="9">
        <f>D25/C25</f>
        <v>1.8831168831168832</v>
      </c>
    </row>
    <row r="26" spans="1:14">
      <c r="A26" s="70">
        <v>2030</v>
      </c>
      <c r="B26" s="70">
        <v>35</v>
      </c>
      <c r="C26">
        <f>B26*0.7</f>
        <v>24.5</v>
      </c>
      <c r="D26" s="70">
        <v>46</v>
      </c>
      <c r="E26" s="9">
        <f>D26/C26</f>
        <v>1.8775510204081634</v>
      </c>
    </row>
    <row r="27" spans="1:14">
      <c r="A27" s="70">
        <v>2050</v>
      </c>
      <c r="B27" s="70">
        <v>165</v>
      </c>
      <c r="C27">
        <f>B27*0.7</f>
        <v>115.49999999999999</v>
      </c>
      <c r="D27" s="70">
        <v>215</v>
      </c>
      <c r="E27" s="9">
        <f>D27/C27</f>
        <v>1.8614718614718617</v>
      </c>
    </row>
    <row r="29" spans="1:14">
      <c r="A29" s="1088" t="s">
        <v>655</v>
      </c>
      <c r="B29" s="1088"/>
      <c r="C29" s="1088"/>
      <c r="D29" s="1088"/>
    </row>
    <row r="30" spans="1:14" ht="30.75" customHeight="1">
      <c r="A30" s="1086" t="s">
        <v>600</v>
      </c>
      <c r="B30" s="1086"/>
      <c r="C30" s="1086"/>
      <c r="D30" s="1086"/>
      <c r="E30" s="1089" t="s">
        <v>656</v>
      </c>
      <c r="F30" s="1089"/>
    </row>
    <row r="31" spans="1:14">
      <c r="A31" s="63"/>
      <c r="B31" s="63" t="s">
        <v>203</v>
      </c>
      <c r="C31" t="s">
        <v>566</v>
      </c>
      <c r="D31" s="72" t="s">
        <v>566</v>
      </c>
      <c r="E31" s="1089" t="s">
        <v>658</v>
      </c>
      <c r="F31" s="1089"/>
    </row>
    <row r="32" spans="1:14">
      <c r="A32" s="63" t="s">
        <v>191</v>
      </c>
      <c r="B32" s="63" t="s">
        <v>601</v>
      </c>
      <c r="C32" t="s">
        <v>601</v>
      </c>
      <c r="D32" s="72" t="s">
        <v>602</v>
      </c>
      <c r="E32" t="s">
        <v>231</v>
      </c>
      <c r="F32" t="s">
        <v>657</v>
      </c>
      <c r="G32" s="394" t="s">
        <v>659</v>
      </c>
    </row>
    <row r="33" spans="1:7">
      <c r="A33" s="63">
        <v>2030</v>
      </c>
      <c r="B33" s="63">
        <v>15</v>
      </c>
      <c r="C33">
        <f>B33/1.2</f>
        <v>12.5</v>
      </c>
      <c r="D33" s="72">
        <f>C33*1.88</f>
        <v>23.5</v>
      </c>
      <c r="E33" s="72">
        <v>4.96</v>
      </c>
      <c r="F33" s="72">
        <v>4.22</v>
      </c>
      <c r="G33" s="393">
        <f>D33+E33+F33</f>
        <v>32.68</v>
      </c>
    </row>
    <row r="34" spans="1:7">
      <c r="A34">
        <v>2040</v>
      </c>
      <c r="C34" s="42"/>
      <c r="D34" s="332">
        <f>D33+0.75*(D35-D33)</f>
        <v>38.1875</v>
      </c>
      <c r="E34" s="392">
        <f t="shared" ref="E34:F34" si="0">E33+0.75*(E35-E33)</f>
        <v>14.147500000000001</v>
      </c>
      <c r="F34" s="392">
        <f t="shared" si="0"/>
        <v>4.13</v>
      </c>
      <c r="G34" s="393">
        <f>D34+E34+F34</f>
        <v>56.465000000000003</v>
      </c>
    </row>
    <row r="35" spans="1:7">
      <c r="A35" s="63">
        <v>2050</v>
      </c>
      <c r="B35" s="63">
        <v>27.5</v>
      </c>
      <c r="C35" s="42">
        <f>B35/1.2</f>
        <v>22.916666666666668</v>
      </c>
      <c r="D35" s="332">
        <f>C35*1.88</f>
        <v>43.083333333333336</v>
      </c>
      <c r="E35" s="72">
        <v>17.21</v>
      </c>
      <c r="F35" s="72">
        <v>4.0999999999999996</v>
      </c>
      <c r="G35" s="393">
        <f>D35+E35+F35</f>
        <v>64.393333333333331</v>
      </c>
    </row>
    <row r="36" spans="1:7" ht="28.5" customHeight="1">
      <c r="A36" s="1087" t="s">
        <v>603</v>
      </c>
      <c r="B36" s="1087"/>
      <c r="C36" s="1087"/>
      <c r="D36" s="1087"/>
    </row>
  </sheetData>
  <mergeCells count="7">
    <mergeCell ref="H2:M2"/>
    <mergeCell ref="A22:E22"/>
    <mergeCell ref="A30:D30"/>
    <mergeCell ref="A36:D36"/>
    <mergeCell ref="A29:D29"/>
    <mergeCell ref="E30:F30"/>
    <mergeCell ref="E31:F3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22CD-B144-4B42-815B-F05637827BDD}">
  <sheetPr codeName="Tabelle33"/>
  <dimension ref="A1:F16"/>
  <sheetViews>
    <sheetView workbookViewId="0">
      <selection activeCell="E23" sqref="E23"/>
    </sheetView>
  </sheetViews>
  <sheetFormatPr baseColWidth="10" defaultRowHeight="14.5"/>
  <cols>
    <col min="1" max="1" width="46.7265625" bestFit="1" customWidth="1"/>
  </cols>
  <sheetData>
    <row r="1" spans="1:6">
      <c r="A1" s="401" t="s">
        <v>779</v>
      </c>
      <c r="B1" s="333"/>
      <c r="C1" s="333" t="s">
        <v>604</v>
      </c>
      <c r="D1" s="333" t="s">
        <v>605</v>
      </c>
      <c r="E1" s="333" t="s">
        <v>606</v>
      </c>
    </row>
    <row r="2" spans="1:6" ht="68.5">
      <c r="A2" s="334" t="s">
        <v>607</v>
      </c>
      <c r="B2" s="334" t="s">
        <v>608</v>
      </c>
      <c r="C2" s="334" t="s">
        <v>609</v>
      </c>
      <c r="D2" s="334" t="s">
        <v>610</v>
      </c>
      <c r="E2" s="334" t="s">
        <v>611</v>
      </c>
      <c r="F2" s="335" t="s">
        <v>612</v>
      </c>
    </row>
    <row r="3" spans="1:6">
      <c r="A3" s="333" t="s">
        <v>222</v>
      </c>
      <c r="B3" s="333" t="s">
        <v>355</v>
      </c>
      <c r="C3" s="333" t="s">
        <v>356</v>
      </c>
      <c r="D3" s="336">
        <v>2670000</v>
      </c>
      <c r="E3" s="337">
        <v>3.2040000000000002</v>
      </c>
      <c r="F3" s="338">
        <v>1.2</v>
      </c>
    </row>
    <row r="4" spans="1:6">
      <c r="A4" s="333" t="s">
        <v>357</v>
      </c>
      <c r="B4" s="333" t="s">
        <v>43</v>
      </c>
      <c r="C4" s="333" t="s">
        <v>358</v>
      </c>
      <c r="D4" s="336">
        <v>1300000</v>
      </c>
      <c r="E4" s="337">
        <v>1.1439999999999999</v>
      </c>
      <c r="F4" s="338">
        <v>0.88</v>
      </c>
    </row>
    <row r="5" spans="1:6">
      <c r="A5" s="333" t="s">
        <v>359</v>
      </c>
      <c r="B5" s="333" t="s">
        <v>351</v>
      </c>
      <c r="C5" s="333" t="s">
        <v>360</v>
      </c>
      <c r="D5" s="336">
        <v>130000</v>
      </c>
      <c r="E5" s="337">
        <v>0.13650000000000001</v>
      </c>
      <c r="F5" s="338">
        <v>1.05</v>
      </c>
    </row>
    <row r="6" spans="1:6">
      <c r="A6" s="333" t="s">
        <v>361</v>
      </c>
      <c r="B6" s="333" t="s">
        <v>351</v>
      </c>
      <c r="C6" s="333" t="s">
        <v>362</v>
      </c>
      <c r="D6" s="336">
        <v>0</v>
      </c>
      <c r="E6" s="337">
        <v>0</v>
      </c>
      <c r="F6" s="338">
        <v>1.05</v>
      </c>
    </row>
    <row r="7" spans="1:6">
      <c r="A7" s="333" t="s">
        <v>229</v>
      </c>
      <c r="B7" s="333" t="s">
        <v>351</v>
      </c>
      <c r="C7" s="333" t="s">
        <v>363</v>
      </c>
      <c r="D7" s="336">
        <v>3200</v>
      </c>
      <c r="E7" s="337">
        <v>3.3600000000000001E-3</v>
      </c>
      <c r="F7" s="338">
        <v>1.05</v>
      </c>
    </row>
    <row r="8" spans="1:6">
      <c r="A8" s="333" t="s">
        <v>231</v>
      </c>
      <c r="B8" s="333" t="s">
        <v>353</v>
      </c>
      <c r="C8" s="333" t="s">
        <v>364</v>
      </c>
      <c r="D8" s="336">
        <v>50000</v>
      </c>
      <c r="E8" s="337">
        <v>3.2000000000000001E-2</v>
      </c>
      <c r="F8" s="338">
        <v>0.64</v>
      </c>
    </row>
    <row r="9" spans="1:6">
      <c r="A9" s="333" t="s">
        <v>234</v>
      </c>
      <c r="B9" s="333" t="s">
        <v>365</v>
      </c>
      <c r="C9" s="333" t="s">
        <v>231</v>
      </c>
      <c r="D9" s="336">
        <v>0</v>
      </c>
      <c r="E9" s="337">
        <v>0</v>
      </c>
      <c r="F9" s="338">
        <v>1.05</v>
      </c>
    </row>
    <row r="10" spans="1:6">
      <c r="A10" s="339" t="s">
        <v>613</v>
      </c>
      <c r="B10" s="333" t="s">
        <v>366</v>
      </c>
      <c r="C10" s="333" t="s">
        <v>367</v>
      </c>
      <c r="D10" s="336">
        <v>0</v>
      </c>
      <c r="E10" s="337">
        <v>0</v>
      </c>
      <c r="F10" s="340">
        <v>0.48</v>
      </c>
    </row>
    <row r="11" spans="1:6">
      <c r="A11" s="333" t="s">
        <v>614</v>
      </c>
      <c r="B11" s="333" t="s">
        <v>355</v>
      </c>
      <c r="C11" s="333" t="s">
        <v>367</v>
      </c>
      <c r="D11" s="336">
        <v>3000</v>
      </c>
      <c r="E11" s="337">
        <v>3.5999999999999999E-3</v>
      </c>
      <c r="F11" s="338">
        <v>1.2</v>
      </c>
    </row>
    <row r="12" spans="1:6">
      <c r="A12" s="333" t="s">
        <v>615</v>
      </c>
      <c r="B12" s="333" t="s">
        <v>351</v>
      </c>
      <c r="C12" s="333" t="s">
        <v>367</v>
      </c>
      <c r="D12" s="336">
        <v>8000</v>
      </c>
      <c r="E12" s="337">
        <v>8.3999999999999995E-3</v>
      </c>
      <c r="F12" s="338">
        <v>1.05</v>
      </c>
    </row>
    <row r="13" spans="1:6">
      <c r="A13" s="339" t="s">
        <v>242</v>
      </c>
      <c r="B13" s="333" t="s">
        <v>368</v>
      </c>
      <c r="C13" s="333" t="s">
        <v>367</v>
      </c>
      <c r="D13" s="336">
        <v>75000</v>
      </c>
      <c r="E13" s="341">
        <v>3.0749999999999996E-2</v>
      </c>
      <c r="F13" s="340">
        <v>0.41</v>
      </c>
    </row>
    <row r="14" spans="1:6">
      <c r="A14" s="333" t="s">
        <v>245</v>
      </c>
      <c r="B14" s="333" t="s">
        <v>369</v>
      </c>
      <c r="C14" s="333" t="s">
        <v>370</v>
      </c>
      <c r="D14" s="336">
        <v>0</v>
      </c>
      <c r="E14" s="337">
        <v>0</v>
      </c>
      <c r="F14" s="338">
        <v>0.84</v>
      </c>
    </row>
    <row r="16" spans="1:6">
      <c r="A16" s="74" t="s">
        <v>616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3002-4954-402C-8CBB-33CB0452D006}">
  <sheetPr codeName="Tabelle34"/>
  <dimension ref="A1:AG74"/>
  <sheetViews>
    <sheetView topLeftCell="A25" zoomScale="70" zoomScaleNormal="70" workbookViewId="0">
      <selection activeCell="J18" sqref="J18"/>
    </sheetView>
  </sheetViews>
  <sheetFormatPr baseColWidth="10" defaultRowHeight="14.5"/>
  <cols>
    <col min="1" max="1" width="5.81640625" customWidth="1"/>
    <col min="2" max="2" width="30.81640625" customWidth="1"/>
    <col min="4" max="4" width="17.54296875" customWidth="1"/>
    <col min="7" max="7" width="30.453125" customWidth="1"/>
    <col min="12" max="12" width="25.26953125" customWidth="1"/>
    <col min="17" max="17" width="25.26953125" customWidth="1"/>
  </cols>
  <sheetData>
    <row r="1" spans="2:33">
      <c r="B1" s="1092" t="s">
        <v>196</v>
      </c>
      <c r="C1" s="1092"/>
      <c r="D1" s="1092"/>
      <c r="E1" s="1092"/>
      <c r="G1" s="1093" t="s">
        <v>197</v>
      </c>
      <c r="H1" s="1093"/>
      <c r="I1" s="1093"/>
      <c r="J1" s="1093"/>
      <c r="L1" s="1094" t="s">
        <v>197</v>
      </c>
      <c r="M1" s="1094"/>
      <c r="N1" s="1094"/>
      <c r="O1" s="1094"/>
      <c r="Q1" s="1095" t="s">
        <v>197</v>
      </c>
      <c r="R1" s="1095"/>
      <c r="S1" s="1095"/>
      <c r="T1" s="1095"/>
    </row>
    <row r="2" spans="2:33" ht="15" thickBot="1">
      <c r="B2" s="1096" t="s">
        <v>198</v>
      </c>
      <c r="C2" s="1096"/>
      <c r="D2" s="1096"/>
      <c r="E2" s="38"/>
      <c r="G2" s="79" t="s">
        <v>198</v>
      </c>
      <c r="H2" s="79"/>
      <c r="I2" s="79"/>
      <c r="J2" s="80"/>
      <c r="L2" s="1097" t="s">
        <v>198</v>
      </c>
      <c r="M2" s="1097"/>
      <c r="N2" s="1097"/>
      <c r="O2" s="80"/>
      <c r="Q2" s="1096" t="s">
        <v>198</v>
      </c>
      <c r="R2" s="1096"/>
      <c r="S2" s="1096"/>
      <c r="T2" s="38"/>
    </row>
    <row r="3" spans="2:33">
      <c r="B3" t="s">
        <v>199</v>
      </c>
      <c r="G3" s="81" t="s">
        <v>200</v>
      </c>
      <c r="H3" s="81"/>
      <c r="I3" s="81"/>
      <c r="J3" s="81"/>
      <c r="L3" s="359" t="s">
        <v>201</v>
      </c>
      <c r="M3" s="359"/>
      <c r="N3" s="359"/>
      <c r="O3" s="359"/>
      <c r="Q3" s="41" t="s">
        <v>202</v>
      </c>
      <c r="R3" s="41"/>
      <c r="S3" s="41"/>
      <c r="T3" s="41"/>
      <c r="W3" t="s">
        <v>62</v>
      </c>
      <c r="X3" t="s">
        <v>203</v>
      </c>
    </row>
    <row r="4" spans="2:33" ht="15" thickBot="1">
      <c r="B4" s="39" t="s">
        <v>41</v>
      </c>
      <c r="C4" s="39">
        <v>2030</v>
      </c>
      <c r="D4" s="39">
        <v>2040</v>
      </c>
      <c r="E4" s="39">
        <v>2050</v>
      </c>
      <c r="G4" s="79" t="s">
        <v>41</v>
      </c>
      <c r="H4" s="79">
        <v>2030</v>
      </c>
      <c r="I4" s="79">
        <v>2040</v>
      </c>
      <c r="J4" s="79">
        <v>2050</v>
      </c>
      <c r="L4" s="79" t="s">
        <v>41</v>
      </c>
      <c r="M4" s="79">
        <v>2030</v>
      </c>
      <c r="N4" s="79">
        <v>2040</v>
      </c>
      <c r="O4" s="79">
        <v>2050</v>
      </c>
      <c r="Q4" s="39" t="s">
        <v>41</v>
      </c>
      <c r="R4" s="39">
        <v>2030</v>
      </c>
      <c r="S4" s="39">
        <v>2040</v>
      </c>
      <c r="T4" s="39">
        <v>2050</v>
      </c>
      <c r="W4">
        <v>2030</v>
      </c>
      <c r="X4">
        <v>2040</v>
      </c>
      <c r="Y4">
        <v>2050</v>
      </c>
    </row>
    <row r="5" spans="2:33">
      <c r="B5" t="s">
        <v>62</v>
      </c>
      <c r="C5" s="9">
        <v>32.5</v>
      </c>
      <c r="D5" s="9">
        <f>(C5+E5)/2</f>
        <v>19.75</v>
      </c>
      <c r="E5" s="9">
        <v>7</v>
      </c>
      <c r="G5" s="30" t="s">
        <v>204</v>
      </c>
      <c r="H5" s="51"/>
      <c r="I5" s="51"/>
      <c r="J5" s="51"/>
      <c r="L5" s="362" t="s">
        <v>62</v>
      </c>
      <c r="M5" s="363">
        <f>SUM(M17:M20,M23)</f>
        <v>34.95469892166701</v>
      </c>
      <c r="N5" s="363">
        <f>SUM(N19:N20,N23)+N18*0.5</f>
        <v>18.425196873201656</v>
      </c>
      <c r="O5" s="363">
        <f>SUM(O19:O20,O23)+O18*0.05</f>
        <v>7.1863211296914242</v>
      </c>
      <c r="Q5" t="s">
        <v>62</v>
      </c>
      <c r="R5" s="9">
        <v>51.981762246672375</v>
      </c>
      <c r="S5" s="9">
        <v>37.489285177660136</v>
      </c>
      <c r="T5" s="9">
        <v>8.6736744592621786</v>
      </c>
      <c r="V5" t="s">
        <v>205</v>
      </c>
      <c r="W5" s="42">
        <v>33.041863960827648</v>
      </c>
      <c r="X5" s="42">
        <v>25.959396118998885</v>
      </c>
      <c r="Y5" s="42">
        <v>7.0760607537842697</v>
      </c>
    </row>
    <row r="6" spans="2:33">
      <c r="B6" t="s">
        <v>206</v>
      </c>
      <c r="C6" s="9">
        <v>2.5</v>
      </c>
      <c r="D6" s="9">
        <f t="shared" ref="D6:D12" si="0">(C6+E6)/2</f>
        <v>9.25</v>
      </c>
      <c r="E6" s="9">
        <v>16</v>
      </c>
      <c r="G6" s="82" t="s">
        <v>207</v>
      </c>
      <c r="H6" s="51">
        <v>5.2268118517191304</v>
      </c>
      <c r="I6" s="51">
        <v>2.4160925706322445</v>
      </c>
      <c r="J6" s="51">
        <v>8.523615886563092E-2</v>
      </c>
      <c r="L6" s="362" t="s">
        <v>206</v>
      </c>
      <c r="M6" s="363">
        <f t="shared" ref="M6:O7" si="1">M21</f>
        <v>2.17448175384488</v>
      </c>
      <c r="N6" s="363">
        <f t="shared" si="1"/>
        <v>10.5059166634334</v>
      </c>
      <c r="O6" s="363">
        <f t="shared" si="1"/>
        <v>15.887545409592899</v>
      </c>
      <c r="Q6" t="s">
        <v>206</v>
      </c>
      <c r="R6" s="9">
        <v>2.1744817538448755</v>
      </c>
      <c r="S6" s="9">
        <v>10.505916663433375</v>
      </c>
      <c r="T6" s="9">
        <v>15.887545409592944</v>
      </c>
      <c r="V6" t="s">
        <v>208</v>
      </c>
      <c r="W6" s="9">
        <v>0.48601379959576846</v>
      </c>
      <c r="X6" s="9">
        <v>15.331032925933455</v>
      </c>
      <c r="Y6" s="9">
        <v>9.4750799339390568</v>
      </c>
    </row>
    <row r="7" spans="2:33">
      <c r="B7" t="s">
        <v>64</v>
      </c>
      <c r="C7" s="9">
        <v>2</v>
      </c>
      <c r="D7" s="9">
        <f t="shared" si="0"/>
        <v>12</v>
      </c>
      <c r="E7" s="9">
        <v>22</v>
      </c>
      <c r="G7" s="82" t="s">
        <v>209</v>
      </c>
      <c r="H7" s="51">
        <v>5.9563103052646991</v>
      </c>
      <c r="I7" s="51">
        <v>6.2495290499693787</v>
      </c>
      <c r="J7" s="51">
        <v>5.4052229189160466</v>
      </c>
      <c r="L7" s="362" t="s">
        <v>64</v>
      </c>
      <c r="M7" s="363">
        <f t="shared" si="1"/>
        <v>0.94207873548462495</v>
      </c>
      <c r="N7" s="363">
        <f>N22+N17+N18*0.5</f>
        <v>15.837175145212711</v>
      </c>
      <c r="O7" s="363">
        <f>O22+O17+O18*0.95</f>
        <v>23.596114585935858</v>
      </c>
      <c r="Q7" t="s">
        <v>64</v>
      </c>
      <c r="R7" s="9">
        <v>1.9344283886629341</v>
      </c>
      <c r="S7" s="9">
        <v>7.4642767788468181</v>
      </c>
      <c r="T7" s="9">
        <v>22.266274022745353</v>
      </c>
      <c r="V7" t="s">
        <v>210</v>
      </c>
      <c r="W7" s="42">
        <f>SUM(W5:W6)</f>
        <v>33.527877760423415</v>
      </c>
      <c r="X7" s="42">
        <f t="shared" ref="X7:Y7" si="2">SUM(X5:X6)</f>
        <v>41.290429044932338</v>
      </c>
      <c r="Y7" s="42">
        <f t="shared" si="2"/>
        <v>16.551140687723326</v>
      </c>
    </row>
    <row r="8" spans="2:33">
      <c r="B8" s="82" t="s">
        <v>211</v>
      </c>
      <c r="C8" s="51">
        <v>26</v>
      </c>
      <c r="D8" s="51">
        <f t="shared" si="0"/>
        <v>20</v>
      </c>
      <c r="E8" s="51">
        <v>14</v>
      </c>
      <c r="G8" s="30" t="s">
        <v>120</v>
      </c>
      <c r="H8" s="51"/>
      <c r="I8" s="51"/>
      <c r="J8" s="51"/>
      <c r="L8" s="82"/>
      <c r="M8" s="51"/>
      <c r="N8" s="51"/>
      <c r="O8" s="51"/>
      <c r="Q8" s="43"/>
      <c r="R8" s="9"/>
      <c r="S8" s="9"/>
      <c r="T8" s="9"/>
    </row>
    <row r="9" spans="2:33" ht="15" thickBot="1">
      <c r="B9" s="82" t="s">
        <v>212</v>
      </c>
      <c r="C9" s="51">
        <v>7</v>
      </c>
      <c r="D9" s="51">
        <f t="shared" si="0"/>
        <v>3.5</v>
      </c>
      <c r="E9" s="51">
        <v>0</v>
      </c>
      <c r="G9" s="82" t="s">
        <v>207</v>
      </c>
      <c r="H9" s="51">
        <v>20.727408328666556</v>
      </c>
      <c r="I9" s="51">
        <v>7.7286573219342323</v>
      </c>
      <c r="J9" s="51">
        <v>0.3126954358400415</v>
      </c>
      <c r="L9" s="364" t="s">
        <v>199</v>
      </c>
      <c r="M9" s="84">
        <v>2030</v>
      </c>
      <c r="N9" s="84">
        <v>2040</v>
      </c>
      <c r="O9" s="365">
        <v>2050</v>
      </c>
      <c r="Q9" t="s">
        <v>199</v>
      </c>
      <c r="R9" s="44">
        <v>2030</v>
      </c>
      <c r="S9" s="44">
        <v>2040</v>
      </c>
      <c r="T9" s="44">
        <v>2050</v>
      </c>
    </row>
    <row r="10" spans="2:33">
      <c r="B10" s="82" t="s">
        <v>213</v>
      </c>
      <c r="C10" s="51">
        <v>1.5</v>
      </c>
      <c r="D10" s="51">
        <f t="shared" si="0"/>
        <v>3.5</v>
      </c>
      <c r="E10" s="51">
        <v>5.5</v>
      </c>
      <c r="G10" s="82" t="s">
        <v>44</v>
      </c>
      <c r="H10" s="51">
        <v>4.9181636335601704</v>
      </c>
      <c r="I10" s="51">
        <v>4.9049261335601706</v>
      </c>
      <c r="J10" s="51">
        <v>3.1676834849477982</v>
      </c>
      <c r="L10" s="50" t="s">
        <v>214</v>
      </c>
      <c r="M10" s="51">
        <v>10.599360673284185</v>
      </c>
      <c r="N10" s="51">
        <v>1.6452036364879965</v>
      </c>
      <c r="O10" s="52">
        <v>0.2973722451937586</v>
      </c>
      <c r="Q10" s="46" t="s">
        <v>214</v>
      </c>
      <c r="R10" s="9">
        <v>10.599360673284185</v>
      </c>
      <c r="S10" s="9">
        <v>1.6452036364879965</v>
      </c>
      <c r="T10" s="9">
        <v>0.2973722451937586</v>
      </c>
      <c r="AE10" s="1088" t="s">
        <v>203</v>
      </c>
      <c r="AF10" s="1088"/>
      <c r="AG10" s="1088"/>
    </row>
    <row r="11" spans="2:33">
      <c r="B11" s="82" t="s">
        <v>215</v>
      </c>
      <c r="C11" s="51"/>
      <c r="D11" s="51">
        <f t="shared" si="0"/>
        <v>0</v>
      </c>
      <c r="E11" s="51"/>
      <c r="G11" s="82" t="s">
        <v>209</v>
      </c>
      <c r="H11" s="51">
        <v>16.958201504939833</v>
      </c>
      <c r="I11" s="51">
        <v>23.457841977555553</v>
      </c>
      <c r="J11" s="51">
        <v>23.317879158955691</v>
      </c>
      <c r="L11" s="50" t="s">
        <v>216</v>
      </c>
      <c r="M11" s="51">
        <v>18.442130430250035</v>
      </c>
      <c r="N11" s="51">
        <v>32.264088716996767</v>
      </c>
      <c r="O11" s="52">
        <v>39.858017640175966</v>
      </c>
      <c r="Q11" s="46" t="s">
        <v>216</v>
      </c>
      <c r="R11" s="9">
        <v>18.442130430250035</v>
      </c>
      <c r="S11" s="9">
        <v>32.264088716996767</v>
      </c>
      <c r="T11" s="9">
        <v>39.858017640175966</v>
      </c>
      <c r="V11" s="47"/>
      <c r="W11" s="48"/>
      <c r="X11" s="48" t="s">
        <v>217</v>
      </c>
      <c r="Y11" s="49" t="s">
        <v>218</v>
      </c>
      <c r="AA11" s="90" t="s">
        <v>340</v>
      </c>
      <c r="AB11" s="90" t="s">
        <v>341</v>
      </c>
      <c r="AC11" s="90" t="s">
        <v>342</v>
      </c>
      <c r="AD11" s="90" t="s">
        <v>343</v>
      </c>
      <c r="AE11" s="90" t="s">
        <v>344</v>
      </c>
      <c r="AF11" s="90" t="s">
        <v>217</v>
      </c>
      <c r="AG11" s="90" t="s">
        <v>218</v>
      </c>
    </row>
    <row r="12" spans="2:33">
      <c r="B12" s="82" t="s">
        <v>219</v>
      </c>
      <c r="C12" s="51"/>
      <c r="D12" s="51">
        <f t="shared" si="0"/>
        <v>0</v>
      </c>
      <c r="E12" s="51"/>
      <c r="G12" s="30" t="s">
        <v>220</v>
      </c>
      <c r="H12" s="51"/>
      <c r="I12" s="51"/>
      <c r="J12" s="51"/>
      <c r="L12" s="50" t="s">
        <v>221</v>
      </c>
      <c r="M12" s="51">
        <v>3.6654178897973795</v>
      </c>
      <c r="N12" s="51">
        <v>2.7004988217654109</v>
      </c>
      <c r="O12" s="52">
        <v>2.2086591642148985</v>
      </c>
      <c r="P12" s="9"/>
      <c r="Q12" s="46" t="s">
        <v>221</v>
      </c>
      <c r="R12" s="9">
        <v>3.6654178897973795</v>
      </c>
      <c r="S12" s="9">
        <v>2.7004988217654109</v>
      </c>
      <c r="T12" s="9">
        <v>2.2086591642148985</v>
      </c>
      <c r="V12" s="53" t="s">
        <v>222</v>
      </c>
      <c r="W12" s="54"/>
      <c r="X12" s="55">
        <v>15</v>
      </c>
      <c r="Y12" s="56">
        <v>27.498038403068197</v>
      </c>
      <c r="AA12" s="91" t="s">
        <v>348</v>
      </c>
      <c r="AB12" s="91" t="s">
        <v>43</v>
      </c>
      <c r="AC12" s="91" t="s">
        <v>349</v>
      </c>
      <c r="AD12" s="91" t="s">
        <v>345</v>
      </c>
      <c r="AE12" s="92">
        <v>4.5759999999999996</v>
      </c>
      <c r="AF12" s="93">
        <v>6.4063999999999997</v>
      </c>
      <c r="AG12" s="93">
        <v>6.4063999999999997</v>
      </c>
    </row>
    <row r="13" spans="2:33">
      <c r="B13" s="30"/>
      <c r="C13" s="51"/>
      <c r="D13" s="51"/>
      <c r="E13" s="51"/>
      <c r="G13" s="82" t="s">
        <v>207</v>
      </c>
      <c r="H13" s="30">
        <v>0</v>
      </c>
      <c r="I13" s="30">
        <v>0</v>
      </c>
      <c r="J13" s="30">
        <v>0</v>
      </c>
      <c r="L13" s="50" t="s">
        <v>223</v>
      </c>
      <c r="M13" s="51">
        <v>9</v>
      </c>
      <c r="N13" s="51">
        <v>11.4</v>
      </c>
      <c r="O13" s="52">
        <v>6.5</v>
      </c>
      <c r="P13" s="9"/>
      <c r="Q13" s="46" t="s">
        <v>224</v>
      </c>
      <c r="V13" s="53" t="s">
        <v>225</v>
      </c>
      <c r="W13" s="54"/>
      <c r="X13" s="55">
        <v>6.925325472119618</v>
      </c>
      <c r="Y13" s="56">
        <v>11.143080723903823</v>
      </c>
      <c r="AA13" s="91" t="s">
        <v>350</v>
      </c>
      <c r="AB13" s="91" t="s">
        <v>351</v>
      </c>
      <c r="AC13" s="91" t="s">
        <v>349</v>
      </c>
      <c r="AD13" s="91" t="s">
        <v>345</v>
      </c>
      <c r="AE13" s="92">
        <v>5.25</v>
      </c>
      <c r="AF13" s="93">
        <v>10.5</v>
      </c>
      <c r="AG13" s="93">
        <v>10.5</v>
      </c>
    </row>
    <row r="14" spans="2:33" ht="15" thickBot="1">
      <c r="B14" s="30" t="s">
        <v>199</v>
      </c>
      <c r="C14" s="84">
        <v>2030</v>
      </c>
      <c r="D14" s="84">
        <v>2040</v>
      </c>
      <c r="E14" s="84">
        <v>2050</v>
      </c>
      <c r="G14" s="82" t="s">
        <v>45</v>
      </c>
      <c r="H14" s="51">
        <v>0.16347911999999998</v>
      </c>
      <c r="I14" s="51">
        <v>1.0611443976043442</v>
      </c>
      <c r="J14" s="51">
        <v>1.0611443976043442</v>
      </c>
      <c r="L14" s="50" t="s">
        <v>224</v>
      </c>
      <c r="M14" s="30"/>
      <c r="N14" s="30"/>
      <c r="O14" s="366"/>
      <c r="P14" s="9"/>
      <c r="Q14" s="46" t="s">
        <v>226</v>
      </c>
      <c r="R14" s="9"/>
      <c r="S14" s="9"/>
      <c r="T14" s="9"/>
      <c r="V14" s="53" t="s">
        <v>227</v>
      </c>
      <c r="W14" s="54"/>
      <c r="X14" s="55">
        <v>1.557180913509947</v>
      </c>
      <c r="Y14" s="56">
        <v>4.0540962814257115</v>
      </c>
      <c r="AA14" s="91" t="s">
        <v>352</v>
      </c>
      <c r="AB14" s="91" t="s">
        <v>353</v>
      </c>
      <c r="AC14" s="91" t="s">
        <v>354</v>
      </c>
      <c r="AD14" s="91" t="s">
        <v>345</v>
      </c>
      <c r="AE14" s="92">
        <v>3.2639999999999998</v>
      </c>
      <c r="AF14" s="93">
        <v>4.2240000000000002</v>
      </c>
      <c r="AG14" s="93">
        <v>4.0960000000000001</v>
      </c>
    </row>
    <row r="15" spans="2:33">
      <c r="B15" s="83" t="s">
        <v>228</v>
      </c>
      <c r="C15" s="51"/>
      <c r="D15" s="51"/>
      <c r="E15" s="51"/>
      <c r="G15" s="82" t="s">
        <v>209</v>
      </c>
      <c r="H15" s="51">
        <v>1.769393550084335</v>
      </c>
      <c r="I15" s="51">
        <v>8.3048868404690808</v>
      </c>
      <c r="J15" s="51">
        <v>20.667154295291077</v>
      </c>
      <c r="L15" s="50" t="s">
        <v>226</v>
      </c>
      <c r="M15" s="51"/>
      <c r="N15" s="51"/>
      <c r="O15" s="52"/>
      <c r="P15" s="9"/>
      <c r="R15" s="9"/>
      <c r="S15" s="9"/>
      <c r="T15" s="9"/>
      <c r="V15" s="53" t="s">
        <v>229</v>
      </c>
      <c r="W15" s="54"/>
      <c r="X15" s="55">
        <v>2.3343600000000002</v>
      </c>
      <c r="Y15" s="56">
        <v>3.2</v>
      </c>
      <c r="AA15" s="94" t="s">
        <v>222</v>
      </c>
      <c r="AB15" s="94" t="s">
        <v>355</v>
      </c>
      <c r="AC15" s="94" t="s">
        <v>356</v>
      </c>
      <c r="AD15" s="94" t="s">
        <v>346</v>
      </c>
      <c r="AE15" s="95">
        <v>3.2040000000000002</v>
      </c>
      <c r="AF15" s="96">
        <v>15</v>
      </c>
      <c r="AG15" s="96">
        <v>27.498038403068197</v>
      </c>
    </row>
    <row r="16" spans="2:33">
      <c r="B16" s="85" t="s">
        <v>216</v>
      </c>
      <c r="C16" s="51">
        <v>18.399999999999999</v>
      </c>
      <c r="D16" s="51">
        <f t="shared" ref="D16:D17" si="3">(C16+E16)/2</f>
        <v>29.15</v>
      </c>
      <c r="E16" s="51">
        <v>39.9</v>
      </c>
      <c r="G16" s="30" t="s">
        <v>230</v>
      </c>
      <c r="H16" s="30"/>
      <c r="I16" s="30"/>
      <c r="J16" s="30"/>
      <c r="L16" s="58"/>
      <c r="M16" s="51"/>
      <c r="N16" s="1098" t="s">
        <v>311</v>
      </c>
      <c r="O16" s="1099"/>
      <c r="P16" s="75" t="s">
        <v>312</v>
      </c>
      <c r="Q16" s="76"/>
      <c r="V16" s="53" t="s">
        <v>231</v>
      </c>
      <c r="W16" s="54"/>
      <c r="X16" s="55">
        <v>4.9599999999999991</v>
      </c>
      <c r="Y16" s="56">
        <v>17.208113163296499</v>
      </c>
      <c r="AA16" s="94" t="s">
        <v>357</v>
      </c>
      <c r="AB16" s="94" t="s">
        <v>43</v>
      </c>
      <c r="AC16" s="94" t="s">
        <v>358</v>
      </c>
      <c r="AD16" s="94" t="s">
        <v>346</v>
      </c>
      <c r="AE16" s="95">
        <v>1.1439999999999999</v>
      </c>
      <c r="AF16" s="96">
        <v>1.8756089820323965</v>
      </c>
      <c r="AG16" s="96">
        <v>3.0179176960572853</v>
      </c>
    </row>
    <row r="17" spans="2:33">
      <c r="B17" s="85" t="s">
        <v>232</v>
      </c>
      <c r="C17" s="51">
        <v>7</v>
      </c>
      <c r="D17" s="51">
        <f t="shared" si="3"/>
        <v>7.25</v>
      </c>
      <c r="E17" s="51">
        <v>7.5</v>
      </c>
      <c r="G17" s="82" t="s">
        <v>207</v>
      </c>
      <c r="H17" s="30">
        <v>0</v>
      </c>
      <c r="I17" s="30">
        <v>0</v>
      </c>
      <c r="J17" s="30">
        <v>0</v>
      </c>
      <c r="L17" s="58" t="s">
        <v>233</v>
      </c>
      <c r="M17" s="51">
        <f>7711.78905570386/1000</f>
        <v>7.7117890557038598</v>
      </c>
      <c r="N17" s="51">
        <f>1310.0745129621/1000</f>
        <v>1.3100745129621001</v>
      </c>
      <c r="O17" s="52">
        <f>273.951114967101/1000</f>
        <v>0.27395111496710095</v>
      </c>
      <c r="P17" s="45" t="s">
        <v>43</v>
      </c>
      <c r="Q17" s="57">
        <v>6.4</v>
      </c>
      <c r="V17" s="53" t="s">
        <v>234</v>
      </c>
      <c r="W17" s="54"/>
      <c r="X17" s="55">
        <v>2.835</v>
      </c>
      <c r="Y17" s="56">
        <v>9.4094278315657434</v>
      </c>
      <c r="AA17" s="94" t="s">
        <v>359</v>
      </c>
      <c r="AB17" s="94" t="s">
        <v>351</v>
      </c>
      <c r="AC17" s="94" t="s">
        <v>360</v>
      </c>
      <c r="AD17" s="94" t="s">
        <v>346</v>
      </c>
      <c r="AE17" s="95">
        <v>0.13650000000000001</v>
      </c>
      <c r="AF17" s="96">
        <v>0.66149999999999998</v>
      </c>
      <c r="AG17" s="96">
        <v>1.133501259445844</v>
      </c>
    </row>
    <row r="18" spans="2:33">
      <c r="B18" s="83" t="s">
        <v>214</v>
      </c>
      <c r="C18" s="51"/>
      <c r="D18" s="51"/>
      <c r="E18" s="51"/>
      <c r="G18" s="82" t="s">
        <v>44</v>
      </c>
      <c r="H18" s="51">
        <v>2.5861735726660195</v>
      </c>
      <c r="I18" s="51">
        <v>2.9336520884194077</v>
      </c>
      <c r="J18" s="51">
        <v>5.3858630138012602</v>
      </c>
      <c r="L18" s="58" t="s">
        <v>235</v>
      </c>
      <c r="M18" s="51">
        <f>18617.34652922/1000</f>
        <v>18.617346529220001</v>
      </c>
      <c r="N18" s="51">
        <f>22761.611333122/1000</f>
        <v>22.761611333122001</v>
      </c>
      <c r="O18" s="52">
        <f>13681.9958482908/1000</f>
        <v>13.6819958482908</v>
      </c>
      <c r="P18" s="45" t="s">
        <v>44</v>
      </c>
      <c r="Q18" s="57">
        <v>10.5</v>
      </c>
      <c r="V18" s="53" t="s">
        <v>236</v>
      </c>
      <c r="W18" s="54"/>
      <c r="X18" s="55">
        <v>1.3919999999999999</v>
      </c>
      <c r="Y18" s="56">
        <v>5.9067006140279741</v>
      </c>
      <c r="AA18" s="94" t="s">
        <v>361</v>
      </c>
      <c r="AB18" s="94" t="s">
        <v>351</v>
      </c>
      <c r="AC18" s="94" t="s">
        <v>362</v>
      </c>
      <c r="AD18" s="94" t="s">
        <v>346</v>
      </c>
      <c r="AE18" s="95">
        <v>0</v>
      </c>
      <c r="AF18" s="96">
        <v>0.89568091350994705</v>
      </c>
      <c r="AG18" s="96">
        <v>2.9205950219798673</v>
      </c>
    </row>
    <row r="19" spans="2:33">
      <c r="B19" s="83" t="s">
        <v>224</v>
      </c>
      <c r="C19" s="51"/>
      <c r="D19" s="51"/>
      <c r="E19" s="51"/>
      <c r="G19" s="82" t="s">
        <v>209</v>
      </c>
      <c r="H19" s="51">
        <v>0.21096877798650104</v>
      </c>
      <c r="I19" s="51">
        <v>3.2088855276250055</v>
      </c>
      <c r="J19" s="51">
        <v>10.783723774247026</v>
      </c>
      <c r="L19" s="58" t="s">
        <v>237</v>
      </c>
      <c r="M19" s="51">
        <f>2887.57161758033/1000</f>
        <v>2.8875716175803299</v>
      </c>
      <c r="N19" s="51">
        <f>335.129123525898/1000</f>
        <v>0.33512912352589802</v>
      </c>
      <c r="O19" s="52">
        <f>23.4211302266575/1000</f>
        <v>2.34211302266575E-2</v>
      </c>
      <c r="P19" s="77" t="s">
        <v>240</v>
      </c>
      <c r="Q19" s="78">
        <v>4.5</v>
      </c>
      <c r="V19" s="53" t="s">
        <v>238</v>
      </c>
      <c r="W19" s="54"/>
      <c r="X19" s="55">
        <v>14.946</v>
      </c>
      <c r="Y19" s="56">
        <v>63.420651851481395</v>
      </c>
      <c r="AA19" s="94" t="s">
        <v>229</v>
      </c>
      <c r="AB19" s="94" t="s">
        <v>351</v>
      </c>
      <c r="AC19" s="94" t="s">
        <v>363</v>
      </c>
      <c r="AD19" s="94" t="s">
        <v>346</v>
      </c>
      <c r="AE19" s="95">
        <v>3.3600000000000001E-3</v>
      </c>
      <c r="AF19" s="96">
        <v>2.3343600000000002</v>
      </c>
      <c r="AG19" s="96">
        <v>3.2</v>
      </c>
    </row>
    <row r="20" spans="2:33">
      <c r="B20" s="85" t="s">
        <v>226</v>
      </c>
      <c r="C20" s="51"/>
      <c r="D20" s="51"/>
      <c r="E20" s="51"/>
      <c r="G20" s="83"/>
      <c r="H20" s="51"/>
      <c r="I20" s="51"/>
      <c r="J20" s="51"/>
      <c r="L20" s="58" t="s">
        <v>239</v>
      </c>
      <c r="M20" s="51">
        <f>4284.27283840598/1000</f>
        <v>4.2842728384059798</v>
      </c>
      <c r="N20" s="51">
        <f>3562.96711742515/1000</f>
        <v>3.5629671174251496</v>
      </c>
      <c r="O20" s="52">
        <f>519.295421193237/1000</f>
        <v>0.51929542119323702</v>
      </c>
      <c r="P20" s="45" t="s">
        <v>62</v>
      </c>
      <c r="Q20">
        <f>SUM(Q17:Q19)</f>
        <v>21.4</v>
      </c>
      <c r="V20" s="53" t="s">
        <v>241</v>
      </c>
      <c r="W20" s="54"/>
      <c r="X20" s="55">
        <v>8.1795000000000009</v>
      </c>
      <c r="Y20" s="56">
        <v>49.583187266463277</v>
      </c>
      <c r="AA20" s="94" t="s">
        <v>231</v>
      </c>
      <c r="AB20" s="94" t="s">
        <v>353</v>
      </c>
      <c r="AC20" s="94" t="s">
        <v>364</v>
      </c>
      <c r="AD20" s="94" t="s">
        <v>346</v>
      </c>
      <c r="AE20" s="95">
        <v>3.2000000000000001E-2</v>
      </c>
      <c r="AF20" s="96">
        <v>4.9599999999999991</v>
      </c>
      <c r="AG20" s="96">
        <v>17.208113163296499</v>
      </c>
    </row>
    <row r="21" spans="2:33" ht="15" thickBot="1">
      <c r="B21" s="30"/>
      <c r="C21" s="30"/>
      <c r="D21" s="30"/>
      <c r="E21" s="30"/>
      <c r="G21" s="79" t="s">
        <v>41</v>
      </c>
      <c r="H21" s="79">
        <v>2030</v>
      </c>
      <c r="I21" s="79">
        <v>2040</v>
      </c>
      <c r="J21" s="79">
        <v>2050</v>
      </c>
      <c r="L21" s="367" t="s">
        <v>100</v>
      </c>
      <c r="M21" s="363">
        <f>2174.48175384488/1000</f>
        <v>2.17448175384488</v>
      </c>
      <c r="N21" s="363">
        <f>10505.9166634334/1000</f>
        <v>10.5059166634334</v>
      </c>
      <c r="O21" s="368">
        <f>15887.5454095929/1000</f>
        <v>15.887545409592899</v>
      </c>
      <c r="Q21" s="9"/>
      <c r="V21" s="53" t="s">
        <v>242</v>
      </c>
      <c r="W21" s="54"/>
      <c r="X21" s="55">
        <v>5.0737500000000004</v>
      </c>
      <c r="Y21" s="56">
        <v>21.496741420559278</v>
      </c>
      <c r="AA21" s="94" t="s">
        <v>234</v>
      </c>
      <c r="AB21" s="94" t="s">
        <v>365</v>
      </c>
      <c r="AC21" s="94" t="s">
        <v>231</v>
      </c>
      <c r="AD21" s="94" t="s">
        <v>346</v>
      </c>
      <c r="AE21" s="95">
        <v>0</v>
      </c>
      <c r="AF21" s="96">
        <v>2.835</v>
      </c>
      <c r="AG21" s="96">
        <v>9.4094278315657434</v>
      </c>
    </row>
    <row r="22" spans="2:33">
      <c r="B22" s="85" t="s">
        <v>216</v>
      </c>
      <c r="C22" s="30">
        <v>18.440000000000001</v>
      </c>
      <c r="D22" s="30"/>
      <c r="E22" s="30"/>
      <c r="G22" s="83" t="s">
        <v>243</v>
      </c>
      <c r="H22" s="51">
        <f>H7+H10+H11</f>
        <v>27.832675443764703</v>
      </c>
      <c r="I22" s="51">
        <f t="shared" ref="I22:J22" si="4">I7+I10+I11</f>
        <v>34.612297161085102</v>
      </c>
      <c r="J22" s="51">
        <f t="shared" si="4"/>
        <v>31.890785562819538</v>
      </c>
      <c r="L22" s="367" t="s">
        <v>244</v>
      </c>
      <c r="M22" s="363">
        <f>942.078735484625/1000</f>
        <v>0.94207873548462495</v>
      </c>
      <c r="N22" s="363">
        <f>3146.29496568961/1000</f>
        <v>3.1462949656896098</v>
      </c>
      <c r="O22" s="368">
        <f>10324.2674150925/1000</f>
        <v>10.3242674150925</v>
      </c>
      <c r="V22" s="59" t="s">
        <v>245</v>
      </c>
      <c r="W22" s="60"/>
      <c r="X22" s="61">
        <v>0.75600000000000001</v>
      </c>
      <c r="Y22" s="62">
        <v>4.575803051826365</v>
      </c>
      <c r="AA22" s="94" t="s">
        <v>236</v>
      </c>
      <c r="AB22" s="94" t="s">
        <v>366</v>
      </c>
      <c r="AC22" s="94" t="s">
        <v>367</v>
      </c>
      <c r="AD22" s="94" t="s">
        <v>346</v>
      </c>
      <c r="AE22" s="95">
        <v>0</v>
      </c>
      <c r="AF22" s="96">
        <v>1.3919999999999999</v>
      </c>
      <c r="AG22" s="96">
        <v>5.9067006140279741</v>
      </c>
    </row>
    <row r="23" spans="2:33">
      <c r="B23" s="85" t="s">
        <v>232</v>
      </c>
      <c r="C23" s="30">
        <v>3.78</v>
      </c>
      <c r="D23" s="30"/>
      <c r="E23" s="30"/>
      <c r="G23" s="83" t="s">
        <v>63</v>
      </c>
      <c r="H23" s="51">
        <f>SUM(H13:H15)</f>
        <v>1.9328726700843348</v>
      </c>
      <c r="I23" s="51">
        <f t="shared" ref="I23:J23" si="5">SUM(I13:I15)</f>
        <v>9.3660312380734254</v>
      </c>
      <c r="J23" s="51">
        <f t="shared" si="5"/>
        <v>21.728298692895422</v>
      </c>
      <c r="L23" s="369" t="s">
        <v>246</v>
      </c>
      <c r="M23" s="370">
        <f>1453.71888075684/1000</f>
        <v>1.45371888075684</v>
      </c>
      <c r="N23" s="370">
        <f>3146.29496568961/1000</f>
        <v>3.1462949656896098</v>
      </c>
      <c r="O23" s="371">
        <f>5959.50478585699/1000</f>
        <v>5.9595047858569901</v>
      </c>
      <c r="Q23" s="23" t="s">
        <v>247</v>
      </c>
      <c r="AA23" s="94" t="s">
        <v>238</v>
      </c>
      <c r="AB23" s="94" t="s">
        <v>355</v>
      </c>
      <c r="AC23" s="94" t="s">
        <v>367</v>
      </c>
      <c r="AD23" s="94" t="s">
        <v>346</v>
      </c>
      <c r="AE23" s="95">
        <v>3.5999999999999999E-3</v>
      </c>
      <c r="AF23" s="96">
        <v>14.946</v>
      </c>
      <c r="AG23" s="96">
        <v>63.420651851481395</v>
      </c>
    </row>
    <row r="24" spans="2:33">
      <c r="B24" s="83" t="s">
        <v>214</v>
      </c>
      <c r="C24" s="30">
        <v>10.67</v>
      </c>
      <c r="D24" s="30"/>
      <c r="E24" s="30"/>
      <c r="G24" s="83" t="s">
        <v>64</v>
      </c>
      <c r="H24" s="51">
        <f>SUM(H17:H19)</f>
        <v>2.7971423506525204</v>
      </c>
      <c r="I24" s="51">
        <f t="shared" ref="I24:J24" si="6">SUM(I17:I19)</f>
        <v>6.1425376160444127</v>
      </c>
      <c r="J24" s="51">
        <f t="shared" si="6"/>
        <v>16.169586788048285</v>
      </c>
      <c r="L24" s="30"/>
      <c r="M24" s="30"/>
      <c r="N24" s="30"/>
      <c r="O24" s="30"/>
      <c r="Q24" t="s">
        <v>248</v>
      </c>
      <c r="AA24" s="94" t="s">
        <v>241</v>
      </c>
      <c r="AB24" s="94" t="s">
        <v>351</v>
      </c>
      <c r="AC24" s="94" t="s">
        <v>367</v>
      </c>
      <c r="AD24" s="94" t="s">
        <v>346</v>
      </c>
      <c r="AE24" s="95">
        <v>8.3999999999999995E-3</v>
      </c>
      <c r="AF24" s="96">
        <v>8.1795000000000009</v>
      </c>
      <c r="AG24" s="96">
        <v>49.583187266463277</v>
      </c>
    </row>
    <row r="25" spans="2:33">
      <c r="B25" s="83" t="s">
        <v>224</v>
      </c>
      <c r="C25" s="30">
        <v>6.89</v>
      </c>
      <c r="D25" s="30"/>
      <c r="E25" s="30"/>
      <c r="G25" s="30"/>
      <c r="H25" s="30"/>
      <c r="I25" s="30"/>
      <c r="J25" s="30"/>
      <c r="L25" s="30" t="s">
        <v>249</v>
      </c>
      <c r="M25" s="51">
        <f>SUM(M17:M23)</f>
        <v>38.071259410996518</v>
      </c>
      <c r="N25" s="51">
        <f t="shared" ref="N25:O25" si="7">SUM(N17:N23)</f>
        <v>44.768288681847778</v>
      </c>
      <c r="O25" s="51">
        <f t="shared" si="7"/>
        <v>46.66998112522019</v>
      </c>
      <c r="Q25" t="s">
        <v>250</v>
      </c>
      <c r="AA25" s="94" t="s">
        <v>242</v>
      </c>
      <c r="AB25" s="94" t="s">
        <v>368</v>
      </c>
      <c r="AC25" s="94" t="s">
        <v>367</v>
      </c>
      <c r="AD25" s="94" t="s">
        <v>346</v>
      </c>
      <c r="AE25" s="95">
        <v>3.0749999999999996E-2</v>
      </c>
      <c r="AF25" s="96">
        <v>5.0737500000000004</v>
      </c>
      <c r="AG25" s="96">
        <v>21.496741420559278</v>
      </c>
    </row>
    <row r="26" spans="2:33">
      <c r="B26" s="85" t="s">
        <v>226</v>
      </c>
      <c r="C26" s="30">
        <v>2.2200000000000002</v>
      </c>
      <c r="D26" s="30"/>
      <c r="E26" s="30"/>
      <c r="G26" s="5" t="s">
        <v>207</v>
      </c>
      <c r="H26" s="65">
        <f>H6+H9+H13+H17</f>
        <v>25.954220180385686</v>
      </c>
      <c r="I26" s="65">
        <f t="shared" ref="I26:J26" si="8">I6+I9+I13+I17</f>
        <v>10.144749892566477</v>
      </c>
      <c r="J26" s="65">
        <f t="shared" si="8"/>
        <v>0.39793159470567241</v>
      </c>
      <c r="L26" s="30" t="s">
        <v>251</v>
      </c>
      <c r="M26" s="51">
        <f>SUM(M10:M11,M13)</f>
        <v>38.04149110353422</v>
      </c>
      <c r="N26" s="51">
        <f>SUM(N10:N11,N13)</f>
        <v>45.309292353484764</v>
      </c>
      <c r="O26" s="51">
        <f>SUM(O10:O11,O13)</f>
        <v>46.655389885369722</v>
      </c>
      <c r="AA26" s="94" t="s">
        <v>245</v>
      </c>
      <c r="AB26" s="94" t="s">
        <v>369</v>
      </c>
      <c r="AC26" s="94" t="s">
        <v>370</v>
      </c>
      <c r="AD26" s="94" t="s">
        <v>346</v>
      </c>
      <c r="AE26" s="95">
        <v>0</v>
      </c>
      <c r="AF26" s="96">
        <v>0.75600000000000001</v>
      </c>
      <c r="AG26" s="96">
        <v>4.575803051826365</v>
      </c>
    </row>
    <row r="27" spans="2:33">
      <c r="G27" s="83" t="s">
        <v>252</v>
      </c>
      <c r="H27" s="51">
        <f>H10+H14+H18</f>
        <v>7.6678163262261894</v>
      </c>
      <c r="I27" s="51">
        <f t="shared" ref="I27:J27" si="9">I10+I14+I18</f>
        <v>8.8997226195839225</v>
      </c>
      <c r="J27" s="51">
        <f t="shared" si="9"/>
        <v>9.6146908963534017</v>
      </c>
      <c r="L27" s="30"/>
      <c r="M27" s="51"/>
      <c r="N27" s="51"/>
      <c r="O27" s="51"/>
      <c r="AA27" s="97" t="s">
        <v>371</v>
      </c>
      <c r="AB27" s="97" t="s">
        <v>43</v>
      </c>
      <c r="AC27" s="97" t="s">
        <v>372</v>
      </c>
      <c r="AD27" s="97" t="s">
        <v>347</v>
      </c>
      <c r="AE27" s="98">
        <v>3.08</v>
      </c>
      <c r="AF27" s="99">
        <v>5.0497164900872216</v>
      </c>
      <c r="AG27" s="99">
        <v>8.1251630278465381</v>
      </c>
    </row>
    <row r="28" spans="2:33">
      <c r="G28" s="83" t="s">
        <v>209</v>
      </c>
      <c r="H28" s="51">
        <f>H7+H11+H15+H19</f>
        <v>24.894874138275366</v>
      </c>
      <c r="I28" s="51">
        <f t="shared" ref="I28:J28" si="10">I7+I11+I15+I19</f>
        <v>41.221143395619016</v>
      </c>
      <c r="J28" s="51">
        <f t="shared" si="10"/>
        <v>60.173980147409836</v>
      </c>
      <c r="L28" s="362" t="s">
        <v>253</v>
      </c>
      <c r="M28" s="363">
        <f>M17-Q17</f>
        <v>1.3117890557038594</v>
      </c>
      <c r="N28" s="363">
        <f>N17</f>
        <v>1.3100745129621001</v>
      </c>
      <c r="O28" s="363">
        <f>O17</f>
        <v>0.27395111496710095</v>
      </c>
    </row>
    <row r="29" spans="2:33">
      <c r="L29" s="362" t="s">
        <v>254</v>
      </c>
      <c r="M29" s="363">
        <f>M18-Q18</f>
        <v>8.1173465292200007</v>
      </c>
      <c r="N29" s="363">
        <f>N18</f>
        <v>22.761611333122001</v>
      </c>
      <c r="O29" s="363">
        <f>O18</f>
        <v>13.6819958482908</v>
      </c>
    </row>
    <row r="30" spans="2:33">
      <c r="L30" s="362" t="s">
        <v>255</v>
      </c>
      <c r="M30" s="363">
        <f>(M19+M20)-Q19</f>
        <v>2.6718444559863102</v>
      </c>
      <c r="N30" s="363">
        <f>N19+N20</f>
        <v>3.8980962409510478</v>
      </c>
      <c r="O30" s="363">
        <f>O19+O20</f>
        <v>0.5427165514198945</v>
      </c>
    </row>
    <row r="31" spans="2:33">
      <c r="L31" s="362" t="s">
        <v>256</v>
      </c>
      <c r="M31" s="363">
        <v>9.9999999999999995E-8</v>
      </c>
      <c r="N31" s="363">
        <v>3.5019683032029292</v>
      </c>
      <c r="O31" s="363">
        <v>12.724537672530632</v>
      </c>
    </row>
    <row r="33" spans="1:20">
      <c r="A33" s="30"/>
      <c r="B33" s="30"/>
      <c r="C33" s="30"/>
      <c r="D33" s="359"/>
      <c r="E33" s="1091" t="s">
        <v>257</v>
      </c>
      <c r="F33" s="1091"/>
      <c r="G33" s="1091"/>
    </row>
    <row r="34" spans="1:20">
      <c r="A34" s="360" t="s">
        <v>104</v>
      </c>
      <c r="B34" s="360" t="s">
        <v>105</v>
      </c>
      <c r="C34" s="360" t="s">
        <v>111</v>
      </c>
      <c r="D34" s="360" t="s">
        <v>258</v>
      </c>
      <c r="E34" s="360">
        <v>2030</v>
      </c>
      <c r="F34" s="360">
        <v>2040</v>
      </c>
      <c r="G34" s="360">
        <v>2050</v>
      </c>
      <c r="H34" s="348"/>
      <c r="I34" s="348"/>
      <c r="J34" s="348"/>
      <c r="K34" s="348"/>
      <c r="L34" s="348"/>
      <c r="M34" s="348"/>
      <c r="N34" s="348"/>
    </row>
    <row r="35" spans="1:20">
      <c r="A35" s="30">
        <v>1</v>
      </c>
      <c r="B35" s="30" t="s">
        <v>2</v>
      </c>
      <c r="C35" s="30" t="s">
        <v>43</v>
      </c>
      <c r="D35" s="30" t="s">
        <v>43</v>
      </c>
      <c r="E35" s="51">
        <f t="shared" ref="E35:G36" si="11">M28</f>
        <v>1.3117890557038594</v>
      </c>
      <c r="F35" s="51">
        <f t="shared" si="11"/>
        <v>1.3100745129621001</v>
      </c>
      <c r="G35" s="51">
        <f t="shared" si="11"/>
        <v>0.27395111496710095</v>
      </c>
      <c r="H35" s="9"/>
      <c r="I35" s="13"/>
      <c r="J35" s="13"/>
      <c r="K35" s="13"/>
      <c r="L35" s="9"/>
      <c r="M35" s="9"/>
      <c r="N35" s="9"/>
    </row>
    <row r="36" spans="1:20" ht="15" thickBot="1">
      <c r="A36" s="30">
        <v>2</v>
      </c>
      <c r="B36" s="30" t="s">
        <v>3</v>
      </c>
      <c r="C36" s="30" t="s">
        <v>44</v>
      </c>
      <c r="D36" s="30" t="s">
        <v>44</v>
      </c>
      <c r="E36" s="51">
        <f t="shared" si="11"/>
        <v>8.1173465292200007</v>
      </c>
      <c r="F36" s="51">
        <f t="shared" si="11"/>
        <v>22.761611333122001</v>
      </c>
      <c r="G36" s="51">
        <f t="shared" si="11"/>
        <v>13.6819958482908</v>
      </c>
      <c r="H36" s="9"/>
      <c r="I36" s="13"/>
      <c r="J36" s="13"/>
      <c r="K36" s="13"/>
      <c r="L36" s="9"/>
      <c r="N36" s="9"/>
    </row>
    <row r="37" spans="1:20">
      <c r="A37" s="30"/>
      <c r="B37" s="30"/>
      <c r="C37" s="30" t="s">
        <v>45</v>
      </c>
      <c r="D37" s="30" t="s">
        <v>63</v>
      </c>
      <c r="E37" s="51">
        <f>M21</f>
        <v>2.17448175384488</v>
      </c>
      <c r="F37" s="51">
        <f>N21</f>
        <v>10.5059166634334</v>
      </c>
      <c r="G37" s="51">
        <f>O21</f>
        <v>15.887545409592899</v>
      </c>
      <c r="H37" s="9"/>
      <c r="I37" s="372"/>
      <c r="J37" s="373"/>
      <c r="K37" s="373"/>
      <c r="L37" s="373"/>
      <c r="M37" s="1090" t="s">
        <v>257</v>
      </c>
      <c r="N37" s="1090"/>
      <c r="O37" s="1090"/>
      <c r="P37" s="374"/>
      <c r="Q37" s="1100" t="s">
        <v>639</v>
      </c>
      <c r="R37" s="1101"/>
      <c r="S37" s="1101"/>
      <c r="T37" s="1102"/>
    </row>
    <row r="38" spans="1:20">
      <c r="A38" s="30">
        <v>3</v>
      </c>
      <c r="B38" s="30" t="s">
        <v>127</v>
      </c>
      <c r="C38" s="30" t="s">
        <v>46</v>
      </c>
      <c r="D38" s="30" t="s">
        <v>44</v>
      </c>
      <c r="E38" s="51">
        <f t="shared" ref="E38:G39" si="12">M29</f>
        <v>8.1173465292200007</v>
      </c>
      <c r="F38" s="51">
        <f t="shared" si="12"/>
        <v>22.761611333122001</v>
      </c>
      <c r="G38" s="51">
        <f t="shared" si="12"/>
        <v>13.6819958482908</v>
      </c>
      <c r="H38" s="349"/>
      <c r="I38" s="375" t="s">
        <v>104</v>
      </c>
      <c r="J38" s="355" t="s">
        <v>105</v>
      </c>
      <c r="K38" s="355" t="s">
        <v>111</v>
      </c>
      <c r="L38" s="355" t="s">
        <v>258</v>
      </c>
      <c r="M38" s="355">
        <v>2030</v>
      </c>
      <c r="N38" s="355">
        <v>2040</v>
      </c>
      <c r="O38" s="355">
        <v>2050</v>
      </c>
      <c r="Q38" s="350" t="s">
        <v>631</v>
      </c>
      <c r="R38" s="350">
        <v>2030</v>
      </c>
      <c r="S38" s="350">
        <v>2040</v>
      </c>
      <c r="T38" s="376">
        <v>2050</v>
      </c>
    </row>
    <row r="39" spans="1:20">
      <c r="A39" s="30">
        <v>4</v>
      </c>
      <c r="B39" s="30" t="s">
        <v>5</v>
      </c>
      <c r="C39" s="30" t="s">
        <v>47</v>
      </c>
      <c r="D39" s="30" t="s">
        <v>240</v>
      </c>
      <c r="E39" s="51">
        <f t="shared" si="12"/>
        <v>2.6718444559863102</v>
      </c>
      <c r="F39" s="51">
        <f t="shared" si="12"/>
        <v>3.8980962409510478</v>
      </c>
      <c r="G39" s="51">
        <f t="shared" si="12"/>
        <v>0.5427165514198945</v>
      </c>
      <c r="H39" s="9"/>
      <c r="I39" s="377">
        <v>1</v>
      </c>
      <c r="J39" s="1" t="s">
        <v>2</v>
      </c>
      <c r="K39" t="s">
        <v>43</v>
      </c>
      <c r="L39" s="1" t="s">
        <v>640</v>
      </c>
      <c r="M39" s="42">
        <f>R39</f>
        <v>22.442503287543463</v>
      </c>
      <c r="N39" s="42">
        <f>S39</f>
        <v>24.31419248251089</v>
      </c>
      <c r="O39" s="42">
        <f>T39</f>
        <v>6.7786885085905109</v>
      </c>
      <c r="Q39" s="351" t="s">
        <v>632</v>
      </c>
      <c r="R39" s="352">
        <v>22.442503287543463</v>
      </c>
      <c r="S39" s="352">
        <v>24.31419248251089</v>
      </c>
      <c r="T39" s="378">
        <v>6.7786885085905109</v>
      </c>
    </row>
    <row r="40" spans="1:20">
      <c r="A40" s="30"/>
      <c r="B40" s="30"/>
      <c r="C40" s="30"/>
      <c r="D40" s="30" t="s">
        <v>63</v>
      </c>
      <c r="E40" s="51">
        <v>2.17448175384488</v>
      </c>
      <c r="F40" s="51">
        <v>10.5059166634334</v>
      </c>
      <c r="G40" s="51">
        <v>15.887545409592899</v>
      </c>
      <c r="H40" s="9"/>
      <c r="I40" s="377">
        <v>2</v>
      </c>
      <c r="J40" s="1" t="s">
        <v>3</v>
      </c>
      <c r="K40" s="26" t="s">
        <v>44</v>
      </c>
      <c r="L40" s="1" t="s">
        <v>640</v>
      </c>
      <c r="M40" s="42">
        <f>R39</f>
        <v>22.442503287543463</v>
      </c>
      <c r="N40" s="42">
        <f>S39</f>
        <v>24.31419248251089</v>
      </c>
      <c r="O40" s="42">
        <f>T39</f>
        <v>6.7786885085905109</v>
      </c>
      <c r="Q40" s="351" t="s">
        <v>633</v>
      </c>
      <c r="R40" s="352">
        <v>0.48601379959576846</v>
      </c>
      <c r="S40" s="352">
        <v>15.331032925933455</v>
      </c>
      <c r="T40" s="378">
        <v>9.4750799339390568</v>
      </c>
    </row>
    <row r="41" spans="1:20">
      <c r="A41" s="30">
        <v>5</v>
      </c>
      <c r="B41" s="30" t="s">
        <v>6</v>
      </c>
      <c r="C41" s="30" t="s">
        <v>48</v>
      </c>
      <c r="D41" s="30" t="s">
        <v>240</v>
      </c>
      <c r="E41" s="51">
        <v>2.6718444559863102</v>
      </c>
      <c r="F41" s="51">
        <v>3.8980962409510478</v>
      </c>
      <c r="G41" s="51">
        <v>0.5427165514198945</v>
      </c>
      <c r="H41" s="9"/>
      <c r="I41" s="377"/>
      <c r="J41" s="1"/>
      <c r="K41" s="27" t="s">
        <v>45</v>
      </c>
      <c r="L41" s="1" t="s">
        <v>641</v>
      </c>
      <c r="M41" s="42">
        <f>R41</f>
        <v>2.1744817538448755</v>
      </c>
      <c r="N41" s="42">
        <f>S41</f>
        <v>10.505916663433375</v>
      </c>
      <c r="O41" s="42">
        <f>T41</f>
        <v>15.887545409592944</v>
      </c>
      <c r="Q41" s="351" t="s">
        <v>634</v>
      </c>
      <c r="R41" s="352">
        <v>2.1744817538448755</v>
      </c>
      <c r="S41" s="352">
        <v>10.505916663433375</v>
      </c>
      <c r="T41" s="378">
        <v>15.887545409592944</v>
      </c>
    </row>
    <row r="42" spans="1:20">
      <c r="A42" s="30"/>
      <c r="B42" s="30"/>
      <c r="C42" s="30"/>
      <c r="D42" s="30" t="s">
        <v>63</v>
      </c>
      <c r="E42" s="51">
        <v>2.17448175384488</v>
      </c>
      <c r="F42" s="51">
        <v>10.5059166634334</v>
      </c>
      <c r="G42" s="51">
        <v>15.887545409592899</v>
      </c>
      <c r="H42" s="9"/>
      <c r="I42" s="377">
        <v>3</v>
      </c>
      <c r="J42" s="1" t="s">
        <v>127</v>
      </c>
      <c r="K42" s="26" t="s">
        <v>46</v>
      </c>
      <c r="L42" s="1" t="s">
        <v>640</v>
      </c>
      <c r="M42" s="37">
        <f>R39</f>
        <v>22.442503287543463</v>
      </c>
      <c r="N42" s="37">
        <f>S39</f>
        <v>24.31419248251089</v>
      </c>
      <c r="O42" s="37">
        <f>T39</f>
        <v>6.7786885085905109</v>
      </c>
      <c r="Q42" s="351" t="s">
        <v>635</v>
      </c>
      <c r="R42" s="352">
        <v>0</v>
      </c>
      <c r="S42" s="352">
        <v>3.5019683032029292</v>
      </c>
      <c r="T42" s="378">
        <v>12.724537672530632</v>
      </c>
    </row>
    <row r="43" spans="1:20">
      <c r="A43" s="30">
        <v>6</v>
      </c>
      <c r="B43" s="30" t="s">
        <v>7</v>
      </c>
      <c r="C43" s="30" t="s">
        <v>49</v>
      </c>
      <c r="D43" s="30" t="s">
        <v>63</v>
      </c>
      <c r="E43" s="51">
        <v>2.17448175384488</v>
      </c>
      <c r="F43" s="51">
        <v>10.5059166634334</v>
      </c>
      <c r="G43" s="51">
        <v>15.887545409592899</v>
      </c>
      <c r="H43" s="349"/>
      <c r="I43" s="377">
        <v>4</v>
      </c>
      <c r="J43" s="1" t="s">
        <v>5</v>
      </c>
      <c r="K43" s="28" t="s">
        <v>47</v>
      </c>
      <c r="L43" s="1" t="s">
        <v>642</v>
      </c>
      <c r="M43" s="42">
        <f>R39</f>
        <v>22.442503287543463</v>
      </c>
      <c r="N43" s="42"/>
      <c r="O43" s="42"/>
      <c r="Q43" s="351" t="s">
        <v>636</v>
      </c>
      <c r="R43" s="352">
        <v>1.9344283886629341</v>
      </c>
      <c r="S43" s="352">
        <v>7.4642767788468181</v>
      </c>
      <c r="T43" s="378">
        <v>22.266274022745353</v>
      </c>
    </row>
    <row r="44" spans="1:20">
      <c r="A44" s="30">
        <v>7</v>
      </c>
      <c r="B44" s="30" t="s">
        <v>8</v>
      </c>
      <c r="C44" s="30" t="s">
        <v>50</v>
      </c>
      <c r="D44" s="30" t="s">
        <v>50</v>
      </c>
      <c r="E44" s="51">
        <v>1.45371888075684</v>
      </c>
      <c r="F44" s="51">
        <v>3.1462949656896098</v>
      </c>
      <c r="G44" s="51">
        <v>5.9595047858569901</v>
      </c>
      <c r="H44" s="9"/>
      <c r="I44" s="377"/>
      <c r="J44" s="1"/>
      <c r="K44" s="28"/>
      <c r="L44" s="1" t="s">
        <v>643</v>
      </c>
      <c r="M44" s="42"/>
      <c r="N44" s="42">
        <f>S41</f>
        <v>10.505916663433375</v>
      </c>
      <c r="O44" s="42">
        <f>T41</f>
        <v>15.887545409592944</v>
      </c>
      <c r="Q44" s="351" t="s">
        <v>637</v>
      </c>
      <c r="R44" s="352">
        <v>6.0992998641585271E-2</v>
      </c>
      <c r="S44" s="352">
        <v>3.4174891416571382</v>
      </c>
      <c r="T44" s="378">
        <v>11.246853216874694</v>
      </c>
    </row>
    <row r="45" spans="1:20">
      <c r="A45" s="30"/>
      <c r="B45" s="30"/>
      <c r="C45" s="30"/>
      <c r="D45" s="30" t="s">
        <v>64</v>
      </c>
      <c r="E45" s="51">
        <v>0.94207873548462495</v>
      </c>
      <c r="F45" s="51">
        <v>15.837175145212711</v>
      </c>
      <c r="G45" s="51">
        <v>23.596114585935858</v>
      </c>
      <c r="H45" s="9"/>
      <c r="I45" s="377">
        <v>5</v>
      </c>
      <c r="J45" s="1" t="s">
        <v>6</v>
      </c>
      <c r="K45" s="28" t="s">
        <v>48</v>
      </c>
      <c r="L45" s="1" t="s">
        <v>642</v>
      </c>
      <c r="M45" s="42">
        <f>R39</f>
        <v>22.442503287543463</v>
      </c>
      <c r="N45" s="42"/>
      <c r="O45" s="42"/>
      <c r="Q45" s="353" t="s">
        <v>638</v>
      </c>
      <c r="R45" s="354">
        <v>27.098420228288624</v>
      </c>
      <c r="S45" s="354">
        <v>64.53487629558461</v>
      </c>
      <c r="T45" s="379">
        <v>78.378978764273199</v>
      </c>
    </row>
    <row r="46" spans="1:20">
      <c r="A46" s="361" t="s">
        <v>9</v>
      </c>
      <c r="B46" s="30" t="s">
        <v>10</v>
      </c>
      <c r="C46" s="30" t="s">
        <v>51</v>
      </c>
      <c r="D46" s="30" t="s">
        <v>64</v>
      </c>
      <c r="E46" s="51">
        <v>0.94207873548462495</v>
      </c>
      <c r="F46" s="51">
        <v>15.837175145212711</v>
      </c>
      <c r="G46" s="51">
        <v>23.596114585935858</v>
      </c>
      <c r="H46" s="9"/>
      <c r="I46" s="377"/>
      <c r="J46" s="1"/>
      <c r="K46" s="28"/>
      <c r="L46" s="1" t="s">
        <v>643</v>
      </c>
      <c r="M46" s="42"/>
      <c r="N46" s="42">
        <f>S41</f>
        <v>10.505916663433375</v>
      </c>
      <c r="O46" s="42">
        <f>T41</f>
        <v>15.887545409592944</v>
      </c>
      <c r="T46" s="380"/>
    </row>
    <row r="47" spans="1:20">
      <c r="A47" s="361" t="s">
        <v>11</v>
      </c>
      <c r="B47" s="30" t="s">
        <v>12</v>
      </c>
      <c r="C47" s="30" t="s">
        <v>51</v>
      </c>
      <c r="D47" s="30" t="s">
        <v>64</v>
      </c>
      <c r="E47" s="51">
        <v>0.94207873548462495</v>
      </c>
      <c r="F47" s="51">
        <v>15.837175145212711</v>
      </c>
      <c r="G47" s="51">
        <v>23.596114585935858</v>
      </c>
      <c r="H47" s="9"/>
      <c r="I47" s="377">
        <v>6</v>
      </c>
      <c r="J47" s="1" t="s">
        <v>7</v>
      </c>
      <c r="K47" s="27" t="s">
        <v>49</v>
      </c>
      <c r="L47" s="2" t="s">
        <v>641</v>
      </c>
      <c r="M47" s="42">
        <f>R41</f>
        <v>2.1744817538448755</v>
      </c>
      <c r="N47" s="42">
        <f>S41</f>
        <v>10.505916663433375</v>
      </c>
      <c r="O47" s="42">
        <f>T41</f>
        <v>15.887545409592944</v>
      </c>
      <c r="T47" s="380"/>
    </row>
    <row r="48" spans="1:20">
      <c r="A48" s="361" t="s">
        <v>13</v>
      </c>
      <c r="B48" s="30" t="s">
        <v>14</v>
      </c>
      <c r="C48" s="30" t="s">
        <v>52</v>
      </c>
      <c r="D48" s="30" t="s">
        <v>64</v>
      </c>
      <c r="E48" s="51">
        <v>0.94207873548462495</v>
      </c>
      <c r="F48" s="51">
        <v>15.837175145212711</v>
      </c>
      <c r="G48" s="51">
        <v>23.596114585935858</v>
      </c>
      <c r="H48" s="9"/>
      <c r="I48" s="377">
        <v>7</v>
      </c>
      <c r="J48" s="1" t="s">
        <v>8</v>
      </c>
      <c r="K48" s="2" t="s">
        <v>50</v>
      </c>
      <c r="L48" s="1" t="s">
        <v>642</v>
      </c>
      <c r="M48" s="42">
        <f>R39</f>
        <v>22.442503287543463</v>
      </c>
      <c r="N48" s="42"/>
      <c r="O48" s="42"/>
      <c r="T48" s="380"/>
    </row>
    <row r="49" spans="1:20">
      <c r="A49" s="361" t="s">
        <v>15</v>
      </c>
      <c r="B49" s="30" t="s">
        <v>16</v>
      </c>
      <c r="C49" s="30" t="s">
        <v>51</v>
      </c>
      <c r="D49" s="30" t="s">
        <v>64</v>
      </c>
      <c r="E49" s="51">
        <v>0.94207873548462495</v>
      </c>
      <c r="F49" s="51">
        <v>15.837175145212711</v>
      </c>
      <c r="G49" s="51">
        <v>23.596114585935858</v>
      </c>
      <c r="H49" s="349"/>
      <c r="I49" s="377"/>
      <c r="J49" s="1"/>
      <c r="K49" s="2"/>
      <c r="L49" s="1" t="s">
        <v>644</v>
      </c>
      <c r="M49" s="42"/>
      <c r="N49" s="42">
        <f>S43</f>
        <v>7.4642767788468181</v>
      </c>
      <c r="O49" s="42">
        <f>T43</f>
        <v>22.266274022745353</v>
      </c>
      <c r="T49" s="380"/>
    </row>
    <row r="50" spans="1:20">
      <c r="A50" s="361" t="s">
        <v>17</v>
      </c>
      <c r="B50" s="30" t="s">
        <v>18</v>
      </c>
      <c r="C50" s="30" t="s">
        <v>53</v>
      </c>
      <c r="D50" s="30" t="s">
        <v>50</v>
      </c>
      <c r="E50" s="51">
        <v>1.45371888075684</v>
      </c>
      <c r="F50" s="51">
        <v>3.1462949656896098</v>
      </c>
      <c r="G50" s="51">
        <v>5.9595047858569901</v>
      </c>
      <c r="H50" s="9"/>
      <c r="I50" s="381" t="s">
        <v>9</v>
      </c>
      <c r="J50" s="1" t="s">
        <v>10</v>
      </c>
      <c r="K50" s="30" t="s">
        <v>51</v>
      </c>
      <c r="L50" s="1" t="s">
        <v>645</v>
      </c>
      <c r="M50" s="42">
        <f>R43</f>
        <v>1.9344283886629341</v>
      </c>
      <c r="N50" s="42">
        <f>S43</f>
        <v>7.4642767788468181</v>
      </c>
      <c r="O50" s="42">
        <f>T43</f>
        <v>22.266274022745353</v>
      </c>
      <c r="T50" s="380"/>
    </row>
    <row r="51" spans="1:20">
      <c r="A51" s="361"/>
      <c r="B51" s="30"/>
      <c r="C51" s="30"/>
      <c r="D51" s="30" t="s">
        <v>64</v>
      </c>
      <c r="E51" s="51">
        <v>0.94207873548462495</v>
      </c>
      <c r="F51" s="51">
        <v>15.837175145212711</v>
      </c>
      <c r="G51" s="51">
        <v>23.596114585935858</v>
      </c>
      <c r="H51" s="9"/>
      <c r="I51" s="381" t="s">
        <v>11</v>
      </c>
      <c r="J51" s="1" t="s">
        <v>12</v>
      </c>
      <c r="K51" s="30" t="s">
        <v>51</v>
      </c>
      <c r="L51" s="2" t="s">
        <v>645</v>
      </c>
      <c r="M51" s="42">
        <f t="shared" ref="M51:O52" si="13">R43</f>
        <v>1.9344283886629341</v>
      </c>
      <c r="N51" s="42">
        <f t="shared" si="13"/>
        <v>7.4642767788468181</v>
      </c>
      <c r="O51" s="42">
        <f t="shared" si="13"/>
        <v>22.266274022745353</v>
      </c>
      <c r="T51" s="380"/>
    </row>
    <row r="52" spans="1:20">
      <c r="A52" s="361" t="s">
        <v>19</v>
      </c>
      <c r="B52" s="30" t="s">
        <v>20</v>
      </c>
      <c r="C52" s="30" t="s">
        <v>54</v>
      </c>
      <c r="D52" s="30" t="s">
        <v>50</v>
      </c>
      <c r="E52" s="51">
        <v>1.45371888075684</v>
      </c>
      <c r="F52" s="51">
        <v>3.1462949656896098</v>
      </c>
      <c r="G52" s="51">
        <v>5.9595047858569901</v>
      </c>
      <c r="H52" s="9"/>
      <c r="I52" s="381" t="s">
        <v>13</v>
      </c>
      <c r="J52" s="1" t="s">
        <v>14</v>
      </c>
      <c r="K52" s="30" t="s">
        <v>52</v>
      </c>
      <c r="L52" s="4" t="s">
        <v>646</v>
      </c>
      <c r="M52" s="42">
        <f t="shared" si="13"/>
        <v>6.0992998641585271E-2</v>
      </c>
      <c r="N52" s="42">
        <f t="shared" si="13"/>
        <v>3.4174891416571382</v>
      </c>
      <c r="O52" s="42">
        <f t="shared" si="13"/>
        <v>11.246853216874694</v>
      </c>
      <c r="P52" s="19"/>
      <c r="S52" s="34"/>
      <c r="T52" s="380"/>
    </row>
    <row r="53" spans="1:20">
      <c r="A53" s="361"/>
      <c r="B53" s="30"/>
      <c r="C53" s="30"/>
      <c r="D53" s="30" t="s">
        <v>64</v>
      </c>
      <c r="E53" s="51">
        <v>0.94207873548462495</v>
      </c>
      <c r="F53" s="51">
        <v>15.837175145212711</v>
      </c>
      <c r="G53" s="51">
        <v>23.596114585935858</v>
      </c>
      <c r="H53" s="9"/>
      <c r="I53" s="381" t="s">
        <v>15</v>
      </c>
      <c r="J53" s="1" t="s">
        <v>16</v>
      </c>
      <c r="K53" s="30" t="s">
        <v>51</v>
      </c>
      <c r="L53" s="2" t="s">
        <v>645</v>
      </c>
      <c r="M53" s="42">
        <f>R43</f>
        <v>1.9344283886629341</v>
      </c>
      <c r="N53" s="42">
        <f>S43</f>
        <v>7.4642767788468181</v>
      </c>
      <c r="O53" s="42">
        <f>T43</f>
        <v>22.266274022745353</v>
      </c>
      <c r="P53" s="19"/>
      <c r="T53" s="380"/>
    </row>
    <row r="54" spans="1:20">
      <c r="A54" s="30">
        <v>10</v>
      </c>
      <c r="B54" s="30" t="s">
        <v>21</v>
      </c>
      <c r="C54" s="30" t="s">
        <v>55</v>
      </c>
      <c r="D54" s="30" t="s">
        <v>50</v>
      </c>
      <c r="E54" s="51">
        <v>1.45371888075684</v>
      </c>
      <c r="F54" s="51">
        <v>3.1462949656896098</v>
      </c>
      <c r="G54" s="51">
        <v>5.9595047858569901</v>
      </c>
      <c r="H54" s="9"/>
      <c r="I54" s="381" t="s">
        <v>17</v>
      </c>
      <c r="J54" s="1" t="s">
        <v>18</v>
      </c>
      <c r="K54" s="2" t="s">
        <v>53</v>
      </c>
      <c r="L54" s="1" t="s">
        <v>642</v>
      </c>
      <c r="M54" s="42">
        <f>R39</f>
        <v>22.442503287543463</v>
      </c>
      <c r="N54" s="42"/>
      <c r="O54" s="42"/>
      <c r="P54" s="19"/>
      <c r="T54" s="380"/>
    </row>
    <row r="55" spans="1:20">
      <c r="A55" s="361" t="s">
        <v>22</v>
      </c>
      <c r="B55" s="30" t="s">
        <v>149</v>
      </c>
      <c r="C55" s="30" t="s">
        <v>56</v>
      </c>
      <c r="D55" s="30" t="s">
        <v>44</v>
      </c>
      <c r="E55" s="51">
        <v>8.1173465292200007</v>
      </c>
      <c r="F55" s="51">
        <v>22.761611333122001</v>
      </c>
      <c r="G55" s="51">
        <v>13.6819958482908</v>
      </c>
      <c r="H55" s="9"/>
      <c r="I55" s="381"/>
      <c r="J55" s="1"/>
      <c r="K55" s="2"/>
      <c r="L55" s="1" t="s">
        <v>644</v>
      </c>
      <c r="M55" s="42"/>
      <c r="N55" s="42">
        <f>S43</f>
        <v>7.4642767788468181</v>
      </c>
      <c r="O55" s="42">
        <f>T43</f>
        <v>22.266274022745353</v>
      </c>
      <c r="P55" s="19"/>
      <c r="T55" s="380"/>
    </row>
    <row r="56" spans="1:20">
      <c r="A56" s="361"/>
      <c r="B56" s="30"/>
      <c r="C56" s="30" t="s">
        <v>57</v>
      </c>
      <c r="D56" s="30" t="s">
        <v>100</v>
      </c>
      <c r="E56" s="51">
        <v>2.17448175384488</v>
      </c>
      <c r="F56" s="51">
        <v>10.5059166634334</v>
      </c>
      <c r="G56" s="51">
        <v>15.887545409592899</v>
      </c>
      <c r="H56" s="9"/>
      <c r="I56" s="381" t="s">
        <v>19</v>
      </c>
      <c r="J56" s="1" t="s">
        <v>20</v>
      </c>
      <c r="K56" s="2" t="s">
        <v>54</v>
      </c>
      <c r="L56" s="4" t="s">
        <v>647</v>
      </c>
      <c r="M56" s="42">
        <f>R40</f>
        <v>0.48601379959576846</v>
      </c>
      <c r="N56" s="42"/>
      <c r="O56" s="42"/>
      <c r="P56" s="19"/>
      <c r="T56" s="380"/>
    </row>
    <row r="57" spans="1:20">
      <c r="A57" s="361" t="s">
        <v>24</v>
      </c>
      <c r="B57" s="30" t="s">
        <v>25</v>
      </c>
      <c r="C57" s="30" t="s">
        <v>58</v>
      </c>
      <c r="D57" s="30" t="s">
        <v>44</v>
      </c>
      <c r="E57" s="51">
        <v>8.1173465292200007</v>
      </c>
      <c r="F57" s="51">
        <v>22.761611333122001</v>
      </c>
      <c r="G57" s="51">
        <v>13.6819958482908</v>
      </c>
      <c r="H57" s="349"/>
      <c r="I57" s="381"/>
      <c r="J57" s="1"/>
      <c r="K57" s="2"/>
      <c r="L57" s="4" t="s">
        <v>648</v>
      </c>
      <c r="M57" s="42"/>
      <c r="N57" s="42">
        <f>S44</f>
        <v>3.4174891416571382</v>
      </c>
      <c r="O57" s="42">
        <f>T44</f>
        <v>11.246853216874694</v>
      </c>
      <c r="P57" s="19"/>
      <c r="T57" s="380"/>
    </row>
    <row r="58" spans="1:20">
      <c r="A58" s="361"/>
      <c r="B58" s="30"/>
      <c r="C58" s="30" t="s">
        <v>59</v>
      </c>
      <c r="D58" s="30" t="s">
        <v>256</v>
      </c>
      <c r="E58" s="51">
        <f>M31</f>
        <v>9.9999999999999995E-8</v>
      </c>
      <c r="F58" s="51">
        <f>N31</f>
        <v>3.5019683032029292</v>
      </c>
      <c r="G58" s="51">
        <f>O31</f>
        <v>12.724537672530632</v>
      </c>
      <c r="H58" s="349"/>
      <c r="I58" s="377">
        <v>10</v>
      </c>
      <c r="J58" s="1" t="s">
        <v>21</v>
      </c>
      <c r="K58" t="s">
        <v>55</v>
      </c>
      <c r="L58" s="1" t="s">
        <v>649</v>
      </c>
      <c r="M58" s="42"/>
      <c r="N58" s="42">
        <f>S39</f>
        <v>24.31419248251089</v>
      </c>
      <c r="O58" s="42">
        <f>T39</f>
        <v>6.7786885085905109</v>
      </c>
      <c r="P58" s="19"/>
      <c r="T58" s="380"/>
    </row>
    <row r="59" spans="1:20">
      <c r="A59" s="361">
        <v>12</v>
      </c>
      <c r="B59" s="30" t="s">
        <v>26</v>
      </c>
      <c r="C59" s="30" t="s">
        <v>47</v>
      </c>
      <c r="D59" s="30" t="s">
        <v>240</v>
      </c>
      <c r="E59" s="51">
        <v>2.6718444559863102</v>
      </c>
      <c r="F59" s="51">
        <v>3.8980962409510478</v>
      </c>
      <c r="G59" s="51">
        <v>0.5427165514198945</v>
      </c>
      <c r="H59" s="349"/>
      <c r="I59" s="381" t="s">
        <v>22</v>
      </c>
      <c r="J59" s="1" t="s">
        <v>149</v>
      </c>
      <c r="K59" s="26" t="s">
        <v>56</v>
      </c>
      <c r="L59" s="1" t="s">
        <v>642</v>
      </c>
      <c r="M59" s="42">
        <f>R39</f>
        <v>22.442503287543463</v>
      </c>
      <c r="N59" s="42"/>
      <c r="O59" s="42"/>
      <c r="P59" s="19"/>
      <c r="T59" s="380"/>
    </row>
    <row r="60" spans="1:20">
      <c r="A60" s="361"/>
      <c r="B60" s="30"/>
      <c r="C60" s="30"/>
      <c r="D60" s="30" t="s">
        <v>63</v>
      </c>
      <c r="E60" s="51">
        <v>2.17448175384488</v>
      </c>
      <c r="F60" s="51">
        <v>10.5059166634334</v>
      </c>
      <c r="G60" s="51">
        <v>15.887545409592899</v>
      </c>
      <c r="H60" s="349"/>
      <c r="I60" s="381"/>
      <c r="J60" s="1"/>
      <c r="K60" s="27" t="s">
        <v>57</v>
      </c>
      <c r="L60" s="1" t="s">
        <v>643</v>
      </c>
      <c r="M60" s="42"/>
      <c r="N60" s="42">
        <f>S41</f>
        <v>10.505916663433375</v>
      </c>
      <c r="O60" s="42">
        <f>T41</f>
        <v>15.887545409592944</v>
      </c>
      <c r="P60" s="19"/>
      <c r="T60" s="380"/>
    </row>
    <row r="61" spans="1:20">
      <c r="A61" s="361" t="s">
        <v>27</v>
      </c>
      <c r="B61" s="30" t="s">
        <v>153</v>
      </c>
      <c r="C61" s="30" t="s">
        <v>194</v>
      </c>
      <c r="D61" s="30" t="s">
        <v>62</v>
      </c>
      <c r="E61" s="51">
        <v>13.55</v>
      </c>
      <c r="F61" s="51">
        <v>18.425196873201656</v>
      </c>
      <c r="G61" s="51">
        <v>7.1863211296914242</v>
      </c>
      <c r="H61" s="9"/>
      <c r="I61" s="381" t="s">
        <v>24</v>
      </c>
      <c r="J61" s="1" t="s">
        <v>25</v>
      </c>
      <c r="K61" s="26" t="s">
        <v>58</v>
      </c>
      <c r="L61" s="4" t="s">
        <v>647</v>
      </c>
      <c r="M61" s="42">
        <f>R40</f>
        <v>0.48601379959576846</v>
      </c>
      <c r="N61" s="42"/>
      <c r="O61" s="42"/>
      <c r="P61" s="19"/>
      <c r="T61" s="380"/>
    </row>
    <row r="62" spans="1:20">
      <c r="A62" s="361"/>
      <c r="B62" s="30"/>
      <c r="C62" s="30"/>
      <c r="D62" s="30" t="s">
        <v>63</v>
      </c>
      <c r="E62" s="51">
        <v>2.17448175384488</v>
      </c>
      <c r="F62" s="51">
        <v>10.5059166634334</v>
      </c>
      <c r="G62" s="51">
        <v>15.887545409592899</v>
      </c>
      <c r="H62" s="9"/>
      <c r="I62" s="381"/>
      <c r="J62" s="1"/>
      <c r="K62" s="27" t="s">
        <v>59</v>
      </c>
      <c r="L62" s="4" t="s">
        <v>650</v>
      </c>
      <c r="M62" s="42"/>
      <c r="N62" s="42">
        <f>S42</f>
        <v>3.5019683032029292</v>
      </c>
      <c r="O62" s="42">
        <f>T42</f>
        <v>12.724537672530632</v>
      </c>
      <c r="P62" s="19"/>
      <c r="T62" s="380"/>
    </row>
    <row r="63" spans="1:20">
      <c r="A63" s="361" t="s">
        <v>29</v>
      </c>
      <c r="B63" s="30" t="s">
        <v>30</v>
      </c>
      <c r="C63" s="30" t="s">
        <v>194</v>
      </c>
      <c r="D63" s="30" t="s">
        <v>62</v>
      </c>
      <c r="E63" s="51">
        <v>13.55</v>
      </c>
      <c r="F63" s="51">
        <v>18.425196873201656</v>
      </c>
      <c r="G63" s="51">
        <v>7.1863211296914242</v>
      </c>
      <c r="H63" s="9"/>
      <c r="I63" s="381">
        <v>12</v>
      </c>
      <c r="J63" s="1" t="s">
        <v>26</v>
      </c>
      <c r="K63" s="28" t="s">
        <v>47</v>
      </c>
      <c r="L63" s="2" t="s">
        <v>642</v>
      </c>
      <c r="M63" s="42">
        <f>R39</f>
        <v>22.442503287543463</v>
      </c>
      <c r="N63" s="42"/>
      <c r="O63" s="42"/>
      <c r="P63" s="19"/>
      <c r="T63" s="380"/>
    </row>
    <row r="64" spans="1:20">
      <c r="A64" s="361"/>
      <c r="B64" s="30"/>
      <c r="C64" s="30"/>
      <c r="D64" s="30" t="s">
        <v>64</v>
      </c>
      <c r="E64" s="51">
        <v>0.94207873548462495</v>
      </c>
      <c r="F64" s="51">
        <v>15.837175145212711</v>
      </c>
      <c r="G64" s="51">
        <v>23.596114585935858</v>
      </c>
      <c r="H64" s="9"/>
      <c r="I64" s="381"/>
      <c r="J64" s="1"/>
      <c r="K64" s="28"/>
      <c r="L64" s="2" t="s">
        <v>643</v>
      </c>
      <c r="M64" s="42"/>
      <c r="N64" s="42">
        <f>S41</f>
        <v>10.505916663433375</v>
      </c>
      <c r="O64" s="42">
        <f>T41</f>
        <v>15.887545409592944</v>
      </c>
      <c r="P64" s="19"/>
      <c r="T64" s="380"/>
    </row>
    <row r="65" spans="1:20">
      <c r="A65" s="30">
        <v>14</v>
      </c>
      <c r="B65" s="30" t="s">
        <v>31</v>
      </c>
      <c r="C65" s="30" t="s">
        <v>61</v>
      </c>
      <c r="D65" s="30" t="s">
        <v>44</v>
      </c>
      <c r="E65" s="51">
        <v>8.1173465292200007</v>
      </c>
      <c r="F65" s="51">
        <v>22.761611333122001</v>
      </c>
      <c r="G65" s="51">
        <v>13.6819958482908</v>
      </c>
      <c r="H65" s="9"/>
      <c r="I65" s="381" t="s">
        <v>27</v>
      </c>
      <c r="J65" s="1" t="s">
        <v>153</v>
      </c>
      <c r="K65" s="28" t="s">
        <v>194</v>
      </c>
      <c r="L65" s="1" t="s">
        <v>642</v>
      </c>
      <c r="M65" s="42">
        <f>R39</f>
        <v>22.442503287543463</v>
      </c>
      <c r="N65" s="42"/>
      <c r="O65" s="42"/>
      <c r="P65" s="19"/>
      <c r="T65" s="380"/>
    </row>
    <row r="66" spans="1:20">
      <c r="A66" s="30"/>
      <c r="B66" s="30"/>
      <c r="C66" s="30" t="s">
        <v>259</v>
      </c>
      <c r="D66" s="30" t="s">
        <v>63</v>
      </c>
      <c r="E66" s="51">
        <v>2.17448175384488</v>
      </c>
      <c r="F66" s="51">
        <v>10.5059166634334</v>
      </c>
      <c r="G66" s="51">
        <v>15.887545409592899</v>
      </c>
      <c r="H66" s="9"/>
      <c r="I66" s="381"/>
      <c r="J66" s="1"/>
      <c r="K66" s="28"/>
      <c r="L66" s="1" t="s">
        <v>643</v>
      </c>
      <c r="M66" s="42"/>
      <c r="N66" s="42">
        <f>S41</f>
        <v>10.505916663433375</v>
      </c>
      <c r="O66" s="42">
        <f>T41</f>
        <v>15.887545409592944</v>
      </c>
      <c r="P66" s="19"/>
      <c r="T66" s="380"/>
    </row>
    <row r="67" spans="1:20">
      <c r="A67" s="30"/>
      <c r="B67" s="30"/>
      <c r="C67" s="30" t="s">
        <v>61</v>
      </c>
      <c r="D67" s="30" t="s">
        <v>64</v>
      </c>
      <c r="E67" s="51">
        <v>0.94207873548462495</v>
      </c>
      <c r="F67" s="51">
        <v>15.837175145212711</v>
      </c>
      <c r="G67" s="51">
        <v>23.596114585935858</v>
      </c>
      <c r="H67" s="9"/>
      <c r="I67" s="381" t="s">
        <v>29</v>
      </c>
      <c r="J67" s="1" t="s">
        <v>30</v>
      </c>
      <c r="K67" s="28" t="s">
        <v>194</v>
      </c>
      <c r="L67" s="1" t="s">
        <v>642</v>
      </c>
      <c r="M67" s="42">
        <f>R39</f>
        <v>22.442503287543463</v>
      </c>
      <c r="N67" s="42"/>
      <c r="O67" s="42"/>
      <c r="P67" s="19"/>
      <c r="T67" s="380"/>
    </row>
    <row r="68" spans="1:20">
      <c r="I68" s="381"/>
      <c r="J68" s="1"/>
      <c r="K68" s="28"/>
      <c r="L68" s="1" t="s">
        <v>644</v>
      </c>
      <c r="M68" s="42"/>
      <c r="N68" s="42">
        <f>S43</f>
        <v>7.4642767788468181</v>
      </c>
      <c r="O68" s="42">
        <f>T43</f>
        <v>22.266274022745353</v>
      </c>
      <c r="T68" s="380"/>
    </row>
    <row r="69" spans="1:20">
      <c r="I69" s="377">
        <v>14</v>
      </c>
      <c r="J69" s="1" t="s">
        <v>31</v>
      </c>
      <c r="K69" s="26" t="s">
        <v>61</v>
      </c>
      <c r="L69" s="1" t="s">
        <v>642</v>
      </c>
      <c r="M69" s="42">
        <f>R39</f>
        <v>22.442503287543463</v>
      </c>
      <c r="N69" s="42"/>
      <c r="O69" s="42"/>
      <c r="T69" s="380"/>
    </row>
    <row r="70" spans="1:20">
      <c r="B70" t="s">
        <v>313</v>
      </c>
      <c r="I70" s="377"/>
      <c r="K70" s="26" t="s">
        <v>259</v>
      </c>
      <c r="L70" s="1" t="s">
        <v>643</v>
      </c>
      <c r="M70" s="42"/>
      <c r="N70" s="42">
        <f>S41</f>
        <v>10.505916663433375</v>
      </c>
      <c r="O70" s="42">
        <f>T41</f>
        <v>15.887545409592944</v>
      </c>
      <c r="T70" s="380"/>
    </row>
    <row r="71" spans="1:20" ht="15" thickBot="1">
      <c r="B71" t="s">
        <v>314</v>
      </c>
      <c r="I71" s="174"/>
      <c r="J71" s="66"/>
      <c r="K71" s="382" t="s">
        <v>61</v>
      </c>
      <c r="L71" s="175" t="s">
        <v>644</v>
      </c>
      <c r="M71" s="276"/>
      <c r="N71" s="276">
        <f>S43</f>
        <v>7.4642767788468181</v>
      </c>
      <c r="O71" s="276">
        <f>T43</f>
        <v>22.266274022745353</v>
      </c>
      <c r="P71" s="66"/>
      <c r="Q71" s="66"/>
      <c r="R71" s="66"/>
      <c r="S71" s="66"/>
      <c r="T71" s="383"/>
    </row>
    <row r="72" spans="1:20">
      <c r="B72" t="s">
        <v>315</v>
      </c>
    </row>
    <row r="73" spans="1:20">
      <c r="B73" t="s">
        <v>316</v>
      </c>
    </row>
    <row r="74" spans="1:20">
      <c r="B74" s="356" t="s">
        <v>651</v>
      </c>
    </row>
  </sheetData>
  <mergeCells count="12">
    <mergeCell ref="M37:O37"/>
    <mergeCell ref="AE10:AG10"/>
    <mergeCell ref="E33:G33"/>
    <mergeCell ref="B1:E1"/>
    <mergeCell ref="G1:J1"/>
    <mergeCell ref="L1:O1"/>
    <mergeCell ref="Q1:T1"/>
    <mergeCell ref="B2:D2"/>
    <mergeCell ref="L2:N2"/>
    <mergeCell ref="Q2:S2"/>
    <mergeCell ref="N16:O16"/>
    <mergeCell ref="Q37:T37"/>
  </mergeCells>
  <conditionalFormatting sqref="P52:P67">
    <cfRule type="cellIs" dxfId="0" priority="1" operator="greaterThan">
      <formula>1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D2B2-67E2-4A17-9BCE-D246E85C607D}">
  <sheetPr codeName="Tabelle35">
    <tabColor theme="7"/>
  </sheetPr>
  <dimension ref="A1:R91"/>
  <sheetViews>
    <sheetView workbookViewId="0">
      <selection activeCell="N3" sqref="N3"/>
    </sheetView>
  </sheetViews>
  <sheetFormatPr baseColWidth="10" defaultColWidth="9.1796875" defaultRowHeight="14.5"/>
  <cols>
    <col min="1" max="1" width="1.54296875" customWidth="1"/>
    <col min="2" max="2" width="4.1796875" customWidth="1"/>
    <col min="3" max="3" width="48.54296875" customWidth="1"/>
    <col min="4" max="4" width="9.26953125" customWidth="1"/>
    <col min="5" max="5" width="13.26953125" customWidth="1"/>
    <col min="6" max="8" width="9.81640625" customWidth="1"/>
    <col min="9" max="9" width="24.1796875" bestFit="1" customWidth="1"/>
    <col min="10" max="10" width="20.453125" customWidth="1"/>
    <col min="11" max="11" width="10.7265625" customWidth="1"/>
    <col min="12" max="12" width="11.453125" customWidth="1"/>
    <col min="13" max="13" width="11.54296875" customWidth="1"/>
    <col min="14" max="14" width="10.7265625" customWidth="1"/>
    <col min="15" max="15" width="17.26953125" customWidth="1"/>
    <col min="16" max="18" width="18.453125" bestFit="1" customWidth="1"/>
  </cols>
  <sheetData>
    <row r="1" spans="1:18">
      <c r="D1" s="1071" t="s">
        <v>103</v>
      </c>
      <c r="E1" s="1071"/>
      <c r="F1" s="1071"/>
      <c r="G1" s="1071"/>
      <c r="H1" s="1071"/>
      <c r="L1" t="s">
        <v>65</v>
      </c>
      <c r="M1" t="s">
        <v>66</v>
      </c>
      <c r="N1" t="s">
        <v>67</v>
      </c>
      <c r="P1" t="s">
        <v>65</v>
      </c>
      <c r="Q1" t="s">
        <v>66</v>
      </c>
      <c r="R1" t="s">
        <v>67</v>
      </c>
    </row>
    <row r="2" spans="1:18">
      <c r="A2" s="24"/>
      <c r="B2" s="25" t="s">
        <v>104</v>
      </c>
      <c r="C2" s="25" t="s">
        <v>105</v>
      </c>
      <c r="D2" s="25" t="s">
        <v>106</v>
      </c>
      <c r="E2" s="25" t="s">
        <v>107</v>
      </c>
      <c r="F2" s="25" t="s">
        <v>108</v>
      </c>
      <c r="G2" s="25" t="s">
        <v>109</v>
      </c>
      <c r="H2" s="25" t="s">
        <v>110</v>
      </c>
      <c r="I2" s="25" t="s">
        <v>111</v>
      </c>
      <c r="J2" s="25" t="s">
        <v>41</v>
      </c>
      <c r="K2" s="25" t="s">
        <v>112</v>
      </c>
      <c r="L2" s="25" t="s">
        <v>113</v>
      </c>
      <c r="M2" s="25" t="s">
        <v>114</v>
      </c>
      <c r="N2" s="25" t="s">
        <v>115</v>
      </c>
      <c r="O2" s="25" t="s">
        <v>116</v>
      </c>
      <c r="P2" s="25" t="s">
        <v>117</v>
      </c>
      <c r="Q2" s="25" t="s">
        <v>118</v>
      </c>
      <c r="R2" s="25" t="s">
        <v>119</v>
      </c>
    </row>
    <row r="3" spans="1:18">
      <c r="B3">
        <v>1</v>
      </c>
      <c r="C3" s="1" t="s">
        <v>2</v>
      </c>
      <c r="D3" s="1" t="s">
        <v>120</v>
      </c>
      <c r="E3" s="1" t="s">
        <v>121</v>
      </c>
      <c r="F3" s="1">
        <v>9</v>
      </c>
      <c r="G3" s="1">
        <v>6</v>
      </c>
      <c r="H3" s="1">
        <v>0.96499999999999997</v>
      </c>
      <c r="I3" t="s">
        <v>43</v>
      </c>
      <c r="J3" t="s">
        <v>62</v>
      </c>
      <c r="K3" t="s">
        <v>122</v>
      </c>
      <c r="L3" t="s">
        <v>68</v>
      </c>
      <c r="M3" t="s">
        <v>69</v>
      </c>
      <c r="N3" t="s">
        <v>39</v>
      </c>
      <c r="O3" t="s">
        <v>123</v>
      </c>
      <c r="P3" t="s">
        <v>73</v>
      </c>
      <c r="Q3" t="s">
        <v>73</v>
      </c>
      <c r="R3" t="s">
        <v>73</v>
      </c>
    </row>
    <row r="4" spans="1:18">
      <c r="B4">
        <v>2</v>
      </c>
      <c r="C4" s="1" t="s">
        <v>3</v>
      </c>
      <c r="D4" s="1" t="s">
        <v>120</v>
      </c>
      <c r="E4" s="1" t="s">
        <v>124</v>
      </c>
      <c r="F4" s="1">
        <v>9</v>
      </c>
      <c r="G4" s="1">
        <v>6</v>
      </c>
      <c r="H4" s="1">
        <v>1.0389999999999999</v>
      </c>
      <c r="I4" s="26" t="s">
        <v>44</v>
      </c>
      <c r="J4" t="s">
        <v>62</v>
      </c>
      <c r="K4" t="s">
        <v>122</v>
      </c>
      <c r="L4" t="s">
        <v>70</v>
      </c>
      <c r="M4" t="s">
        <v>68</v>
      </c>
      <c r="N4" t="s">
        <v>71</v>
      </c>
      <c r="O4" t="s">
        <v>125</v>
      </c>
      <c r="P4" t="s">
        <v>73</v>
      </c>
      <c r="Q4" t="s">
        <v>73</v>
      </c>
      <c r="R4" t="s">
        <v>73</v>
      </c>
    </row>
    <row r="5" spans="1:18">
      <c r="C5" s="1"/>
      <c r="D5" s="1"/>
      <c r="E5" s="1"/>
      <c r="F5" s="1"/>
      <c r="G5" s="1"/>
      <c r="H5" s="1"/>
      <c r="I5" s="27" t="s">
        <v>45</v>
      </c>
      <c r="J5" t="s">
        <v>63</v>
      </c>
      <c r="K5" t="s">
        <v>122</v>
      </c>
      <c r="L5" t="s">
        <v>70</v>
      </c>
      <c r="M5" t="s">
        <v>70</v>
      </c>
      <c r="N5" t="s">
        <v>70</v>
      </c>
      <c r="O5" t="s">
        <v>126</v>
      </c>
      <c r="P5" t="s">
        <v>40</v>
      </c>
      <c r="Q5" t="s">
        <v>73</v>
      </c>
      <c r="R5" t="s">
        <v>73</v>
      </c>
    </row>
    <row r="6" spans="1:18">
      <c r="B6">
        <v>3</v>
      </c>
      <c r="C6" s="1" t="s">
        <v>127</v>
      </c>
      <c r="D6" s="1"/>
      <c r="E6" s="1"/>
      <c r="F6" s="1"/>
      <c r="G6" s="1"/>
      <c r="H6" s="29">
        <v>0.19</v>
      </c>
      <c r="I6" s="26" t="s">
        <v>46</v>
      </c>
      <c r="J6" t="s">
        <v>62</v>
      </c>
      <c r="K6" t="s">
        <v>122</v>
      </c>
      <c r="L6" t="s">
        <v>70</v>
      </c>
      <c r="M6" t="s">
        <v>68</v>
      </c>
      <c r="N6" t="s">
        <v>71</v>
      </c>
      <c r="O6" t="s">
        <v>128</v>
      </c>
      <c r="P6" t="s">
        <v>73</v>
      </c>
      <c r="Q6" t="s">
        <v>73</v>
      </c>
      <c r="R6" t="s">
        <v>73</v>
      </c>
    </row>
    <row r="7" spans="1:18">
      <c r="B7">
        <v>4</v>
      </c>
      <c r="C7" s="1" t="s">
        <v>5</v>
      </c>
      <c r="D7" s="1" t="s">
        <v>47</v>
      </c>
      <c r="E7" s="8" t="s">
        <v>129</v>
      </c>
      <c r="F7" s="1">
        <v>9</v>
      </c>
      <c r="G7" s="1">
        <v>6</v>
      </c>
      <c r="H7" s="1">
        <v>0.60799999999999998</v>
      </c>
      <c r="I7" s="28" t="s">
        <v>47</v>
      </c>
      <c r="J7" t="s">
        <v>130</v>
      </c>
      <c r="K7" t="s">
        <v>122</v>
      </c>
      <c r="L7" t="s">
        <v>70</v>
      </c>
      <c r="M7" t="s">
        <v>70</v>
      </c>
      <c r="N7" t="s">
        <v>70</v>
      </c>
      <c r="O7" t="s">
        <v>123</v>
      </c>
      <c r="P7" t="s">
        <v>73</v>
      </c>
      <c r="Q7" t="s">
        <v>73</v>
      </c>
      <c r="R7" t="s">
        <v>73</v>
      </c>
    </row>
    <row r="8" spans="1:18">
      <c r="B8">
        <v>5</v>
      </c>
      <c r="C8" s="1" t="s">
        <v>6</v>
      </c>
      <c r="D8" s="1" t="s">
        <v>47</v>
      </c>
      <c r="E8" s="1" t="s">
        <v>131</v>
      </c>
      <c r="F8" s="1">
        <v>8</v>
      </c>
      <c r="G8" s="1">
        <v>2</v>
      </c>
      <c r="H8" s="1">
        <v>0.28299999999999997</v>
      </c>
      <c r="I8" s="28" t="s">
        <v>48</v>
      </c>
      <c r="J8" t="s">
        <v>130</v>
      </c>
      <c r="K8" t="s">
        <v>122</v>
      </c>
      <c r="L8" t="s">
        <v>70</v>
      </c>
      <c r="M8" t="s">
        <v>70</v>
      </c>
      <c r="N8" t="s">
        <v>70</v>
      </c>
      <c r="O8" t="s">
        <v>132</v>
      </c>
      <c r="P8" t="s">
        <v>133</v>
      </c>
      <c r="Q8" t="s">
        <v>73</v>
      </c>
      <c r="R8" t="s">
        <v>73</v>
      </c>
    </row>
    <row r="9" spans="1:18">
      <c r="B9">
        <v>6</v>
      </c>
      <c r="C9" s="1" t="s">
        <v>7</v>
      </c>
      <c r="D9" s="1"/>
      <c r="E9" s="1"/>
      <c r="F9" s="1"/>
      <c r="G9" s="1"/>
      <c r="H9" s="29">
        <v>0.4</v>
      </c>
      <c r="I9" s="27" t="s">
        <v>49</v>
      </c>
      <c r="J9" t="s">
        <v>63</v>
      </c>
      <c r="K9" t="s">
        <v>122</v>
      </c>
      <c r="L9" t="s">
        <v>70</v>
      </c>
      <c r="M9" t="s">
        <v>70</v>
      </c>
      <c r="N9" t="s">
        <v>70</v>
      </c>
      <c r="O9" t="s">
        <v>126</v>
      </c>
      <c r="P9" t="s">
        <v>40</v>
      </c>
      <c r="Q9" t="s">
        <v>73</v>
      </c>
      <c r="R9" t="s">
        <v>73</v>
      </c>
    </row>
    <row r="10" spans="1:18">
      <c r="B10">
        <v>7</v>
      </c>
      <c r="C10" s="1" t="s">
        <v>8</v>
      </c>
      <c r="D10" s="1" t="s">
        <v>134</v>
      </c>
      <c r="E10" s="1" t="s">
        <v>135</v>
      </c>
      <c r="F10" s="1">
        <v>9</v>
      </c>
      <c r="G10" s="1">
        <v>6</v>
      </c>
      <c r="H10" s="29">
        <v>0.44813999999999998</v>
      </c>
      <c r="I10" s="2" t="s">
        <v>50</v>
      </c>
      <c r="J10" t="s">
        <v>136</v>
      </c>
      <c r="K10" t="s">
        <v>137</v>
      </c>
      <c r="L10" t="s">
        <v>70</v>
      </c>
      <c r="M10" t="s">
        <v>70</v>
      </c>
      <c r="N10" t="s">
        <v>70</v>
      </c>
      <c r="O10" t="s">
        <v>138</v>
      </c>
      <c r="P10" t="s">
        <v>73</v>
      </c>
      <c r="Q10" t="s">
        <v>73</v>
      </c>
      <c r="R10" t="s">
        <v>73</v>
      </c>
    </row>
    <row r="11" spans="1:18">
      <c r="B11" s="3" t="s">
        <v>9</v>
      </c>
      <c r="C11" s="1" t="s">
        <v>10</v>
      </c>
      <c r="D11" s="1" t="s">
        <v>139</v>
      </c>
      <c r="E11" s="1" t="s">
        <v>140</v>
      </c>
      <c r="F11" s="1">
        <v>8</v>
      </c>
      <c r="G11" s="1">
        <v>2</v>
      </c>
      <c r="H11" s="29">
        <v>0.51100000000000001</v>
      </c>
      <c r="I11" s="30" t="s">
        <v>51</v>
      </c>
      <c r="J11" t="s">
        <v>64</v>
      </c>
      <c r="K11" t="s">
        <v>122</v>
      </c>
      <c r="L11" t="s">
        <v>70</v>
      </c>
      <c r="M11" t="s">
        <v>70</v>
      </c>
      <c r="N11" t="s">
        <v>70</v>
      </c>
      <c r="O11" t="s">
        <v>141</v>
      </c>
      <c r="P11" t="s">
        <v>74</v>
      </c>
      <c r="Q11" t="s">
        <v>40</v>
      </c>
      <c r="R11" t="s">
        <v>73</v>
      </c>
    </row>
    <row r="12" spans="1:18">
      <c r="B12" s="3" t="s">
        <v>11</v>
      </c>
      <c r="C12" s="1" t="s">
        <v>12</v>
      </c>
      <c r="D12" s="1" t="s">
        <v>139</v>
      </c>
      <c r="E12" s="1" t="s">
        <v>142</v>
      </c>
      <c r="F12" s="1"/>
      <c r="G12" s="1"/>
      <c r="H12" s="29">
        <f>'conv.f. additional'!C33</f>
        <v>0.30607962</v>
      </c>
      <c r="I12" s="30" t="s">
        <v>51</v>
      </c>
      <c r="J12" t="s">
        <v>64</v>
      </c>
      <c r="K12" t="s">
        <v>122</v>
      </c>
      <c r="L12" t="s">
        <v>70</v>
      </c>
      <c r="M12" t="s">
        <v>70</v>
      </c>
      <c r="N12" t="s">
        <v>70</v>
      </c>
      <c r="O12" t="s">
        <v>141</v>
      </c>
      <c r="P12" t="s">
        <v>74</v>
      </c>
      <c r="Q12" t="s">
        <v>40</v>
      </c>
      <c r="R12" t="s">
        <v>73</v>
      </c>
    </row>
    <row r="13" spans="1:18">
      <c r="B13" s="3" t="s">
        <v>13</v>
      </c>
      <c r="C13" s="1" t="s">
        <v>14</v>
      </c>
      <c r="D13" s="1" t="s">
        <v>139</v>
      </c>
      <c r="E13" s="1" t="s">
        <v>143</v>
      </c>
      <c r="F13" s="1">
        <v>9</v>
      </c>
      <c r="G13" s="1">
        <v>3</v>
      </c>
      <c r="H13" s="18" t="s">
        <v>144</v>
      </c>
      <c r="I13" s="30" t="s">
        <v>52</v>
      </c>
      <c r="J13" t="s">
        <v>64</v>
      </c>
      <c r="K13" t="s">
        <v>122</v>
      </c>
      <c r="L13" t="s">
        <v>70</v>
      </c>
      <c r="M13" t="s">
        <v>70</v>
      </c>
      <c r="N13" t="s">
        <v>70</v>
      </c>
      <c r="O13" t="s">
        <v>141</v>
      </c>
      <c r="P13" t="s">
        <v>74</v>
      </c>
      <c r="Q13" t="s">
        <v>40</v>
      </c>
      <c r="R13" t="s">
        <v>73</v>
      </c>
    </row>
    <row r="14" spans="1:18">
      <c r="B14" s="3" t="s">
        <v>15</v>
      </c>
      <c r="C14" s="1" t="s">
        <v>16</v>
      </c>
      <c r="D14" s="1"/>
      <c r="E14" s="1"/>
      <c r="F14" s="1"/>
      <c r="G14" s="1"/>
      <c r="H14" s="1">
        <v>0.01</v>
      </c>
      <c r="I14" s="30" t="s">
        <v>51</v>
      </c>
      <c r="J14" t="s">
        <v>64</v>
      </c>
      <c r="K14" t="s">
        <v>122</v>
      </c>
      <c r="L14" t="s">
        <v>70</v>
      </c>
      <c r="M14" t="s">
        <v>70</v>
      </c>
      <c r="N14" t="s">
        <v>70</v>
      </c>
      <c r="O14" t="s">
        <v>141</v>
      </c>
      <c r="P14" t="s">
        <v>74</v>
      </c>
      <c r="Q14" t="s">
        <v>40</v>
      </c>
      <c r="R14" t="s">
        <v>73</v>
      </c>
    </row>
    <row r="15" spans="1:18">
      <c r="B15" s="3" t="s">
        <v>17</v>
      </c>
      <c r="C15" s="1" t="s">
        <v>18</v>
      </c>
      <c r="D15" s="1" t="s">
        <v>139</v>
      </c>
      <c r="E15" s="1" t="s">
        <v>145</v>
      </c>
      <c r="F15" s="1">
        <v>8</v>
      </c>
      <c r="G15" s="1">
        <v>2</v>
      </c>
      <c r="H15" s="1">
        <v>0.66400000000000003</v>
      </c>
      <c r="I15" s="2" t="s">
        <v>53</v>
      </c>
      <c r="J15" t="s">
        <v>136</v>
      </c>
      <c r="K15" t="s">
        <v>137</v>
      </c>
      <c r="L15" t="s">
        <v>70</v>
      </c>
      <c r="M15" t="s">
        <v>70</v>
      </c>
      <c r="N15" t="s">
        <v>70</v>
      </c>
      <c r="O15" t="s">
        <v>138</v>
      </c>
      <c r="P15" t="s">
        <v>73</v>
      </c>
      <c r="Q15" t="s">
        <v>73</v>
      </c>
      <c r="R15" t="s">
        <v>73</v>
      </c>
    </row>
    <row r="16" spans="1:18">
      <c r="B16" s="3" t="s">
        <v>19</v>
      </c>
      <c r="C16" s="1" t="s">
        <v>20</v>
      </c>
      <c r="D16" s="1" t="s">
        <v>146</v>
      </c>
      <c r="E16" s="1" t="s">
        <v>147</v>
      </c>
      <c r="F16" s="1">
        <v>9</v>
      </c>
      <c r="G16" s="1">
        <v>3</v>
      </c>
      <c r="H16" s="18" t="s">
        <v>144</v>
      </c>
      <c r="I16" s="2" t="s">
        <v>54</v>
      </c>
      <c r="J16" t="s">
        <v>136</v>
      </c>
      <c r="K16" t="s">
        <v>137</v>
      </c>
      <c r="L16" t="s">
        <v>70</v>
      </c>
      <c r="M16" t="s">
        <v>70</v>
      </c>
      <c r="N16" t="s">
        <v>70</v>
      </c>
      <c r="O16" t="s">
        <v>138</v>
      </c>
      <c r="P16" t="s">
        <v>73</v>
      </c>
      <c r="Q16" t="s">
        <v>73</v>
      </c>
      <c r="R16" t="s">
        <v>73</v>
      </c>
    </row>
    <row r="17" spans="2:18">
      <c r="B17">
        <v>10</v>
      </c>
      <c r="C17" s="1" t="s">
        <v>21</v>
      </c>
      <c r="D17" s="1" t="s">
        <v>55</v>
      </c>
      <c r="E17" s="1" t="s">
        <v>148</v>
      </c>
      <c r="F17" s="1">
        <v>8</v>
      </c>
      <c r="G17" s="1">
        <v>2</v>
      </c>
      <c r="H17" s="29">
        <f>'conv.f. additional'!C42</f>
        <v>0.6041200990756963</v>
      </c>
      <c r="I17" t="s">
        <v>55</v>
      </c>
      <c r="J17" t="s">
        <v>136</v>
      </c>
      <c r="K17" t="s">
        <v>137</v>
      </c>
      <c r="L17" t="s">
        <v>70</v>
      </c>
      <c r="M17" t="s">
        <v>70</v>
      </c>
      <c r="N17" t="s">
        <v>70</v>
      </c>
      <c r="O17" t="s">
        <v>141</v>
      </c>
      <c r="P17" t="s">
        <v>74</v>
      </c>
      <c r="Q17" t="s">
        <v>40</v>
      </c>
      <c r="R17" t="s">
        <v>73</v>
      </c>
    </row>
    <row r="18" spans="2:18">
      <c r="B18" t="s">
        <v>22</v>
      </c>
      <c r="C18" s="1" t="s">
        <v>149</v>
      </c>
      <c r="D18" s="1" t="s">
        <v>139</v>
      </c>
      <c r="E18" s="1" t="s">
        <v>150</v>
      </c>
      <c r="F18" s="1">
        <v>8</v>
      </c>
      <c r="G18" s="1">
        <v>2</v>
      </c>
      <c r="H18" s="1">
        <v>0.45100000000000001</v>
      </c>
      <c r="I18" s="26" t="s">
        <v>56</v>
      </c>
      <c r="J18" t="s">
        <v>62</v>
      </c>
      <c r="K18" t="s">
        <v>122</v>
      </c>
      <c r="L18" t="s">
        <v>70</v>
      </c>
      <c r="M18" t="s">
        <v>68</v>
      </c>
      <c r="N18" t="s">
        <v>71</v>
      </c>
      <c r="O18" t="s">
        <v>128</v>
      </c>
      <c r="P18" t="s">
        <v>73</v>
      </c>
      <c r="Q18" t="s">
        <v>73</v>
      </c>
      <c r="R18" t="s">
        <v>73</v>
      </c>
    </row>
    <row r="19" spans="2:18">
      <c r="C19" s="1"/>
      <c r="D19" s="1"/>
      <c r="E19" s="1"/>
      <c r="F19" s="1"/>
      <c r="G19" s="1"/>
      <c r="H19" s="1"/>
      <c r="I19" s="27" t="s">
        <v>57</v>
      </c>
      <c r="J19" t="s">
        <v>63</v>
      </c>
      <c r="K19" t="s">
        <v>122</v>
      </c>
      <c r="L19" t="s">
        <v>70</v>
      </c>
      <c r="M19" t="s">
        <v>70</v>
      </c>
      <c r="N19" t="s">
        <v>70</v>
      </c>
      <c r="O19" t="s">
        <v>126</v>
      </c>
      <c r="P19" t="s">
        <v>40</v>
      </c>
      <c r="Q19" t="s">
        <v>73</v>
      </c>
      <c r="R19" t="s">
        <v>73</v>
      </c>
    </row>
    <row r="20" spans="2:18">
      <c r="B20" t="s">
        <v>24</v>
      </c>
      <c r="C20" s="1" t="s">
        <v>25</v>
      </c>
      <c r="D20" s="1" t="s">
        <v>139</v>
      </c>
      <c r="E20" s="1" t="s">
        <v>151</v>
      </c>
      <c r="F20" s="1">
        <v>6</v>
      </c>
      <c r="G20" s="1">
        <v>1</v>
      </c>
      <c r="H20" s="18" t="s">
        <v>144</v>
      </c>
      <c r="I20" s="26" t="s">
        <v>58</v>
      </c>
      <c r="J20" t="s">
        <v>62</v>
      </c>
      <c r="K20" t="s">
        <v>122</v>
      </c>
      <c r="L20" t="s">
        <v>70</v>
      </c>
      <c r="M20" t="s">
        <v>68</v>
      </c>
      <c r="N20" t="s">
        <v>71</v>
      </c>
      <c r="O20" t="s">
        <v>125</v>
      </c>
      <c r="P20" t="s">
        <v>73</v>
      </c>
      <c r="Q20" t="s">
        <v>73</v>
      </c>
      <c r="R20" t="s">
        <v>73</v>
      </c>
    </row>
    <row r="21" spans="2:18">
      <c r="C21" s="1"/>
      <c r="D21" s="1"/>
      <c r="E21" s="1"/>
      <c r="F21" s="1"/>
      <c r="G21" s="1"/>
      <c r="H21" s="1"/>
      <c r="I21" s="27" t="s">
        <v>59</v>
      </c>
      <c r="J21" t="s">
        <v>63</v>
      </c>
      <c r="K21" t="s">
        <v>122</v>
      </c>
      <c r="L21" t="s">
        <v>70</v>
      </c>
      <c r="M21" t="s">
        <v>70</v>
      </c>
      <c r="N21" t="s">
        <v>70</v>
      </c>
      <c r="O21" t="s">
        <v>126</v>
      </c>
      <c r="P21" t="s">
        <v>40</v>
      </c>
      <c r="Q21" t="s">
        <v>73</v>
      </c>
      <c r="R21" t="s">
        <v>73</v>
      </c>
    </row>
    <row r="22" spans="2:18">
      <c r="B22">
        <v>12</v>
      </c>
      <c r="C22" s="1" t="s">
        <v>26</v>
      </c>
      <c r="D22" s="1"/>
      <c r="E22" s="1"/>
      <c r="F22" s="1"/>
      <c r="G22" s="1"/>
      <c r="H22" s="1">
        <v>14.01</v>
      </c>
      <c r="I22" s="28" t="s">
        <v>47</v>
      </c>
      <c r="J22" t="s">
        <v>152</v>
      </c>
      <c r="K22" t="s">
        <v>122</v>
      </c>
      <c r="L22" t="s">
        <v>70</v>
      </c>
      <c r="M22" t="s">
        <v>70</v>
      </c>
      <c r="N22" t="s">
        <v>70</v>
      </c>
      <c r="O22" t="s">
        <v>132</v>
      </c>
      <c r="P22" t="s">
        <v>73</v>
      </c>
      <c r="Q22" t="s">
        <v>73</v>
      </c>
      <c r="R22" t="s">
        <v>73</v>
      </c>
    </row>
    <row r="23" spans="2:18">
      <c r="B23" t="s">
        <v>27</v>
      </c>
      <c r="C23" s="1" t="s">
        <v>153</v>
      </c>
      <c r="D23" s="1" t="s">
        <v>139</v>
      </c>
      <c r="E23" s="1" t="s">
        <v>154</v>
      </c>
      <c r="F23">
        <v>6</v>
      </c>
      <c r="G23">
        <v>1</v>
      </c>
      <c r="H23">
        <v>0.61599999999999999</v>
      </c>
      <c r="I23" s="28" t="s">
        <v>155</v>
      </c>
      <c r="J23" t="s">
        <v>156</v>
      </c>
      <c r="K23" t="s">
        <v>122</v>
      </c>
      <c r="L23" t="s">
        <v>68</v>
      </c>
      <c r="M23" s="1" t="s">
        <v>70</v>
      </c>
      <c r="N23" s="1" t="s">
        <v>70</v>
      </c>
      <c r="O23" t="s">
        <v>157</v>
      </c>
      <c r="P23" t="s">
        <v>73</v>
      </c>
      <c r="Q23" t="s">
        <v>73</v>
      </c>
      <c r="R23" t="s">
        <v>73</v>
      </c>
    </row>
    <row r="24" spans="2:18">
      <c r="B24" t="s">
        <v>29</v>
      </c>
      <c r="C24" s="1" t="s">
        <v>30</v>
      </c>
      <c r="D24" s="1" t="s">
        <v>139</v>
      </c>
      <c r="E24" s="1" t="s">
        <v>154</v>
      </c>
      <c r="F24">
        <v>6</v>
      </c>
      <c r="G24">
        <v>1</v>
      </c>
      <c r="H24">
        <v>0.61599999999999999</v>
      </c>
      <c r="I24" s="28" t="s">
        <v>60</v>
      </c>
      <c r="J24" t="s">
        <v>156</v>
      </c>
      <c r="K24" t="s">
        <v>122</v>
      </c>
      <c r="L24" t="s">
        <v>68</v>
      </c>
      <c r="M24" s="1" t="s">
        <v>70</v>
      </c>
      <c r="N24" s="1" t="s">
        <v>70</v>
      </c>
      <c r="O24" t="s">
        <v>157</v>
      </c>
      <c r="P24" t="s">
        <v>73</v>
      </c>
      <c r="Q24" t="s">
        <v>73</v>
      </c>
      <c r="R24" t="s">
        <v>73</v>
      </c>
    </row>
    <row r="25" spans="2:18">
      <c r="B25">
        <v>14</v>
      </c>
      <c r="C25" s="1" t="s">
        <v>31</v>
      </c>
      <c r="D25" s="1" t="s">
        <v>139</v>
      </c>
      <c r="E25" s="1" t="s">
        <v>158</v>
      </c>
      <c r="F25" s="1">
        <v>4</v>
      </c>
      <c r="G25" s="1">
        <v>1</v>
      </c>
      <c r="H25" s="1">
        <v>0.83899999999999997</v>
      </c>
      <c r="I25" s="26" t="s">
        <v>61</v>
      </c>
      <c r="J25" t="s">
        <v>159</v>
      </c>
      <c r="K25" t="s">
        <v>122</v>
      </c>
      <c r="L25" t="s">
        <v>70</v>
      </c>
      <c r="M25" s="1" t="s">
        <v>70</v>
      </c>
      <c r="N25" s="1" t="s">
        <v>70</v>
      </c>
      <c r="O25" t="s">
        <v>125</v>
      </c>
      <c r="P25" t="s">
        <v>73</v>
      </c>
      <c r="Q25" t="s">
        <v>73</v>
      </c>
      <c r="R25" t="s">
        <v>73</v>
      </c>
    </row>
    <row r="28" spans="2:18">
      <c r="L28" s="31" t="s">
        <v>70</v>
      </c>
      <c r="P28" s="31" t="s">
        <v>73</v>
      </c>
    </row>
    <row r="29" spans="2:18">
      <c r="L29" s="32" t="s">
        <v>68</v>
      </c>
      <c r="P29" s="32" t="s">
        <v>40</v>
      </c>
    </row>
    <row r="30" spans="2:18">
      <c r="L30" s="15" t="s">
        <v>69</v>
      </c>
      <c r="P30" s="15" t="s">
        <v>74</v>
      </c>
    </row>
    <row r="31" spans="2:18">
      <c r="F31" s="33"/>
    </row>
    <row r="74" spans="2:9">
      <c r="B74">
        <v>3</v>
      </c>
      <c r="C74" t="s">
        <v>4</v>
      </c>
      <c r="D74">
        <v>1</v>
      </c>
      <c r="E74" t="s">
        <v>319</v>
      </c>
    </row>
    <row r="75" spans="2:9">
      <c r="D75">
        <v>1</v>
      </c>
      <c r="E75" t="s">
        <v>320</v>
      </c>
    </row>
    <row r="76" spans="2:9">
      <c r="D76">
        <v>2</v>
      </c>
      <c r="E76" t="s">
        <v>321</v>
      </c>
    </row>
    <row r="77" spans="2:9">
      <c r="D77">
        <f>D75/D76</f>
        <v>0.5</v>
      </c>
      <c r="E77" t="s">
        <v>322</v>
      </c>
      <c r="I77" s="87" t="s">
        <v>324</v>
      </c>
    </row>
    <row r="78" spans="2:9">
      <c r="D78">
        <v>0.38</v>
      </c>
      <c r="E78" t="s">
        <v>323</v>
      </c>
      <c r="I78" s="87" t="s">
        <v>325</v>
      </c>
    </row>
    <row r="79" spans="2:9">
      <c r="D79" s="34">
        <f>D77*D78</f>
        <v>0.19</v>
      </c>
      <c r="E79" s="34" t="s">
        <v>331</v>
      </c>
    </row>
    <row r="81" spans="2:5">
      <c r="B81" s="3" t="s">
        <v>15</v>
      </c>
      <c r="C81" s="1" t="s">
        <v>16</v>
      </c>
      <c r="D81">
        <v>10</v>
      </c>
      <c r="E81" t="s">
        <v>329</v>
      </c>
    </row>
    <row r="82" spans="2:5">
      <c r="D82">
        <v>1000</v>
      </c>
      <c r="E82" t="s">
        <v>330</v>
      </c>
    </row>
    <row r="83" spans="2:5">
      <c r="D83" s="36">
        <f>D81/D82</f>
        <v>0.01</v>
      </c>
      <c r="E83" s="34" t="s">
        <v>332</v>
      </c>
    </row>
    <row r="85" spans="2:5">
      <c r="B85">
        <v>12</v>
      </c>
      <c r="C85" s="1" t="s">
        <v>26</v>
      </c>
      <c r="D85">
        <v>2.12</v>
      </c>
      <c r="E85" t="s">
        <v>333</v>
      </c>
    </row>
    <row r="86" spans="2:5">
      <c r="D86" s="1">
        <v>29.7</v>
      </c>
      <c r="E86" s="1" t="s">
        <v>336</v>
      </c>
    </row>
    <row r="87" spans="2:5">
      <c r="D87">
        <f>2.12*10^3</f>
        <v>2120</v>
      </c>
      <c r="E87" t="s">
        <v>337</v>
      </c>
    </row>
    <row r="88" spans="2:5">
      <c r="D88">
        <v>1000</v>
      </c>
      <c r="E88" t="s">
        <v>339</v>
      </c>
    </row>
    <row r="89" spans="2:5">
      <c r="D89">
        <f>D88*D86</f>
        <v>29700</v>
      </c>
      <c r="E89" t="s">
        <v>338</v>
      </c>
    </row>
    <row r="90" spans="2:5">
      <c r="D90">
        <f>D87/D89</f>
        <v>7.1380471380471378E-2</v>
      </c>
      <c r="E90" t="s">
        <v>334</v>
      </c>
    </row>
    <row r="91" spans="2:5">
      <c r="D91" s="89">
        <f>1/D90</f>
        <v>14.009433962264152</v>
      </c>
      <c r="E91" s="34" t="s">
        <v>335</v>
      </c>
    </row>
  </sheetData>
  <mergeCells count="1">
    <mergeCell ref="D1:H1"/>
  </mergeCells>
  <hyperlinks>
    <hyperlink ref="I77" r:id="rId1" xr:uid="{A26DD909-F82B-490A-948E-F6B726CBA3FD}"/>
    <hyperlink ref="I78" r:id="rId2" xr:uid="{D7626072-566D-47E2-890B-CC3718127A4B}"/>
  </hyperlinks>
  <pageMargins left="0.7" right="0.7" top="0.78740157499999996" bottom="0.78740157499999996" header="0.3" footer="0.3"/>
  <pageSetup paperSize="9" orientation="portrait" r:id="rId3"/>
  <legacy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6B91-6105-439D-A16E-C4DBF06630E0}">
  <dimension ref="A1:F40"/>
  <sheetViews>
    <sheetView showGridLines="0" workbookViewId="0">
      <pane ySplit="3" topLeftCell="A4" activePane="bottomLeft" state="frozen"/>
      <selection pane="bottomLeft" activeCell="D4" sqref="D4"/>
    </sheetView>
  </sheetViews>
  <sheetFormatPr baseColWidth="10" defaultRowHeight="14.5"/>
  <cols>
    <col min="1" max="1" width="13.6328125" customWidth="1"/>
    <col min="2" max="2" width="11.81640625" customWidth="1"/>
    <col min="3" max="3" width="45.453125" customWidth="1"/>
    <col min="4" max="4" width="65.453125" customWidth="1"/>
    <col min="5" max="6" width="27.26953125" customWidth="1"/>
  </cols>
  <sheetData>
    <row r="1" spans="1:6" ht="18.5">
      <c r="A1" s="1103" t="s">
        <v>1487</v>
      </c>
      <c r="B1" s="1103"/>
      <c r="C1" s="1103"/>
      <c r="D1" s="1103"/>
      <c r="E1" s="1103"/>
      <c r="F1" s="1103"/>
    </row>
    <row r="2" spans="1:6">
      <c r="A2" s="1104" t="s">
        <v>1488</v>
      </c>
      <c r="B2" s="1104"/>
      <c r="C2" s="1104"/>
      <c r="D2" s="1104"/>
      <c r="E2" s="1104"/>
      <c r="F2" s="1104"/>
    </row>
    <row r="3" spans="1:6">
      <c r="A3" s="1035" t="s">
        <v>1489</v>
      </c>
      <c r="B3" s="1035" t="s">
        <v>1490</v>
      </c>
      <c r="C3" s="1035" t="s">
        <v>1491</v>
      </c>
      <c r="D3" s="1035" t="s">
        <v>1492</v>
      </c>
      <c r="E3" s="1035" t="s">
        <v>1493</v>
      </c>
      <c r="F3" s="1035" t="s">
        <v>1494</v>
      </c>
    </row>
    <row r="4" spans="1:6" ht="29">
      <c r="A4" s="1036" t="s">
        <v>787</v>
      </c>
      <c r="B4" s="1036">
        <v>1</v>
      </c>
      <c r="C4" s="1037" t="s">
        <v>2</v>
      </c>
      <c r="D4" s="1037" t="s">
        <v>1495</v>
      </c>
      <c r="E4" s="1037" t="s">
        <v>43</v>
      </c>
      <c r="F4" s="1037" t="s">
        <v>640</v>
      </c>
    </row>
    <row r="5" spans="1:6" ht="43.5">
      <c r="A5" s="1036" t="s">
        <v>787</v>
      </c>
      <c r="B5" s="1036">
        <v>2</v>
      </c>
      <c r="C5" s="1037" t="s">
        <v>3</v>
      </c>
      <c r="D5" s="1037" t="s">
        <v>1496</v>
      </c>
      <c r="E5" s="1037" t="s">
        <v>1497</v>
      </c>
      <c r="F5" s="1037" t="s">
        <v>1498</v>
      </c>
    </row>
    <row r="6" spans="1:6" ht="29">
      <c r="A6" s="1036" t="s">
        <v>787</v>
      </c>
      <c r="B6" s="1036">
        <v>3</v>
      </c>
      <c r="C6" s="1037" t="s">
        <v>1499</v>
      </c>
      <c r="D6" s="1037" t="s">
        <v>269</v>
      </c>
      <c r="E6" s="1037" t="s">
        <v>46</v>
      </c>
      <c r="F6" s="1037" t="s">
        <v>640</v>
      </c>
    </row>
    <row r="7" spans="1:6" ht="29">
      <c r="A7" s="1036" t="s">
        <v>787</v>
      </c>
      <c r="B7" s="1036">
        <v>4</v>
      </c>
      <c r="C7" s="1037" t="s">
        <v>5</v>
      </c>
      <c r="D7" s="1037" t="s">
        <v>1500</v>
      </c>
      <c r="E7" s="1037" t="s">
        <v>1501</v>
      </c>
      <c r="F7" s="1037" t="s">
        <v>1502</v>
      </c>
    </row>
    <row r="8" spans="1:6" ht="58">
      <c r="A8" s="1036" t="s">
        <v>787</v>
      </c>
      <c r="B8" s="1036">
        <v>5</v>
      </c>
      <c r="C8" s="1037" t="s">
        <v>6</v>
      </c>
      <c r="D8" s="1037" t="s">
        <v>1503</v>
      </c>
      <c r="E8" s="1037" t="s">
        <v>1504</v>
      </c>
      <c r="F8" s="1037" t="s">
        <v>1505</v>
      </c>
    </row>
    <row r="9" spans="1:6">
      <c r="A9" s="1036" t="s">
        <v>787</v>
      </c>
      <c r="B9" s="1036">
        <v>6</v>
      </c>
      <c r="C9" s="1037" t="s">
        <v>7</v>
      </c>
      <c r="D9" s="1037" t="s">
        <v>278</v>
      </c>
      <c r="E9" s="1037" t="s">
        <v>49</v>
      </c>
      <c r="F9" s="1037" t="s">
        <v>641</v>
      </c>
    </row>
    <row r="10" spans="1:6" ht="58">
      <c r="A10" s="1036" t="s">
        <v>787</v>
      </c>
      <c r="B10" s="1036">
        <v>7</v>
      </c>
      <c r="C10" s="1037" t="s">
        <v>8</v>
      </c>
      <c r="D10" s="1037" t="s">
        <v>1506</v>
      </c>
      <c r="E10" s="1037" t="s">
        <v>50</v>
      </c>
      <c r="F10" s="1037" t="s">
        <v>642</v>
      </c>
    </row>
    <row r="11" spans="1:6" ht="72.5">
      <c r="A11" s="1036" t="s">
        <v>787</v>
      </c>
      <c r="B11" s="1036" t="s">
        <v>9</v>
      </c>
      <c r="C11" s="1037" t="s">
        <v>774</v>
      </c>
      <c r="D11" s="1037" t="s">
        <v>1507</v>
      </c>
      <c r="E11" s="1037" t="s">
        <v>51</v>
      </c>
      <c r="F11" s="1037" t="s">
        <v>645</v>
      </c>
    </row>
    <row r="12" spans="1:6" ht="29">
      <c r="A12" s="1036" t="s">
        <v>787</v>
      </c>
      <c r="B12" s="1036" t="s">
        <v>11</v>
      </c>
      <c r="C12" s="1037" t="s">
        <v>12</v>
      </c>
      <c r="D12" s="1037" t="s">
        <v>1508</v>
      </c>
      <c r="E12" s="1037" t="s">
        <v>51</v>
      </c>
      <c r="F12" s="1037" t="s">
        <v>645</v>
      </c>
    </row>
    <row r="13" spans="1:6">
      <c r="A13" s="1036" t="s">
        <v>787</v>
      </c>
      <c r="B13" s="1036" t="s">
        <v>13</v>
      </c>
      <c r="C13" s="1037" t="s">
        <v>957</v>
      </c>
      <c r="D13" s="1037" t="s">
        <v>299</v>
      </c>
      <c r="E13" s="1037" t="s">
        <v>1342</v>
      </c>
      <c r="F13" s="1037" t="s">
        <v>646</v>
      </c>
    </row>
    <row r="14" spans="1:6">
      <c r="A14" s="1036" t="s">
        <v>787</v>
      </c>
      <c r="B14" s="1036" t="s">
        <v>15</v>
      </c>
      <c r="C14" s="1037" t="s">
        <v>16</v>
      </c>
      <c r="D14" s="1037" t="s">
        <v>300</v>
      </c>
      <c r="E14" s="1037" t="s">
        <v>1500</v>
      </c>
      <c r="F14" s="1037" t="s">
        <v>1500</v>
      </c>
    </row>
    <row r="15" spans="1:6" ht="72.5">
      <c r="A15" s="1036" t="s">
        <v>787</v>
      </c>
      <c r="B15" s="1036" t="s">
        <v>17</v>
      </c>
      <c r="C15" s="1037" t="s">
        <v>18</v>
      </c>
      <c r="D15" s="1037" t="s">
        <v>1509</v>
      </c>
      <c r="E15" s="1037" t="s">
        <v>53</v>
      </c>
      <c r="F15" s="1037" t="s">
        <v>1023</v>
      </c>
    </row>
    <row r="16" spans="1:6">
      <c r="A16" s="1036" t="s">
        <v>787</v>
      </c>
      <c r="B16" s="1036" t="s">
        <v>19</v>
      </c>
      <c r="C16" s="1037" t="s">
        <v>959</v>
      </c>
      <c r="D16" s="1037" t="s">
        <v>299</v>
      </c>
      <c r="E16" s="1037" t="s">
        <v>1341</v>
      </c>
      <c r="F16" s="1037" t="s">
        <v>964</v>
      </c>
    </row>
    <row r="17" spans="1:6" ht="72.5">
      <c r="A17" s="1036" t="s">
        <v>787</v>
      </c>
      <c r="B17" s="1036">
        <v>10</v>
      </c>
      <c r="C17" s="1037" t="s">
        <v>21</v>
      </c>
      <c r="D17" s="1037" t="s">
        <v>1509</v>
      </c>
      <c r="E17" s="1037" t="s">
        <v>55</v>
      </c>
      <c r="F17" s="1037" t="s">
        <v>649</v>
      </c>
    </row>
    <row r="18" spans="1:6" ht="72.5">
      <c r="A18" s="1036" t="s">
        <v>787</v>
      </c>
      <c r="B18" s="1036" t="s">
        <v>22</v>
      </c>
      <c r="C18" s="1037" t="s">
        <v>23</v>
      </c>
      <c r="D18" s="1037" t="s">
        <v>1509</v>
      </c>
      <c r="E18" s="1037" t="s">
        <v>1510</v>
      </c>
      <c r="F18" s="1037" t="s">
        <v>1498</v>
      </c>
    </row>
    <row r="19" spans="1:6" ht="29">
      <c r="A19" s="1036" t="s">
        <v>787</v>
      </c>
      <c r="B19" s="1036">
        <v>12</v>
      </c>
      <c r="C19" s="1037" t="s">
        <v>26</v>
      </c>
      <c r="D19" s="1037" t="s">
        <v>1511</v>
      </c>
      <c r="E19" s="1037" t="s">
        <v>239</v>
      </c>
      <c r="F19" s="1037" t="s">
        <v>62</v>
      </c>
    </row>
    <row r="20" spans="1:6" ht="58">
      <c r="A20" s="1036" t="s">
        <v>787</v>
      </c>
      <c r="B20" s="1036" t="s">
        <v>27</v>
      </c>
      <c r="C20" s="1037" t="s">
        <v>28</v>
      </c>
      <c r="D20" s="1037" t="s">
        <v>1512</v>
      </c>
      <c r="E20" s="1037" t="s">
        <v>99</v>
      </c>
      <c r="F20" s="1037" t="s">
        <v>1513</v>
      </c>
    </row>
    <row r="21" spans="1:6" ht="58">
      <c r="A21" s="1036" t="s">
        <v>787</v>
      </c>
      <c r="B21" s="1036" t="s">
        <v>29</v>
      </c>
      <c r="C21" s="1037" t="s">
        <v>1514</v>
      </c>
      <c r="D21" s="1037" t="s">
        <v>1512</v>
      </c>
      <c r="E21" s="1037" t="s">
        <v>1515</v>
      </c>
      <c r="F21" s="1037" t="s">
        <v>1516</v>
      </c>
    </row>
    <row r="22" spans="1:6" ht="58">
      <c r="A22" s="1036" t="s">
        <v>787</v>
      </c>
      <c r="B22" s="1036">
        <v>14</v>
      </c>
      <c r="C22" s="1037" t="s">
        <v>1517</v>
      </c>
      <c r="D22" s="1037" t="s">
        <v>1512</v>
      </c>
      <c r="E22" s="1037" t="s">
        <v>1518</v>
      </c>
      <c r="F22" s="1037" t="s">
        <v>1519</v>
      </c>
    </row>
    <row r="23" spans="1:6" ht="29">
      <c r="A23" s="1036" t="s">
        <v>789</v>
      </c>
      <c r="B23" s="1036">
        <v>1</v>
      </c>
      <c r="C23" s="1037" t="s">
        <v>2</v>
      </c>
      <c r="D23" s="1037" t="s">
        <v>1495</v>
      </c>
      <c r="E23" s="1037" t="s">
        <v>43</v>
      </c>
      <c r="F23" s="1037" t="s">
        <v>640</v>
      </c>
    </row>
    <row r="24" spans="1:6" ht="43.5">
      <c r="A24" s="1036" t="s">
        <v>789</v>
      </c>
      <c r="B24" s="1036">
        <v>2</v>
      </c>
      <c r="C24" s="1037" t="s">
        <v>3</v>
      </c>
      <c r="D24" s="1037" t="s">
        <v>1520</v>
      </c>
      <c r="E24" s="1037" t="s">
        <v>1497</v>
      </c>
      <c r="F24" s="1037" t="s">
        <v>1521</v>
      </c>
    </row>
    <row r="25" spans="1:6" ht="29">
      <c r="A25" s="1036" t="s">
        <v>789</v>
      </c>
      <c r="B25" s="1036">
        <v>3</v>
      </c>
      <c r="C25" s="1037" t="s">
        <v>1499</v>
      </c>
      <c r="D25" s="1037" t="s">
        <v>1500</v>
      </c>
      <c r="E25" s="1037" t="s">
        <v>46</v>
      </c>
      <c r="F25" s="1037" t="s">
        <v>1500</v>
      </c>
    </row>
    <row r="26" spans="1:6" ht="43.5">
      <c r="A26" s="1036" t="s">
        <v>789</v>
      </c>
      <c r="B26" s="1036">
        <v>4</v>
      </c>
      <c r="C26" s="1037" t="s">
        <v>5</v>
      </c>
      <c r="D26" s="1037" t="s">
        <v>1520</v>
      </c>
      <c r="E26" s="1037" t="s">
        <v>1501</v>
      </c>
      <c r="F26" s="1037" t="s">
        <v>1500</v>
      </c>
    </row>
    <row r="27" spans="1:6" ht="29">
      <c r="A27" s="1036" t="s">
        <v>789</v>
      </c>
      <c r="B27" s="1036">
        <v>5</v>
      </c>
      <c r="C27" s="1037" t="s">
        <v>6</v>
      </c>
      <c r="D27" s="1037" t="s">
        <v>1522</v>
      </c>
      <c r="E27" s="1037" t="s">
        <v>1523</v>
      </c>
      <c r="F27" s="1037" t="s">
        <v>1524</v>
      </c>
    </row>
    <row r="28" spans="1:6">
      <c r="A28" s="1036" t="s">
        <v>789</v>
      </c>
      <c r="B28" s="1036">
        <v>6</v>
      </c>
      <c r="C28" s="1037" t="s">
        <v>7</v>
      </c>
      <c r="D28" s="1037" t="s">
        <v>278</v>
      </c>
      <c r="E28" s="1037" t="s">
        <v>49</v>
      </c>
      <c r="F28" s="1037" t="s">
        <v>641</v>
      </c>
    </row>
    <row r="29" spans="1:6" ht="72.5">
      <c r="A29" s="1036" t="s">
        <v>789</v>
      </c>
      <c r="B29" s="1036">
        <v>7</v>
      </c>
      <c r="C29" s="1037" t="s">
        <v>8</v>
      </c>
      <c r="D29" s="1037" t="s">
        <v>1525</v>
      </c>
      <c r="E29" s="1037" t="s">
        <v>50</v>
      </c>
      <c r="F29" s="1037" t="s">
        <v>1526</v>
      </c>
    </row>
    <row r="30" spans="1:6" ht="72.5">
      <c r="A30" s="1036" t="s">
        <v>789</v>
      </c>
      <c r="B30" s="1036" t="s">
        <v>9</v>
      </c>
      <c r="C30" s="1037" t="s">
        <v>774</v>
      </c>
      <c r="D30" s="1037" t="s">
        <v>1507</v>
      </c>
      <c r="E30" s="1037" t="s">
        <v>51</v>
      </c>
      <c r="F30" s="1037" t="s">
        <v>645</v>
      </c>
    </row>
    <row r="31" spans="1:6">
      <c r="A31" s="1036" t="s">
        <v>789</v>
      </c>
      <c r="B31" s="1036" t="s">
        <v>11</v>
      </c>
      <c r="C31" s="1037" t="s">
        <v>775</v>
      </c>
      <c r="D31" s="1037" t="s">
        <v>298</v>
      </c>
      <c r="E31" s="1037" t="s">
        <v>51</v>
      </c>
      <c r="F31" s="1037" t="s">
        <v>645</v>
      </c>
    </row>
    <row r="32" spans="1:6">
      <c r="A32" s="1036" t="s">
        <v>789</v>
      </c>
      <c r="B32" s="1036" t="s">
        <v>13</v>
      </c>
      <c r="C32" s="1037" t="s">
        <v>776</v>
      </c>
      <c r="D32" s="1037" t="s">
        <v>299</v>
      </c>
      <c r="E32" s="1037" t="s">
        <v>52</v>
      </c>
      <c r="F32" s="1037" t="s">
        <v>646</v>
      </c>
    </row>
    <row r="33" spans="1:6">
      <c r="A33" s="1036" t="s">
        <v>789</v>
      </c>
      <c r="B33" s="1036" t="s">
        <v>15</v>
      </c>
      <c r="C33" s="1037" t="s">
        <v>16</v>
      </c>
      <c r="D33" s="1037" t="s">
        <v>300</v>
      </c>
      <c r="E33" s="1037" t="s">
        <v>51</v>
      </c>
      <c r="F33" s="1037" t="s">
        <v>1500</v>
      </c>
    </row>
    <row r="34" spans="1:6" ht="72.5">
      <c r="A34" s="1036" t="s">
        <v>789</v>
      </c>
      <c r="B34" s="1036" t="s">
        <v>17</v>
      </c>
      <c r="C34" s="1037" t="s">
        <v>18</v>
      </c>
      <c r="D34" s="1037" t="s">
        <v>1509</v>
      </c>
      <c r="E34" s="1037" t="s">
        <v>53</v>
      </c>
      <c r="F34" s="1037" t="s">
        <v>645</v>
      </c>
    </row>
    <row r="35" spans="1:6" ht="29">
      <c r="A35" s="1036" t="s">
        <v>789</v>
      </c>
      <c r="B35" s="1036" t="s">
        <v>19</v>
      </c>
      <c r="C35" s="1037" t="s">
        <v>1527</v>
      </c>
      <c r="D35" s="1037" t="s">
        <v>299</v>
      </c>
      <c r="E35" s="1037" t="s">
        <v>54</v>
      </c>
      <c r="F35" s="1037" t="s">
        <v>964</v>
      </c>
    </row>
    <row r="36" spans="1:6" ht="72.5">
      <c r="A36" s="1036" t="s">
        <v>789</v>
      </c>
      <c r="B36" s="1036">
        <v>10</v>
      </c>
      <c r="C36" s="1037" t="s">
        <v>21</v>
      </c>
      <c r="D36" s="1037" t="s">
        <v>1509</v>
      </c>
      <c r="E36" s="1037" t="s">
        <v>55</v>
      </c>
      <c r="F36" s="1037" t="s">
        <v>649</v>
      </c>
    </row>
    <row r="37" spans="1:6" ht="72.5">
      <c r="A37" s="1036" t="s">
        <v>789</v>
      </c>
      <c r="B37" s="1036" t="s">
        <v>22</v>
      </c>
      <c r="C37" s="1037" t="s">
        <v>23</v>
      </c>
      <c r="D37" s="1037" t="s">
        <v>1509</v>
      </c>
      <c r="E37" s="1037" t="s">
        <v>57</v>
      </c>
      <c r="F37" s="1037" t="s">
        <v>643</v>
      </c>
    </row>
    <row r="38" spans="1:6">
      <c r="A38" s="1036" t="s">
        <v>789</v>
      </c>
      <c r="B38" s="1036">
        <v>12</v>
      </c>
      <c r="C38" s="1037" t="s">
        <v>26</v>
      </c>
      <c r="D38" s="1037" t="s">
        <v>302</v>
      </c>
      <c r="E38" s="1037" t="s">
        <v>49</v>
      </c>
      <c r="F38" s="1037" t="s">
        <v>643</v>
      </c>
    </row>
    <row r="39" spans="1:6" ht="58">
      <c r="A39" s="1036" t="s">
        <v>789</v>
      </c>
      <c r="B39" s="1036" t="s">
        <v>27</v>
      </c>
      <c r="C39" s="1037" t="s">
        <v>28</v>
      </c>
      <c r="D39" s="1037" t="s">
        <v>1512</v>
      </c>
      <c r="E39" s="1037" t="s">
        <v>1528</v>
      </c>
      <c r="F39" s="1037" t="s">
        <v>1502</v>
      </c>
    </row>
    <row r="40" spans="1:6" ht="58">
      <c r="A40" s="1036" t="s">
        <v>789</v>
      </c>
      <c r="B40" s="1036" t="s">
        <v>29</v>
      </c>
      <c r="C40" s="1037" t="s">
        <v>30</v>
      </c>
      <c r="D40" s="1037" t="s">
        <v>1512</v>
      </c>
      <c r="E40" s="1037" t="s">
        <v>99</v>
      </c>
      <c r="F40" s="1037" t="s">
        <v>644</v>
      </c>
    </row>
  </sheetData>
  <mergeCells count="2">
    <mergeCell ref="A1:F1"/>
    <mergeCell ref="A2:F2"/>
  </mergeCell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1063-CCD3-447A-8B15-55A32C6104B9}">
  <dimension ref="A1:E18"/>
  <sheetViews>
    <sheetView showGridLines="0" zoomScale="80" zoomScaleNormal="80" workbookViewId="0">
      <pane ySplit="3" topLeftCell="A4" activePane="bottomLeft" state="frozen"/>
      <selection pane="bottomLeft" activeCell="D12" sqref="D12"/>
    </sheetView>
  </sheetViews>
  <sheetFormatPr baseColWidth="10" defaultRowHeight="14.5"/>
  <cols>
    <col min="1" max="1" width="13.6328125" customWidth="1"/>
    <col min="2" max="2" width="42.7265625" customWidth="1"/>
    <col min="3" max="3" width="70.90625" customWidth="1"/>
    <col min="4" max="5" width="32.7265625" customWidth="1"/>
  </cols>
  <sheetData>
    <row r="1" spans="1:5" ht="24" customHeight="1">
      <c r="A1" s="1034" t="s">
        <v>1651</v>
      </c>
      <c r="B1" s="1034"/>
      <c r="C1" s="1034"/>
      <c r="D1" s="1034"/>
      <c r="E1" s="1034"/>
    </row>
    <row r="2" spans="1:5" ht="34" customHeight="1">
      <c r="A2" s="1105" t="s">
        <v>1652</v>
      </c>
      <c r="B2" s="1105"/>
      <c r="C2" s="1105"/>
      <c r="D2" s="1105"/>
      <c r="E2" s="1105"/>
    </row>
    <row r="3" spans="1:5" ht="32" customHeight="1">
      <c r="A3" s="1106" t="s">
        <v>1490</v>
      </c>
      <c r="B3" s="1106" t="s">
        <v>1653</v>
      </c>
      <c r="C3" s="1106" t="s">
        <v>1492</v>
      </c>
      <c r="D3" s="1106" t="s">
        <v>1493</v>
      </c>
      <c r="E3" s="1106" t="s">
        <v>1654</v>
      </c>
    </row>
    <row r="4" spans="1:5">
      <c r="A4" s="1107">
        <v>1</v>
      </c>
      <c r="B4" s="1107" t="s">
        <v>2</v>
      </c>
      <c r="C4" s="1107" t="s">
        <v>1495</v>
      </c>
      <c r="D4" s="1107" t="s">
        <v>43</v>
      </c>
      <c r="E4" s="1107" t="s">
        <v>640</v>
      </c>
    </row>
    <row r="5" spans="1:5" ht="26">
      <c r="A5" s="1107">
        <v>2</v>
      </c>
      <c r="B5" s="1107" t="s">
        <v>3</v>
      </c>
      <c r="C5" s="1107" t="s">
        <v>1496</v>
      </c>
      <c r="D5" s="1107" t="s">
        <v>1497</v>
      </c>
      <c r="E5" s="1107" t="s">
        <v>1498</v>
      </c>
    </row>
    <row r="6" spans="1:5" ht="52">
      <c r="A6" s="1107">
        <v>5</v>
      </c>
      <c r="B6" s="1107" t="s">
        <v>6</v>
      </c>
      <c r="C6" s="1107" t="s">
        <v>1503</v>
      </c>
      <c r="D6" s="1107" t="s">
        <v>1504</v>
      </c>
      <c r="E6" s="1107" t="s">
        <v>1505</v>
      </c>
    </row>
    <row r="7" spans="1:5">
      <c r="A7" s="1107">
        <v>6</v>
      </c>
      <c r="B7" s="1107" t="s">
        <v>7</v>
      </c>
      <c r="C7" s="1107" t="s">
        <v>278</v>
      </c>
      <c r="D7" s="1107" t="s">
        <v>49</v>
      </c>
      <c r="E7" s="1107" t="s">
        <v>641</v>
      </c>
    </row>
    <row r="8" spans="1:5" ht="52">
      <c r="A8" s="1107">
        <v>7</v>
      </c>
      <c r="B8" s="1107" t="s">
        <v>8</v>
      </c>
      <c r="C8" s="1107" t="s">
        <v>1506</v>
      </c>
      <c r="D8" s="1107" t="s">
        <v>50</v>
      </c>
      <c r="E8" s="1107" t="s">
        <v>642</v>
      </c>
    </row>
    <row r="9" spans="1:5" ht="52">
      <c r="A9" s="1107" t="s">
        <v>9</v>
      </c>
      <c r="B9" s="1107" t="s">
        <v>774</v>
      </c>
      <c r="C9" s="1107" t="s">
        <v>1507</v>
      </c>
      <c r="D9" s="1107" t="s">
        <v>51</v>
      </c>
      <c r="E9" s="1107" t="s">
        <v>645</v>
      </c>
    </row>
    <row r="10" spans="1:5" ht="26">
      <c r="A10" s="1107" t="s">
        <v>11</v>
      </c>
      <c r="B10" s="1107" t="s">
        <v>12</v>
      </c>
      <c r="C10" s="1107" t="s">
        <v>1508</v>
      </c>
      <c r="D10" s="1107" t="s">
        <v>51</v>
      </c>
      <c r="E10" s="1107" t="s">
        <v>645</v>
      </c>
    </row>
    <row r="11" spans="1:5">
      <c r="A11" s="1107" t="s">
        <v>13</v>
      </c>
      <c r="B11" s="1107" t="s">
        <v>957</v>
      </c>
      <c r="C11" s="1107" t="s">
        <v>299</v>
      </c>
      <c r="D11" s="1107" t="s">
        <v>1342</v>
      </c>
      <c r="E11" s="1107" t="s">
        <v>646</v>
      </c>
    </row>
    <row r="12" spans="1:5" ht="52">
      <c r="A12" s="1107" t="s">
        <v>17</v>
      </c>
      <c r="B12" s="1107" t="s">
        <v>18</v>
      </c>
      <c r="C12" s="1107" t="s">
        <v>1509</v>
      </c>
      <c r="D12" s="1107" t="s">
        <v>53</v>
      </c>
      <c r="E12" s="1107" t="s">
        <v>1023</v>
      </c>
    </row>
    <row r="13" spans="1:5">
      <c r="A13" s="1107" t="s">
        <v>19</v>
      </c>
      <c r="B13" s="1107" t="s">
        <v>959</v>
      </c>
      <c r="C13" s="1107" t="s">
        <v>299</v>
      </c>
      <c r="D13" s="1107" t="s">
        <v>1341</v>
      </c>
      <c r="E13" s="1107" t="s">
        <v>964</v>
      </c>
    </row>
    <row r="14" spans="1:5" ht="52">
      <c r="A14" s="1107">
        <v>10</v>
      </c>
      <c r="B14" s="1107" t="s">
        <v>21</v>
      </c>
      <c r="C14" s="1107" t="s">
        <v>1509</v>
      </c>
      <c r="D14" s="1107" t="s">
        <v>55</v>
      </c>
      <c r="E14" s="1107" t="s">
        <v>649</v>
      </c>
    </row>
    <row r="15" spans="1:5" ht="52">
      <c r="A15" s="1107" t="s">
        <v>22</v>
      </c>
      <c r="B15" s="1107" t="s">
        <v>23</v>
      </c>
      <c r="C15" s="1107" t="s">
        <v>1509</v>
      </c>
      <c r="D15" s="1107" t="s">
        <v>1510</v>
      </c>
      <c r="E15" s="1107" t="s">
        <v>1498</v>
      </c>
    </row>
    <row r="16" spans="1:5" ht="26">
      <c r="A16" s="1107">
        <v>12</v>
      </c>
      <c r="B16" s="1107" t="s">
        <v>26</v>
      </c>
      <c r="C16" s="1107" t="s">
        <v>1655</v>
      </c>
      <c r="D16" s="1107" t="s">
        <v>239</v>
      </c>
      <c r="E16" s="1107" t="s">
        <v>62</v>
      </c>
    </row>
    <row r="17" spans="1:5" ht="39">
      <c r="A17" s="1107" t="s">
        <v>27</v>
      </c>
      <c r="B17" s="1107" t="s">
        <v>28</v>
      </c>
      <c r="C17" s="1107" t="s">
        <v>1512</v>
      </c>
      <c r="D17" s="1107" t="s">
        <v>99</v>
      </c>
      <c r="E17" s="1107" t="s">
        <v>1513</v>
      </c>
    </row>
    <row r="18" spans="1:5" ht="39">
      <c r="A18" s="1107" t="s">
        <v>29</v>
      </c>
      <c r="B18" s="1107" t="s">
        <v>1656</v>
      </c>
      <c r="C18" s="1107" t="s">
        <v>1512</v>
      </c>
      <c r="D18" s="1107" t="s">
        <v>1657</v>
      </c>
      <c r="E18" s="1107" t="s">
        <v>1516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36</vt:i4>
      </vt:variant>
    </vt:vector>
  </HeadingPairs>
  <TitlesOfParts>
    <vt:vector size="36" baseType="lpstr">
      <vt:lpstr>conversion factors</vt:lpstr>
      <vt:lpstr>Conversion factors selected IV </vt:lpstr>
      <vt:lpstr>IVC Emission Allocation</vt:lpstr>
      <vt:lpstr>Availabilities EU Austria</vt:lpstr>
      <vt:lpstr>Tabelle1</vt:lpstr>
      <vt:lpstr>FPBO per HVO</vt:lpstr>
      <vt:lpstr>IVCs relevant in 2030</vt:lpstr>
      <vt:lpstr>IVCs relevant 2040-2050</vt:lpstr>
      <vt:lpstr>Gap analysis EU</vt:lpstr>
      <vt:lpstr>Gap Analysis AUSTRIA</vt:lpstr>
      <vt:lpstr>EU Energiebedarf Verkehr</vt:lpstr>
      <vt:lpstr>EU-27_High_2030-2050</vt:lpstr>
      <vt:lpstr>AUSTRIA Energiebedarf Verkehr</vt:lpstr>
      <vt:lpstr>Austria_High_2030_2050</vt:lpstr>
      <vt:lpstr>EU-27_Medium_2030</vt:lpstr>
      <vt:lpstr>Austria Medium 2030</vt:lpstr>
      <vt:lpstr>2025-2030_KPIs</vt:lpstr>
      <vt:lpstr>2025-2030_Heatmap</vt:lpstr>
      <vt:lpstr>Overview</vt:lpstr>
      <vt:lpstr>2030-2040_essential IVCs</vt:lpstr>
      <vt:lpstr>2030-2040_Heatmap</vt:lpstr>
      <vt:lpstr>2040-2050_Heatmap</vt:lpstr>
      <vt:lpstr>TRL</vt:lpstr>
      <vt:lpstr>conv.f. additional</vt:lpstr>
      <vt:lpstr>3</vt:lpstr>
      <vt:lpstr>6</vt:lpstr>
      <vt:lpstr>8b</vt:lpstr>
      <vt:lpstr>8d</vt:lpstr>
      <vt:lpstr>11b</vt:lpstr>
      <vt:lpstr>12</vt:lpstr>
      <vt:lpstr>CO2</vt:lpstr>
      <vt:lpstr>t-toe</vt:lpstr>
      <vt:lpstr>Demand</vt:lpstr>
      <vt:lpstr>Market readiness</vt:lpstr>
      <vt:lpstr>IVC Overview</vt:lpstr>
      <vt:lpstr>IVC Overview EU</vt:lpstr>
    </vt:vector>
  </TitlesOfParts>
  <Company>BEST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Matschegg</dc:creator>
  <cp:lastModifiedBy>Lucie Catalina Cherpin</cp:lastModifiedBy>
  <dcterms:created xsi:type="dcterms:W3CDTF">2024-12-13T12:18:37Z</dcterms:created>
  <dcterms:modified xsi:type="dcterms:W3CDTF">2026-09-24T15:06:29Z</dcterms:modified>
</cp:coreProperties>
</file>