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Quentin/Desktop/CIRED/"/>
    </mc:Choice>
  </mc:AlternateContent>
  <xr:revisionPtr revIDLastSave="0" documentId="13_ncr:1_{4C6264AA-6175-1446-B811-989F0F52CBC1}" xr6:coauthVersionLast="47" xr6:coauthVersionMax="47" xr10:uidLastSave="{00000000-0000-0000-0000-000000000000}"/>
  <bookViews>
    <workbookView xWindow="0" yWindow="500" windowWidth="28800" windowHeight="16360" activeTab="2" xr2:uid="{00000000-000D-0000-FFFF-FFFF00000000}"/>
  </bookViews>
  <sheets>
    <sheet name="Economic parameters" sheetId="3" r:id="rId1"/>
    <sheet name="Technical parameters" sheetId="5" r:id="rId2"/>
    <sheet name="Production &amp; demand profiles" sheetId="6" r:id="rId3"/>
  </sheets>
  <calcPr calcId="191029" refMode="R1C1"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5" i="5" l="1"/>
  <c r="I84" i="5"/>
  <c r="O19" i="3"/>
  <c r="I19" i="3"/>
  <c r="O5" i="3"/>
  <c r="I5" i="3"/>
  <c r="N5" i="3" s="1"/>
  <c r="I15" i="3"/>
  <c r="I23" i="3"/>
  <c r="J9" i="3"/>
  <c r="J10" i="3"/>
  <c r="J11" i="3"/>
  <c r="J39" i="3"/>
  <c r="J40" i="3"/>
  <c r="J41" i="3"/>
  <c r="J42" i="3"/>
  <c r="J43" i="3"/>
  <c r="J44" i="3"/>
  <c r="J45" i="3"/>
  <c r="J13" i="3"/>
  <c r="I8" i="3"/>
  <c r="N8" i="3" s="1"/>
  <c r="L33" i="3"/>
  <c r="I9" i="3"/>
  <c r="E2" i="3"/>
  <c r="I34" i="3"/>
  <c r="C33" i="3"/>
  <c r="P5" i="3" l="1"/>
  <c r="I33" i="3"/>
  <c r="O9" i="3" l="1"/>
  <c r="K34" i="3" l="1"/>
  <c r="L43" i="3" l="1"/>
  <c r="C43" i="3"/>
  <c r="I43" i="3" s="1"/>
  <c r="L42" i="3"/>
  <c r="C42" i="3"/>
  <c r="I42" i="3" s="1"/>
  <c r="L41" i="3"/>
  <c r="C41" i="3"/>
  <c r="I41" i="3" s="1"/>
  <c r="L40" i="3"/>
  <c r="C40" i="3"/>
  <c r="I40" i="3" s="1"/>
  <c r="L39" i="3"/>
  <c r="C39" i="3"/>
  <c r="I39" i="3" s="1"/>
  <c r="O40" i="3" l="1"/>
  <c r="O41" i="3"/>
  <c r="O42" i="3"/>
  <c r="O39" i="3"/>
  <c r="O43" i="3"/>
  <c r="E43" i="3"/>
  <c r="K43" i="3" s="1"/>
  <c r="E42" i="3"/>
  <c r="K42" i="3" s="1"/>
  <c r="E41" i="3"/>
  <c r="K41" i="3" s="1"/>
  <c r="E40" i="3"/>
  <c r="K40" i="3" s="1"/>
  <c r="E39" i="3"/>
  <c r="K39" i="3" s="1"/>
  <c r="K44" i="3" l="1"/>
  <c r="K45" i="3"/>
  <c r="I44" i="3"/>
  <c r="I45" i="3"/>
  <c r="L45" i="3"/>
  <c r="L44" i="3"/>
  <c r="E12" i="3" l="1"/>
  <c r="J50" i="3"/>
  <c r="I35" i="3" l="1"/>
  <c r="O47" i="3"/>
  <c r="I47" i="3"/>
  <c r="P47" i="3" l="1"/>
  <c r="I2" i="3"/>
  <c r="I52" i="3" l="1"/>
  <c r="E52" i="3"/>
  <c r="E11" i="3"/>
  <c r="I10" i="3"/>
  <c r="L10" i="3"/>
  <c r="E10" i="3"/>
  <c r="O10" i="3"/>
  <c r="I17" i="3"/>
  <c r="E4" i="3"/>
  <c r="K4" i="3" s="1"/>
  <c r="E3" i="3"/>
  <c r="K3" i="3" s="1"/>
  <c r="O4" i="3"/>
  <c r="C51" i="3"/>
  <c r="O51" i="3" s="1"/>
  <c r="O22" i="3"/>
  <c r="O20" i="3"/>
  <c r="O50" i="3"/>
  <c r="L50" i="3"/>
  <c r="I50" i="3"/>
  <c r="E50" i="3"/>
  <c r="K50" i="3" s="1"/>
  <c r="O49" i="3"/>
  <c r="I49" i="3"/>
  <c r="E49" i="3"/>
  <c r="O18" i="3"/>
  <c r="I18" i="3"/>
  <c r="K18" i="3"/>
  <c r="O17" i="3"/>
  <c r="O16" i="3"/>
  <c r="I16" i="3"/>
  <c r="K16" i="3"/>
  <c r="J38" i="3"/>
  <c r="I38" i="3"/>
  <c r="E38" i="3"/>
  <c r="K38" i="3" s="1"/>
  <c r="O38" i="3"/>
  <c r="O37" i="3"/>
  <c r="J37" i="3"/>
  <c r="I37" i="3"/>
  <c r="O36" i="3"/>
  <c r="I36" i="3"/>
  <c r="P36" i="3" s="1"/>
  <c r="E36" i="3"/>
  <c r="O24" i="3"/>
  <c r="I24" i="3"/>
  <c r="P24" i="3" s="1"/>
  <c r="E24" i="3"/>
  <c r="O34" i="3"/>
  <c r="O48" i="3"/>
  <c r="C46" i="3"/>
  <c r="O46" i="3" s="1"/>
  <c r="O14" i="3"/>
  <c r="I14" i="3"/>
  <c r="G14" i="3"/>
  <c r="E14" i="3"/>
  <c r="O13" i="3"/>
  <c r="I13" i="3"/>
  <c r="O12" i="3"/>
  <c r="I12" i="3"/>
  <c r="O11" i="3"/>
  <c r="L11" i="3"/>
  <c r="I11" i="3"/>
  <c r="L9" i="3"/>
  <c r="E9" i="3"/>
  <c r="O8" i="3"/>
  <c r="E8" i="3"/>
  <c r="L7" i="3"/>
  <c r="I7" i="3"/>
  <c r="O6" i="3"/>
  <c r="L6" i="3"/>
  <c r="I6" i="3"/>
  <c r="E6" i="3"/>
  <c r="K6" i="3" s="1"/>
  <c r="L4" i="3"/>
  <c r="L3" i="3"/>
  <c r="L2" i="3"/>
  <c r="N2" i="3" s="1"/>
  <c r="K9" i="3" l="1"/>
  <c r="I4" i="3"/>
  <c r="N4" i="3" s="1"/>
  <c r="J32" i="3"/>
  <c r="P6" i="3"/>
  <c r="O7" i="3"/>
  <c r="P14" i="3"/>
  <c r="O32" i="3"/>
  <c r="P38" i="3"/>
  <c r="P8" i="3"/>
  <c r="P16" i="3"/>
  <c r="N34" i="3"/>
  <c r="O3" i="3"/>
  <c r="I3" i="3"/>
  <c r="N3" i="3" s="1"/>
  <c r="I51" i="3"/>
  <c r="P2" i="3"/>
  <c r="N6" i="3"/>
  <c r="P34" i="3"/>
  <c r="N16" i="3"/>
  <c r="P12" i="3"/>
  <c r="I32" i="3"/>
  <c r="E7" i="3"/>
  <c r="P7" i="3" s="1"/>
  <c r="I22" i="3"/>
  <c r="I46" i="3"/>
  <c r="I48" i="3" s="1"/>
  <c r="N24" i="3"/>
  <c r="E37" i="3"/>
  <c r="I20" i="3"/>
  <c r="P9" i="3" l="1"/>
  <c r="P4" i="3"/>
  <c r="P3" i="3"/>
  <c r="K37" i="3"/>
  <c r="E32" i="3"/>
  <c r="N7" i="3"/>
  <c r="P46" i="3"/>
  <c r="P48" i="3"/>
  <c r="K32" i="3" l="1"/>
  <c r="P37" i="3"/>
  <c r="P32" i="3" l="1"/>
  <c r="P1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Lara SIBIEUDE</author>
  </authors>
  <commentList>
    <comment ref="L13" authorId="0" shapeId="0" xr:uid="{4053DFF7-5BA9-FF42-915E-7916DDBC8863}">
      <text>
        <r>
          <rPr>
            <b/>
            <sz val="10"/>
            <color rgb="FF000000"/>
            <rFont val="Tahoma"/>
            <family val="2"/>
          </rPr>
          <t>Coût du réseau</t>
        </r>
      </text>
    </comment>
  </commentList>
</comments>
</file>

<file path=xl/sharedStrings.xml><?xml version="1.0" encoding="utf-8"?>
<sst xmlns="http://schemas.openxmlformats.org/spreadsheetml/2006/main" count="740" uniqueCount="307">
  <si>
    <t>tec</t>
  </si>
  <si>
    <t>lifetime</t>
  </si>
  <si>
    <t>discount rate</t>
  </si>
  <si>
    <t>lake</t>
  </si>
  <si>
    <t>river</t>
  </si>
  <si>
    <t>PHS</t>
  </si>
  <si>
    <t>fO&amp;M (M€/GW)</t>
  </si>
  <si>
    <t>vO&amp;M (€/MWh)</t>
  </si>
  <si>
    <t>Capex(M€/GW)</t>
  </si>
  <si>
    <t>Capex(M€/GWh)</t>
  </si>
  <si>
    <t>annuity (€/kW/yr)</t>
  </si>
  <si>
    <t>LCOE (€/MWh)</t>
  </si>
  <si>
    <t>-</t>
  </si>
  <si>
    <t>~load factor</t>
  </si>
  <si>
    <t>methanation 1</t>
  </si>
  <si>
    <t>methanation 2</t>
  </si>
  <si>
    <t>DSM(home)</t>
  </si>
  <si>
    <t>DSM(EV)</t>
  </si>
  <si>
    <t>DSM</t>
  </si>
  <si>
    <t>pyrogasification</t>
  </si>
  <si>
    <t>P2G</t>
  </si>
  <si>
    <t>methanisation</t>
  </si>
  <si>
    <t>PV3</t>
  </si>
  <si>
    <t>fixed costs</t>
  </si>
  <si>
    <t>Offshore_f</t>
  </si>
  <si>
    <t>Offshore_g</t>
  </si>
  <si>
    <t>OCGT</t>
  </si>
  <si>
    <t>CCGT</t>
  </si>
  <si>
    <t>methanation_in</t>
  </si>
  <si>
    <t>hydrogen_out (fuel cell)</t>
  </si>
  <si>
    <t>CCGT+CCS</t>
  </si>
  <si>
    <t>Battery 1h</t>
  </si>
  <si>
    <t>Battery 4h</t>
  </si>
  <si>
    <t>synchronous condensers</t>
  </si>
  <si>
    <t>construction</t>
  </si>
  <si>
    <t>electrolysis</t>
  </si>
  <si>
    <t>SMR</t>
  </si>
  <si>
    <t>SMR+CCS</t>
  </si>
  <si>
    <t>electro+off</t>
  </si>
  <si>
    <t>electro+on</t>
  </si>
  <si>
    <t>electro+PV</t>
  </si>
  <si>
    <t>electro+nuc</t>
  </si>
  <si>
    <t>electro+grid</t>
  </si>
  <si>
    <t>CCGT_H2</t>
  </si>
  <si>
    <t>EPR2 (8)</t>
  </si>
  <si>
    <t>EPR2 (2)</t>
  </si>
  <si>
    <t>EPR(2-4)</t>
  </si>
  <si>
    <t>EPR2 (4-8)</t>
  </si>
  <si>
    <t>fO&amp;M (M€/GW/year)</t>
  </si>
  <si>
    <t>annuity (M€/GWh/yr)</t>
  </si>
  <si>
    <t>vO&amp;M(M€/GWh)</t>
  </si>
  <si>
    <t>Notes</t>
  </si>
  <si>
    <t>Attention coût démantellement + traitement déchets</t>
  </si>
  <si>
    <t>Sources :</t>
  </si>
  <si>
    <t>RTE 2022</t>
  </si>
  <si>
    <t xml:space="preserve">methane </t>
  </si>
  <si>
    <t>Infrastructures existantes, en déclin probable après 2050, et peu de données</t>
  </si>
  <si>
    <t>eta</t>
  </si>
  <si>
    <t>Grande toiture</t>
  </si>
  <si>
    <t>ADEME 2018</t>
  </si>
  <si>
    <t>Source</t>
  </si>
  <si>
    <t>delta</t>
  </si>
  <si>
    <t>CH4_demand</t>
  </si>
  <si>
    <t>H2_demand</t>
  </si>
  <si>
    <t>/</t>
  </si>
  <si>
    <t>Gouvernement</t>
  </si>
  <si>
    <t>discount_rate</t>
  </si>
  <si>
    <t>max_annual_capacity_factor_ocgt</t>
  </si>
  <si>
    <t>max_annual_capacity_factor_ccgt</t>
  </si>
  <si>
    <t>max_annual_capacity_factor_nuc</t>
  </si>
  <si>
    <t>hourly_ramping_nuc</t>
  </si>
  <si>
    <t>NEA 2011</t>
  </si>
  <si>
    <t>load_uncertainty</t>
  </si>
  <si>
    <t>JRC 2017</t>
  </si>
  <si>
    <t>JRC 2014</t>
  </si>
  <si>
    <t xml:space="preserve">Van Stiphout et al. (2017) </t>
  </si>
  <si>
    <t>Lynch et al. (2022)</t>
  </si>
  <si>
    <t>len_delay</t>
  </si>
  <si>
    <t>v          HORS MODELE          v</t>
  </si>
  <si>
    <t>phs</t>
  </si>
  <si>
    <t>ADEME 2015</t>
  </si>
  <si>
    <t>Mix électrique 100% renouvelable ? Analyses et optimisations</t>
  </si>
  <si>
    <t>Remarques Quentin</t>
  </si>
  <si>
    <t>Futur énergétiques 2050</t>
  </si>
  <si>
    <t>Onshore_V90</t>
  </si>
  <si>
    <t>Onshore_V110</t>
  </si>
  <si>
    <t>ADEME 2019</t>
  </si>
  <si>
    <t>Pv_g_EW</t>
  </si>
  <si>
    <t>PV orienté est-ouest</t>
  </si>
  <si>
    <t>PV orienté sud</t>
  </si>
  <si>
    <t>Pv_g_S</t>
  </si>
  <si>
    <t>Pv_c</t>
  </si>
  <si>
    <t>Fourchette ADEME 2019 : CAPEX 850 - 1650, OPEX 15 - 40</t>
  </si>
  <si>
    <t>Scénarios</t>
  </si>
  <si>
    <t>base</t>
  </si>
  <si>
    <t>V90 chiffres RTE, V110 chiffre moyen ADEME</t>
  </si>
  <si>
    <t>V90 fouchette basse ADEME, V110 fourchette haute ADEME</t>
  </si>
  <si>
    <t>V90 1.1*fouchette basse ADEME, V110 0.9*fourchette haute ADEME</t>
  </si>
  <si>
    <t>10p</t>
  </si>
  <si>
    <t>20p</t>
  </si>
  <si>
    <t>30p</t>
  </si>
  <si>
    <t>V90 1.3*fouchette basse ADEME, V110 0.7*fourchette haute ADEME</t>
  </si>
  <si>
    <t>40p</t>
  </si>
  <si>
    <t>0p</t>
  </si>
  <si>
    <t>V90 1.2*fouchette basse ADEME, V110 0.8*fourchette haute ADEME</t>
  </si>
  <si>
    <t>V90 1.4*fouchette basse ADEME, V110 0.6*fourchette haute ADEME</t>
  </si>
  <si>
    <t>37.5</t>
  </si>
  <si>
    <t>17.5</t>
  </si>
  <si>
    <t>22.5</t>
  </si>
  <si>
    <t>27.5</t>
  </si>
  <si>
    <t>32.5</t>
  </si>
  <si>
    <t>Scénario</t>
  </si>
  <si>
    <t>Coût total (Ma€)</t>
  </si>
  <si>
    <t>Coût overnight</t>
  </si>
  <si>
    <t>fOM</t>
  </si>
  <si>
    <t>V90</t>
  </si>
  <si>
    <t>V110</t>
  </si>
  <si>
    <t>Source données</t>
  </si>
  <si>
    <t>RTE</t>
  </si>
  <si>
    <t>ADEME</t>
  </si>
  <si>
    <t>850-1650</t>
  </si>
  <si>
    <t>15-40</t>
  </si>
  <si>
    <t>Onshore</t>
  </si>
  <si>
    <t>Coût</t>
  </si>
  <si>
    <t>Ancienne base</t>
  </si>
  <si>
    <t>Nouvelle base proposée</t>
  </si>
  <si>
    <t>PV_EW</t>
  </si>
  <si>
    <t>PV_S</t>
  </si>
  <si>
    <t>6.65</t>
  </si>
  <si>
    <t>8.91</t>
  </si>
  <si>
    <t>8.92</t>
  </si>
  <si>
    <t>7.97</t>
  </si>
  <si>
    <t>6.63</t>
  </si>
  <si>
    <t>6.62</t>
  </si>
  <si>
    <t>PV_G</t>
  </si>
  <si>
    <t>Technologies PV</t>
  </si>
  <si>
    <t>Capacité installée (GW)</t>
  </si>
  <si>
    <t>Load curtailement (%)</t>
  </si>
  <si>
    <t>PV_EW :</t>
  </si>
  <si>
    <t>PV_S :</t>
  </si>
  <si>
    <t>PV au sol orienté Est_Ouest</t>
  </si>
  <si>
    <t>PV au sol orienté Sud</t>
  </si>
  <si>
    <t>52,8 (66%)</t>
  </si>
  <si>
    <t>27,2 (33%)</t>
  </si>
  <si>
    <t>Capacité nucléaire (GW)</t>
  </si>
  <si>
    <t>Fourchette ADEME Onshore</t>
  </si>
  <si>
    <t>Technologie éolien</t>
  </si>
  <si>
    <t>methanation</t>
  </si>
  <si>
    <t>Valeur</t>
  </si>
  <si>
    <t>?</t>
  </si>
  <si>
    <t>percentage_co2_from_methanization</t>
  </si>
  <si>
    <t>Mix gaz 100% renouvelable</t>
  </si>
  <si>
    <t>3/7</t>
  </si>
  <si>
    <t>ENEA 2016</t>
  </si>
  <si>
    <t>The potential of power-to-gaz</t>
  </si>
  <si>
    <t>Rapport molaire CO2/CH4</t>
  </si>
  <si>
    <t>0,794</t>
  </si>
  <si>
    <t>Registre RTE 2021, corrigé par Laure</t>
  </si>
  <si>
    <t>renewable.ninja</t>
  </si>
  <si>
    <t>Tec</t>
  </si>
  <si>
    <t>Onshore (all)</t>
  </si>
  <si>
    <t>Offshore (all)</t>
  </si>
  <si>
    <t>PV (all)</t>
  </si>
  <si>
    <t>River</t>
  </si>
  <si>
    <t>Laure Baratgin (ORCHIDEE model)</t>
  </si>
  <si>
    <t>hydrogen</t>
  </si>
  <si>
    <t>Stockage en cavités salines + réseau de transport</t>
  </si>
  <si>
    <t>small_hydro</t>
  </si>
  <si>
    <t>Hydrolien + marémotrice</t>
  </si>
  <si>
    <t>waste</t>
  </si>
  <si>
    <t>geothermal coge</t>
  </si>
  <si>
    <t>biomass solid coge</t>
  </si>
  <si>
    <t>fOM inclut amortissement + coûts fixes</t>
  </si>
  <si>
    <t>Chiffres pour de la biomasse bois actuelle. fOM inclut amortissement + coûts fixes</t>
  </si>
  <si>
    <t>fOM inclut amortissement + coûts fixes, pris identique à celui de la cogé biomasse par manque de données</t>
  </si>
  <si>
    <t>Waste</t>
  </si>
  <si>
    <t>Geothermal_coge</t>
  </si>
  <si>
    <t>Biomass_coge</t>
  </si>
  <si>
    <t>Small_hydro</t>
  </si>
  <si>
    <t>Inclus marémotrice + hydrolien</t>
  </si>
  <si>
    <t>Scénario négawatt 2022</t>
  </si>
  <si>
    <t xml:space="preserve">VRE </t>
  </si>
  <si>
    <t>Hydro</t>
  </si>
  <si>
    <t>Miscellaneous.csv</t>
  </si>
  <si>
    <t>vre_profiles_19y.csv</t>
  </si>
  <si>
    <t>lake_inflows_19y.csv</t>
  </si>
  <si>
    <t>lake_max_capa_19y.csv</t>
  </si>
  <si>
    <t>lake_prod_spill_19y.csv</t>
  </si>
  <si>
    <t>phs_inflows_19y.csv</t>
  </si>
  <si>
    <t>Lake + reservoirs</t>
  </si>
  <si>
    <t>lake_minimal_volume.csv</t>
  </si>
  <si>
    <t>Nuclear</t>
  </si>
  <si>
    <t>maximal_operating_capacity</t>
  </si>
  <si>
    <t>minimal_operating_capacity</t>
  </si>
  <si>
    <t>Generated by the EOLES nuc_opti module</t>
  </si>
  <si>
    <t>Demand</t>
  </si>
  <si>
    <t>demand2050_RTE_580TWh</t>
  </si>
  <si>
    <t>demand2050_negawatt_395TWh</t>
  </si>
  <si>
    <t>RTE Futurs énergétiques 2050 (2022)</t>
  </si>
  <si>
    <t>Eta_in.csv</t>
  </si>
  <si>
    <t>Eta_out.csv</t>
  </si>
  <si>
    <t>Lake_capa.csv</t>
  </si>
  <si>
    <t>Fix_capacity.csv</t>
  </si>
  <si>
    <t>Fix_charging.csv</t>
  </si>
  <si>
    <t>Max_capa.csv</t>
  </si>
  <si>
    <t>Max_capacity.csv</t>
  </si>
  <si>
    <t>Max_production.csv</t>
  </si>
  <si>
    <t>Reserve_requirements_new.csv</t>
  </si>
  <si>
    <t>battery1</t>
  </si>
  <si>
    <t>battery4</t>
  </si>
  <si>
    <t>methane</t>
  </si>
  <si>
    <t>ocgt</t>
  </si>
  <si>
    <t>ccgt</t>
  </si>
  <si>
    <t>h2_ccgt</t>
  </si>
  <si>
    <t>0,4</t>
  </si>
  <si>
    <t>RTE 2022 + registres nationaux</t>
  </si>
  <si>
    <t xml:space="preserve">Papadias et al. (2021) </t>
  </si>
  <si>
    <t>biomass_coge</t>
  </si>
  <si>
    <t>geothermal_coge</t>
  </si>
  <si>
    <t>Scénario négaWatt 2022</t>
  </si>
  <si>
    <t>Existing_capa.csv</t>
  </si>
  <si>
    <t>Existing_capacity.csv</t>
  </si>
  <si>
    <t>négaWatt 2022 (Sankey) - PCS</t>
  </si>
  <si>
    <t>76500</t>
  </si>
  <si>
    <t>90100</t>
  </si>
  <si>
    <t>négaWatt 2022 (Sankey) - PCI</t>
  </si>
  <si>
    <t>90,1 TWh / an répartis comme suit : demande pour l'industrie (51,1 TWh), pour le transport (10 TWh), injection sur le réseau gaz (3,5 TWh), usage spécifique en méthanation (25,5 TWh), pertes réseau gaz (1,2 TWh) et produit comme suit : electrolyse (91,3 TWh), pertes réseau H2 (-1,2 TWh)</t>
  </si>
  <si>
    <t>Behrang modèle MV - PCI</t>
  </si>
  <si>
    <t>pci_h2</t>
  </si>
  <si>
    <t>pci_ch4</t>
  </si>
  <si>
    <t>33,4</t>
  </si>
  <si>
    <t>13,9</t>
  </si>
  <si>
    <t>Unité</t>
  </si>
  <si>
    <t>GW</t>
  </si>
  <si>
    <t>GWh</t>
  </si>
  <si>
    <t>Hypothèse personnelle Behrang</t>
  </si>
  <si>
    <t>40700</t>
  </si>
  <si>
    <t>hour(s)</t>
  </si>
  <si>
    <t>kWh/kg</t>
  </si>
  <si>
    <t>183700</t>
  </si>
  <si>
    <t>183,7 TWh / an répartis comme suit : combustible (80,1 TWh), carburant (103,6 TWh) et produits ainsi : H2 (3,5 TWh), méthanation (19,9 TWh), pyrogazéification (51,3 TWh), production d'électricité (-2,3 TWh), méthanisation (116,4 TWh), pertes réseau gaz &amp; autoconsommation (-5,1 TWh)</t>
  </si>
  <si>
    <t>165700</t>
  </si>
  <si>
    <t>Définition</t>
  </si>
  <si>
    <t>V Efficacité de charge des moyens de stockage V</t>
  </si>
  <si>
    <t>V Efficacité de décharge des moyens de stockage ou de production V</t>
  </si>
  <si>
    <t>V Capacité en puissance installée à date de 2021 encore en activité en 2050 V</t>
  </si>
  <si>
    <t>V Capacité en énergie installée à date de 2021 encore en activité en 2050 V</t>
  </si>
  <si>
    <t>Fix_capa.csv</t>
  </si>
  <si>
    <t>V Capacité en puissance cible atteinte en 2050 V</t>
  </si>
  <si>
    <t>V Capacité en énergie cible atteinte en 2050 V</t>
  </si>
  <si>
    <t>V Capacité en puissance de charge cible atteinte en 2050 V</t>
  </si>
  <si>
    <t>V Capacité en puissance maximale autorisée en 2050 V</t>
  </si>
  <si>
    <t>Remarques</t>
  </si>
  <si>
    <t>elec -&gt; H2 -&gt; CH4 (PCS) (sabatier's reaction)</t>
  </si>
  <si>
    <t>methanization</t>
  </si>
  <si>
    <t>pyrogazification</t>
  </si>
  <si>
    <t>V Maximum allowed yearly production, due to technical constraint or restricted amount of primary energy available V</t>
  </si>
  <si>
    <t>uncertainty coefficient for hourly demand</t>
  </si>
  <si>
    <t>load variation factor</t>
  </si>
  <si>
    <t>yearly exogeneous hydrogen demand</t>
  </si>
  <si>
    <t xml:space="preserve">yearly exogeneous methane demand
</t>
  </si>
  <si>
    <t>Wikipedia</t>
  </si>
  <si>
    <t>Lake_capacity.csv</t>
  </si>
  <si>
    <t>Lower heat value of H2</t>
  </si>
  <si>
    <t>Lower heat value of CH4</t>
  </si>
  <si>
    <t>quantity of CO2 produced from biogas used in methanation, relative to the quantity of methane produced by methanization</t>
  </si>
  <si>
    <t>hourly ramp rate for nuclear production</t>
  </si>
  <si>
    <t>minimal length of shutdown during irradiation period for nuclear power plants</t>
  </si>
  <si>
    <t>V Capacité en énergie maximale autorisée en 2050 V</t>
  </si>
  <si>
    <t>Gisements en cavités salines limités à 6 TWh dans le cadre du scénario négawatt</t>
  </si>
  <si>
    <t>Scénario négaWatt 2022 (Sankey)</t>
  </si>
  <si>
    <t>offshore_f</t>
  </si>
  <si>
    <t>offshore_g</t>
  </si>
  <si>
    <t>onshore</t>
  </si>
  <si>
    <t>pv_g</t>
  </si>
  <si>
    <t>pv_c</t>
  </si>
  <si>
    <t>battery</t>
  </si>
  <si>
    <t>Gisement maximal France</t>
  </si>
  <si>
    <t>V Miscellaneous V</t>
  </si>
  <si>
    <t>wind (all)</t>
  </si>
  <si>
    <t>pv (all)</t>
  </si>
  <si>
    <t>ALPES_DAM</t>
  </si>
  <si>
    <t>ALPES_ECLUS</t>
  </si>
  <si>
    <t>DORDOGNE-CREUSE_DAM</t>
  </si>
  <si>
    <t>DORDOGNE-CREUSE_ECLUS</t>
  </si>
  <si>
    <t>DURANCE-VERDON_DAM</t>
  </si>
  <si>
    <t>DURANCE-VERDON_ECLUS</t>
  </si>
  <si>
    <t>LOT-TARN-ARDECHE_DAM</t>
  </si>
  <si>
    <t>LOT-TARN-ARDECHE_ECLUS</t>
  </si>
  <si>
    <t>PYRENEES_DAM</t>
  </si>
  <si>
    <t>PYRENEES_ECLUS</t>
  </si>
  <si>
    <t>ALL_DAM</t>
  </si>
  <si>
    <t>ALL_ECLUS</t>
  </si>
  <si>
    <t>ALL</t>
  </si>
  <si>
    <t>V Capacités en puissance des différents lacs &amp; éclusées en France (2021), regroupées en 10 clusters, 2 clusters, ou 1 cluster V</t>
  </si>
  <si>
    <t>V Capacités en énergie des différents lacs &amp; éclusées en France (2021), regroupées en 10 clusters, 2 clusters, ou 1 cluster V</t>
  </si>
  <si>
    <t>Données produites par Laure Baratgin, sur la base des données RTE</t>
  </si>
  <si>
    <t>V Volume maximal devant être préservé l'été pour des besoins non énergétiques (irrigation, récréatif),. Le profil complet est implémenté dans le code lui même V</t>
  </si>
  <si>
    <t>V FRR aditionnel pour corriger les erreurs de prédiction des EnR V</t>
  </si>
  <si>
    <t>Grande toiture + petite toiture, construit sur la moyenne des coûts RTE pondérée par les capacités installées (43 GW petite et 47 GW grande)</t>
  </si>
  <si>
    <t>Négawatt 2022</t>
  </si>
  <si>
    <t>Coût des énergies renouvelables et de récupération (2019)</t>
  </si>
  <si>
    <t>ADEME 2021</t>
  </si>
  <si>
    <t>Gisement maximal France petite (241 GW) + grande toiture (123 GW)</t>
  </si>
  <si>
    <t>Transition(s) 2050</t>
  </si>
  <si>
    <t>46300</t>
  </si>
  <si>
    <t>123600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</si>
</sst>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8" x14ac:knownFonts="1">
    <font>
      <sz val="11"/>
      <color theme="1"/>
      <name val="Calibri"/>
      <family val="2"/>
      <scheme val="minor"/>
    </font>
    <font>
      <b/>
      <sz val="11"/>
      <color theme="1"/>
      <name val="Calibri"/>
      <family val="2"/>
      <scheme val="minor"/>
    </font>
    <font>
      <b/>
      <sz val="10"/>
      <color rgb="FF000000"/>
      <name val="Tahoma"/>
      <family val="2"/>
    </font>
    <font>
      <sz val="10"/>
      <color rgb="FF000000"/>
      <name val="Helvetica Neue"/>
      <family val="2"/>
    </font>
    <font>
      <sz val="11"/>
      <name val="Calibri"/>
      <family val="2"/>
      <scheme val="minor"/>
    </font>
    <font>
      <sz val="11"/>
      <color rgb="FF000000"/>
      <name val="Calibri"/>
      <family val="2"/>
      <scheme val="minor"/>
    </font>
    <font>
      <sz val="13"/>
      <color rgb="FF000000"/>
      <name val="Arial"/>
      <family val="2"/>
    </font>
    <font>
      <sz val="8"/>
      <name val="Calibri"/>
      <family val="2"/>
      <scheme val="minor"/>
    </font>
  </fonts>
  <fills count="10">
    <fill>
      <patternFill patternType="none"/>
    </fill>
    <fill>
      <patternFill patternType="gray125"/>
    </fill>
    <fill>
      <patternFill patternType="solid">
        <fgColor theme="7"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0000"/>
        <bgColor indexed="64"/>
      </patternFill>
    </fill>
    <fill>
      <patternFill patternType="solid">
        <fgColor theme="9" tint="0.39997558519241921"/>
        <bgColor indexed="64"/>
      </patternFill>
    </fill>
    <fill>
      <patternFill patternType="solid">
        <fgColor rgb="FFBFBFBF"/>
        <bgColor rgb="FF000000"/>
      </patternFill>
    </fill>
    <fill>
      <patternFill patternType="solid">
        <fgColor theme="4" tint="0.59999389629810485"/>
        <bgColor indexed="64"/>
      </patternFill>
    </fill>
  </fills>
  <borders count="21">
    <border>
      <left/>
      <right/>
      <top/>
      <bottom/>
      <diagonal/>
    </border>
    <border>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s>
  <cellStyleXfs count="1">
    <xf numFmtId="0" fontId="0" fillId="0" borderId="0"/>
  </cellStyleXfs>
  <cellXfs count="71">
    <xf numFmtId="0" fontId="0" fillId="0" borderId="0" xfId="0"/>
    <xf numFmtId="0" fontId="0" fillId="0" borderId="0" xfId="0" applyAlignment="1">
      <alignment horizontal="left"/>
    </xf>
    <xf numFmtId="0" fontId="0" fillId="2" borderId="0" xfId="0" applyFill="1"/>
    <xf numFmtId="0" fontId="0" fillId="3" borderId="0" xfId="0" applyFill="1"/>
    <xf numFmtId="0" fontId="0" fillId="0" borderId="1" xfId="0" applyBorder="1"/>
    <xf numFmtId="0" fontId="0" fillId="3" borderId="0" xfId="0" applyFill="1" applyAlignment="1">
      <alignment horizontal="left"/>
    </xf>
    <xf numFmtId="0" fontId="0" fillId="4" borderId="0" xfId="0" applyFill="1"/>
    <xf numFmtId="0" fontId="0" fillId="4" borderId="0" xfId="0" applyFill="1" applyAlignment="1">
      <alignment horizontal="left"/>
    </xf>
    <xf numFmtId="2" fontId="0" fillId="0" borderId="0" xfId="0" applyNumberFormat="1"/>
    <xf numFmtId="164" fontId="0" fillId="0" borderId="0" xfId="0" applyNumberFormat="1"/>
    <xf numFmtId="0" fontId="0" fillId="5" borderId="1" xfId="0" applyFill="1" applyBorder="1"/>
    <xf numFmtId="0" fontId="1" fillId="0" borderId="0" xfId="0" applyFont="1" applyAlignment="1">
      <alignment wrapText="1"/>
    </xf>
    <xf numFmtId="0" fontId="0" fillId="2" borderId="0" xfId="0" applyFill="1" applyAlignment="1">
      <alignment horizontal="left"/>
    </xf>
    <xf numFmtId="0" fontId="0" fillId="0" borderId="0" xfId="0"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4" xfId="0" applyBorder="1"/>
    <xf numFmtId="0" fontId="0" fillId="0" borderId="15" xfId="0" applyBorder="1"/>
    <xf numFmtId="0" fontId="0" fillId="0" borderId="16" xfId="0" applyBorder="1"/>
    <xf numFmtId="0" fontId="0" fillId="0" borderId="15" xfId="0" applyBorder="1" applyAlignment="1">
      <alignment horizontal="center"/>
    </xf>
    <xf numFmtId="0" fontId="0" fillId="0" borderId="16" xfId="0" applyBorder="1" applyAlignment="1">
      <alignment horizontal="center"/>
    </xf>
    <xf numFmtId="0" fontId="0" fillId="0" borderId="5" xfId="0" applyBorder="1"/>
    <xf numFmtId="0" fontId="0" fillId="0" borderId="8" xfId="0" applyBorder="1"/>
    <xf numFmtId="0" fontId="0" fillId="0" borderId="9" xfId="0" applyBorder="1"/>
    <xf numFmtId="0" fontId="0" fillId="0" borderId="17" xfId="0" applyBorder="1" applyAlignment="1">
      <alignment horizontal="center"/>
    </xf>
    <xf numFmtId="0" fontId="0" fillId="0" borderId="18" xfId="0" applyBorder="1" applyAlignment="1">
      <alignment horizontal="center"/>
    </xf>
    <xf numFmtId="0" fontId="0" fillId="0" borderId="5" xfId="0" applyBorder="1" applyAlignment="1">
      <alignment horizontal="center"/>
    </xf>
    <xf numFmtId="0" fontId="0" fillId="0" borderId="19" xfId="0" applyBorder="1" applyAlignment="1">
      <alignment horizontal="center"/>
    </xf>
    <xf numFmtId="0" fontId="3" fillId="0" borderId="8"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3" fillId="0" borderId="15" xfId="0" applyFont="1" applyBorder="1" applyAlignment="1">
      <alignment horizontal="center"/>
    </xf>
    <xf numFmtId="0" fontId="3" fillId="0" borderId="7" xfId="0" applyFont="1" applyBorder="1" applyAlignment="1">
      <alignment horizontal="center"/>
    </xf>
    <xf numFmtId="0" fontId="3" fillId="0" borderId="5" xfId="0" applyFont="1" applyBorder="1" applyAlignment="1">
      <alignment horizontal="center"/>
    </xf>
    <xf numFmtId="0" fontId="3" fillId="0" borderId="14" xfId="0" applyFont="1" applyBorder="1" applyAlignment="1">
      <alignment horizontal="center"/>
    </xf>
    <xf numFmtId="0" fontId="1" fillId="0" borderId="0" xfId="0" applyFont="1"/>
    <xf numFmtId="0" fontId="0" fillId="6" borderId="0" xfId="0" applyFill="1"/>
    <xf numFmtId="0" fontId="4" fillId="0" borderId="0" xfId="0" applyFont="1"/>
    <xf numFmtId="0" fontId="5" fillId="0" borderId="0" xfId="0" applyFont="1"/>
    <xf numFmtId="0" fontId="0" fillId="7" borderId="0" xfId="0" applyFill="1"/>
    <xf numFmtId="49" fontId="0" fillId="0" borderId="0" xfId="0" applyNumberFormat="1"/>
    <xf numFmtId="0" fontId="0" fillId="0" borderId="0" xfId="0" applyAlignment="1">
      <alignment wrapText="1"/>
    </xf>
    <xf numFmtId="0" fontId="3" fillId="0" borderId="9" xfId="0" applyFont="1" applyBorder="1" applyAlignment="1">
      <alignment horizontal="center"/>
    </xf>
    <xf numFmtId="0" fontId="0" fillId="0" borderId="20" xfId="0" applyBorder="1" applyAlignment="1">
      <alignment horizontal="left" vertical="center"/>
    </xf>
    <xf numFmtId="0" fontId="6" fillId="0" borderId="0" xfId="0" applyFont="1"/>
    <xf numFmtId="0" fontId="5" fillId="8" borderId="1" xfId="0" applyFont="1" applyFill="1" applyBorder="1"/>
    <xf numFmtId="0" fontId="0" fillId="9" borderId="0" xfId="0" applyFill="1"/>
    <xf numFmtId="0" fontId="0" fillId="0" borderId="0" xfId="0" applyAlignment="1">
      <alignment horizontal="left" vertical="center"/>
    </xf>
    <xf numFmtId="0" fontId="0" fillId="0" borderId="10"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3" fillId="0" borderId="0" xfId="0" applyFont="1" applyAlignment="1">
      <alignment horizontal="center"/>
    </xf>
    <xf numFmtId="0" fontId="3" fillId="0" borderId="9" xfId="0" applyFont="1" applyBorder="1" applyAlignment="1">
      <alignment horizontal="center"/>
    </xf>
    <xf numFmtId="0" fontId="3" fillId="0" borderId="8" xfId="0" applyFont="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0" borderId="19" xfId="0" applyBorder="1" applyAlignment="1">
      <alignment horizontal="center"/>
    </xf>
    <xf numFmtId="0" fontId="0" fillId="0" borderId="1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17"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20" xfId="0" applyBorder="1" applyAlignment="1">
      <alignment horizontal="left" vertical="center"/>
    </xf>
    <xf numFmtId="49" fontId="0" fillId="0" borderId="0" xfId="0" applyNumberFormat="1" applyAlignment="1">
      <alignment horizontal="left" vertical="center"/>
    </xf>
    <xf numFmtId="49" fontId="0" fillId="0" borderId="0" xfId="0" applyNumberForma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53"/>
  <sheetViews>
    <sheetView zoomScale="108" workbookViewId="0">
      <pane ySplit="1" topLeftCell="A2" activePane="bottomLeft" state="frozen"/>
      <selection pane="bottomLeft" activeCell="H9" sqref="H9"/>
    </sheetView>
  </sheetViews>
  <sheetFormatPr baseColWidth="10" defaultColWidth="8.83203125" defaultRowHeight="15" x14ac:dyDescent="0.2"/>
  <cols>
    <col min="1" max="1" width="14.1640625" customWidth="1"/>
    <col min="4" max="4" width="9.33203125" customWidth="1"/>
    <col min="5" max="5" width="8.83203125" hidden="1" customWidth="1"/>
    <col min="6" max="6" width="11.1640625" bestFit="1" customWidth="1"/>
    <col min="7" max="7" width="13.5" hidden="1" customWidth="1"/>
    <col min="19" max="19" width="13.1640625" customWidth="1"/>
    <col min="27" max="27" width="18.83203125" customWidth="1"/>
    <col min="28" max="28" width="13.1640625" customWidth="1"/>
    <col min="30" max="30" width="10.6640625" customWidth="1"/>
    <col min="35" max="35" width="10.5" customWidth="1"/>
    <col min="36" max="36" width="9.6640625" customWidth="1"/>
    <col min="43" max="43" width="13.5" customWidth="1"/>
  </cols>
  <sheetData>
    <row r="1" spans="1:36" s="4" customFormat="1" ht="16" thickBot="1" x14ac:dyDescent="0.25">
      <c r="A1" s="4" t="s">
        <v>0</v>
      </c>
      <c r="B1" s="4" t="s">
        <v>1</v>
      </c>
      <c r="C1" s="4" t="s">
        <v>8</v>
      </c>
      <c r="D1" s="4" t="s">
        <v>9</v>
      </c>
      <c r="E1" s="4" t="s">
        <v>6</v>
      </c>
      <c r="F1" s="4" t="s">
        <v>2</v>
      </c>
      <c r="G1" s="4" t="s">
        <v>7</v>
      </c>
      <c r="H1" s="4" t="s">
        <v>34</v>
      </c>
      <c r="I1" s="4" t="s">
        <v>10</v>
      </c>
      <c r="J1" s="4" t="s">
        <v>49</v>
      </c>
      <c r="K1" s="4" t="s">
        <v>48</v>
      </c>
      <c r="L1" s="4" t="s">
        <v>50</v>
      </c>
      <c r="M1" s="4" t="s">
        <v>13</v>
      </c>
      <c r="N1" s="4" t="s">
        <v>11</v>
      </c>
      <c r="P1" s="4" t="s">
        <v>23</v>
      </c>
      <c r="Q1" s="4" t="s">
        <v>57</v>
      </c>
      <c r="R1" s="4" t="s">
        <v>51</v>
      </c>
    </row>
    <row r="2" spans="1:36" ht="16" thickTop="1" x14ac:dyDescent="0.2">
      <c r="A2" t="s">
        <v>24</v>
      </c>
      <c r="B2" s="6">
        <v>40</v>
      </c>
      <c r="C2" s="6">
        <v>1900</v>
      </c>
      <c r="E2">
        <f>50.3</f>
        <v>50.3</v>
      </c>
      <c r="F2">
        <v>4.4999999999999998E-2</v>
      </c>
      <c r="G2">
        <v>0</v>
      </c>
      <c r="H2">
        <v>2</v>
      </c>
      <c r="I2">
        <f t="shared" ref="I2:I9" si="0">(F2*C2*((F2*H2)+1))/(1-(1+F2)^(-B2))</f>
        <v>112.54465662845965</v>
      </c>
      <c r="K2" s="6">
        <v>50</v>
      </c>
      <c r="L2" s="7">
        <f>G2/1000</f>
        <v>0</v>
      </c>
      <c r="M2" s="6">
        <v>0.4</v>
      </c>
      <c r="N2">
        <f t="shared" ref="N2:N7" si="1">(I2+K2+(L2*M2*8760))/(M2*8760)*1000</f>
        <v>46.388315247848077</v>
      </c>
      <c r="P2">
        <f>I2+K2</f>
        <v>162.54465662845965</v>
      </c>
    </row>
    <row r="3" spans="1:36" x14ac:dyDescent="0.2">
      <c r="A3" t="s">
        <v>25</v>
      </c>
      <c r="B3" s="6">
        <v>40</v>
      </c>
      <c r="C3" s="6">
        <v>1300</v>
      </c>
      <c r="E3">
        <f>36</f>
        <v>36</v>
      </c>
      <c r="F3">
        <v>4.4999999999999998E-2</v>
      </c>
      <c r="G3">
        <v>0</v>
      </c>
      <c r="H3">
        <v>2</v>
      </c>
      <c r="I3">
        <f t="shared" si="0"/>
        <v>77.004238745788186</v>
      </c>
      <c r="K3" s="6">
        <f>E3</f>
        <v>36</v>
      </c>
      <c r="L3" s="7">
        <f>G3/1000</f>
        <v>0</v>
      </c>
      <c r="M3" s="6">
        <v>0.4</v>
      </c>
      <c r="N3">
        <f t="shared" si="1"/>
        <v>32.250068135213517</v>
      </c>
      <c r="O3">
        <f t="shared" ref="O3:O13" si="2">(0.02*C3)/(1-(1+0.02)^(-B3))</f>
        <v>47.522472136551755</v>
      </c>
      <c r="P3">
        <f>I3+K3</f>
        <v>113.00423874578819</v>
      </c>
    </row>
    <row r="4" spans="1:36" x14ac:dyDescent="0.2">
      <c r="A4" t="s">
        <v>84</v>
      </c>
      <c r="B4" s="6">
        <v>30</v>
      </c>
      <c r="C4" s="6">
        <v>900</v>
      </c>
      <c r="E4">
        <f>25</f>
        <v>25</v>
      </c>
      <c r="F4">
        <v>4.4999999999999998E-2</v>
      </c>
      <c r="G4">
        <v>0</v>
      </c>
      <c r="H4">
        <v>1</v>
      </c>
      <c r="I4">
        <f t="shared" si="0"/>
        <v>57.738746105531938</v>
      </c>
      <c r="K4" s="6">
        <f>E4</f>
        <v>25</v>
      </c>
      <c r="L4" s="7">
        <f t="shared" ref="L4:L11" si="3">G4/1000</f>
        <v>0</v>
      </c>
      <c r="M4" s="6">
        <v>0.23</v>
      </c>
      <c r="N4">
        <f t="shared" si="1"/>
        <v>41.065488438322376</v>
      </c>
      <c r="O4">
        <f t="shared" si="2"/>
        <v>40.184930064062669</v>
      </c>
      <c r="P4">
        <f t="shared" ref="P4:P16" si="4">I4+K4</f>
        <v>82.738746105531931</v>
      </c>
      <c r="X4" t="s">
        <v>93</v>
      </c>
      <c r="Y4" t="s">
        <v>94</v>
      </c>
      <c r="Z4" t="s">
        <v>95</v>
      </c>
    </row>
    <row r="5" spans="1:36" x14ac:dyDescent="0.2">
      <c r="A5" t="s">
        <v>85</v>
      </c>
      <c r="B5" s="6">
        <v>30</v>
      </c>
      <c r="C5" s="2">
        <v>1250</v>
      </c>
      <c r="F5">
        <v>4.4999999999999998E-2</v>
      </c>
      <c r="H5">
        <v>1</v>
      </c>
      <c r="I5">
        <f t="shared" si="0"/>
        <v>80.192702924349902</v>
      </c>
      <c r="K5" s="2">
        <v>27</v>
      </c>
      <c r="L5" s="12">
        <v>0</v>
      </c>
      <c r="M5" s="2">
        <v>0.33</v>
      </c>
      <c r="N5">
        <f t="shared" si="1"/>
        <v>37.080636129912101</v>
      </c>
      <c r="O5">
        <f t="shared" si="2"/>
        <v>55.812402866753708</v>
      </c>
      <c r="P5">
        <f t="shared" si="4"/>
        <v>107.1927029243499</v>
      </c>
      <c r="R5" s="39" t="s">
        <v>92</v>
      </c>
      <c r="Y5" t="s">
        <v>103</v>
      </c>
      <c r="Z5" t="s">
        <v>96</v>
      </c>
    </row>
    <row r="6" spans="1:36" x14ac:dyDescent="0.2">
      <c r="A6" t="s">
        <v>4</v>
      </c>
      <c r="B6">
        <v>60</v>
      </c>
      <c r="C6" s="3">
        <v>2970</v>
      </c>
      <c r="E6">
        <f>0.5*C6/100</f>
        <v>14.85</v>
      </c>
      <c r="F6">
        <v>4.4999999999999998E-2</v>
      </c>
      <c r="G6">
        <v>0</v>
      </c>
      <c r="H6">
        <v>1</v>
      </c>
      <c r="I6">
        <f t="shared" si="0"/>
        <v>150.3850511572486</v>
      </c>
      <c r="K6" s="3">
        <f>E6</f>
        <v>14.85</v>
      </c>
      <c r="L6" s="5">
        <f t="shared" si="3"/>
        <v>0</v>
      </c>
      <c r="M6">
        <v>0.999</v>
      </c>
      <c r="N6">
        <f t="shared" si="1"/>
        <v>18.881330092335325</v>
      </c>
      <c r="O6">
        <f t="shared" si="2"/>
        <v>85.440858502644801</v>
      </c>
      <c r="P6">
        <f t="shared" si="4"/>
        <v>165.23505115724859</v>
      </c>
      <c r="Y6" t="s">
        <v>98</v>
      </c>
      <c r="Z6" t="s">
        <v>97</v>
      </c>
    </row>
    <row r="7" spans="1:36" x14ac:dyDescent="0.2">
      <c r="A7" t="s">
        <v>3</v>
      </c>
      <c r="B7" s="6">
        <v>70</v>
      </c>
      <c r="C7" s="6">
        <v>1000</v>
      </c>
      <c r="E7">
        <f>0.5*C7/100</f>
        <v>5</v>
      </c>
      <c r="F7">
        <v>4.4999999999999998E-2</v>
      </c>
      <c r="G7">
        <v>0</v>
      </c>
      <c r="H7">
        <v>1</v>
      </c>
      <c r="I7">
        <f t="shared" si="0"/>
        <v>49.28754297753126</v>
      </c>
      <c r="K7" s="6">
        <v>15</v>
      </c>
      <c r="L7" s="7">
        <f t="shared" si="3"/>
        <v>0</v>
      </c>
      <c r="M7">
        <v>0.13850000000000001</v>
      </c>
      <c r="N7">
        <f t="shared" si="1"/>
        <v>52.987441255403823</v>
      </c>
      <c r="O7">
        <f t="shared" si="2"/>
        <v>26.667648538259627</v>
      </c>
      <c r="P7">
        <f t="shared" si="4"/>
        <v>64.28754297753126</v>
      </c>
      <c r="Y7" t="s">
        <v>99</v>
      </c>
      <c r="Z7" t="s">
        <v>104</v>
      </c>
    </row>
    <row r="8" spans="1:36" ht="14" customHeight="1" x14ac:dyDescent="0.2">
      <c r="A8" t="s">
        <v>21</v>
      </c>
      <c r="B8">
        <v>20</v>
      </c>
      <c r="C8">
        <v>370</v>
      </c>
      <c r="E8">
        <f>4*C8/100</f>
        <v>14.8</v>
      </c>
      <c r="F8">
        <v>4.4999999999999998E-2</v>
      </c>
      <c r="G8">
        <v>3.1</v>
      </c>
      <c r="H8">
        <v>2</v>
      </c>
      <c r="I8">
        <f t="shared" si="0"/>
        <v>31.004149005888632</v>
      </c>
      <c r="K8">
        <v>37</v>
      </c>
      <c r="L8" s="1">
        <v>0.05</v>
      </c>
      <c r="M8">
        <v>0.87</v>
      </c>
      <c r="N8">
        <f>(I8+K8+(L8*M8*8760))/(M8*8760*0.45)*1000</f>
        <v>130.94005289510798</v>
      </c>
      <c r="O8">
        <f t="shared" si="2"/>
        <v>22.62798570635745</v>
      </c>
      <c r="P8">
        <f t="shared" si="4"/>
        <v>68.004149005888635</v>
      </c>
      <c r="S8" s="11"/>
      <c r="T8" s="11"/>
      <c r="Y8" t="s">
        <v>100</v>
      </c>
      <c r="Z8" t="s">
        <v>101</v>
      </c>
    </row>
    <row r="9" spans="1:36" ht="14" customHeight="1" x14ac:dyDescent="0.2">
      <c r="A9" t="s">
        <v>5</v>
      </c>
      <c r="B9" s="6">
        <v>50</v>
      </c>
      <c r="C9" s="6">
        <v>1000</v>
      </c>
      <c r="D9">
        <v>20</v>
      </c>
      <c r="E9">
        <f>1.5*C9/100</f>
        <v>15</v>
      </c>
      <c r="F9">
        <v>4.4999999999999998E-2</v>
      </c>
      <c r="G9">
        <v>0</v>
      </c>
      <c r="H9">
        <v>4</v>
      </c>
      <c r="I9">
        <f t="shared" si="0"/>
        <v>59.710532109056466</v>
      </c>
      <c r="J9">
        <f>(F9*D9*((F9*H9)+1))/(1-(1+F9)^(-B9))</f>
        <v>1.1942106421811294</v>
      </c>
      <c r="K9" s="6">
        <f>E9</f>
        <v>15</v>
      </c>
      <c r="L9" s="7">
        <f t="shared" si="3"/>
        <v>0</v>
      </c>
      <c r="O9">
        <f t="shared" si="2"/>
        <v>31.823209703696566</v>
      </c>
      <c r="P9">
        <f t="shared" si="4"/>
        <v>74.710532109056459</v>
      </c>
      <c r="Y9" t="s">
        <v>102</v>
      </c>
      <c r="Z9" t="s">
        <v>105</v>
      </c>
    </row>
    <row r="10" spans="1:36" x14ac:dyDescent="0.2">
      <c r="A10" t="s">
        <v>31</v>
      </c>
      <c r="B10" s="6">
        <v>15</v>
      </c>
      <c r="C10" s="6">
        <v>315</v>
      </c>
      <c r="D10">
        <v>255</v>
      </c>
      <c r="E10">
        <f>3.5*D10/100</f>
        <v>8.9250000000000007</v>
      </c>
      <c r="F10">
        <v>4.4999999999999998E-2</v>
      </c>
      <c r="G10">
        <v>0</v>
      </c>
      <c r="H10">
        <v>0.5</v>
      </c>
      <c r="I10">
        <f>(F10*C10*((F10*H10)+1))/(1-(1+F10)^(-B10))</f>
        <v>29.990793671165644</v>
      </c>
      <c r="J10">
        <f>(F10*D10*((F10*H10)+1))/(1-(1+F10)^(-B10))</f>
        <v>24.278261543324572</v>
      </c>
      <c r="K10" s="6">
        <v>11</v>
      </c>
      <c r="L10" s="7">
        <f t="shared" si="3"/>
        <v>0</v>
      </c>
      <c r="O10">
        <f t="shared" si="2"/>
        <v>24.515023758826914</v>
      </c>
    </row>
    <row r="11" spans="1:36" x14ac:dyDescent="0.2">
      <c r="A11" t="s">
        <v>32</v>
      </c>
      <c r="B11" s="6">
        <v>15</v>
      </c>
      <c r="C11" s="6">
        <v>740</v>
      </c>
      <c r="D11">
        <v>150</v>
      </c>
      <c r="E11">
        <f>3.5*D11*4/100</f>
        <v>21</v>
      </c>
      <c r="F11">
        <v>4.4999999999999998E-2</v>
      </c>
      <c r="G11">
        <v>0</v>
      </c>
      <c r="H11">
        <v>0.5</v>
      </c>
      <c r="I11">
        <f>(F11*C11*((F11*H11)+1))/(1-(1+F11)^(-B11))</f>
        <v>70.454562910039925</v>
      </c>
      <c r="J11">
        <f>(F11*D11*((F11*H11)+1))/(1-(1+F11)^(-B11))</f>
        <v>14.28133031960269</v>
      </c>
      <c r="K11" s="6">
        <v>30</v>
      </c>
      <c r="L11" s="7">
        <f t="shared" si="3"/>
        <v>0</v>
      </c>
      <c r="O11">
        <f t="shared" si="2"/>
        <v>57.590849465180689</v>
      </c>
      <c r="P11">
        <f t="shared" si="4"/>
        <v>100.45456291003993</v>
      </c>
    </row>
    <row r="12" spans="1:36" x14ac:dyDescent="0.2">
      <c r="A12" t="s">
        <v>35</v>
      </c>
      <c r="B12" s="6">
        <v>20</v>
      </c>
      <c r="C12" s="6">
        <v>507</v>
      </c>
      <c r="E12">
        <f>2*C12/100</f>
        <v>10.14</v>
      </c>
      <c r="F12">
        <v>4.4999999999999998E-2</v>
      </c>
      <c r="G12">
        <v>2.4</v>
      </c>
      <c r="H12">
        <v>2</v>
      </c>
      <c r="I12">
        <f>(F12*C12*((F12*H12)+1))/(1-(1+F12)^(-B12))</f>
        <v>42.484063637798748</v>
      </c>
      <c r="K12" s="6">
        <v>12</v>
      </c>
      <c r="L12" s="7">
        <v>0</v>
      </c>
      <c r="M12" t="s">
        <v>12</v>
      </c>
      <c r="O12">
        <f t="shared" si="2"/>
        <v>31.006456089522235</v>
      </c>
      <c r="P12">
        <f t="shared" si="4"/>
        <v>54.484063637798748</v>
      </c>
      <c r="Z12">
        <v>0</v>
      </c>
      <c r="AA12">
        <v>10</v>
      </c>
      <c r="AB12">
        <v>20</v>
      </c>
      <c r="AC12">
        <v>30</v>
      </c>
      <c r="AD12">
        <v>40</v>
      </c>
      <c r="AE12">
        <v>50</v>
      </c>
      <c r="AF12">
        <v>60</v>
      </c>
      <c r="AG12">
        <v>70</v>
      </c>
      <c r="AH12">
        <v>80</v>
      </c>
      <c r="AI12">
        <v>90</v>
      </c>
      <c r="AJ12">
        <v>100</v>
      </c>
    </row>
    <row r="13" spans="1:36" x14ac:dyDescent="0.2">
      <c r="A13" t="s">
        <v>165</v>
      </c>
      <c r="B13" s="6">
        <v>40</v>
      </c>
      <c r="C13">
        <v>0</v>
      </c>
      <c r="D13" s="6">
        <v>350</v>
      </c>
      <c r="E13">
        <v>20</v>
      </c>
      <c r="F13">
        <v>4.4999999999999998E-2</v>
      </c>
      <c r="G13">
        <v>10</v>
      </c>
      <c r="H13">
        <v>3</v>
      </c>
      <c r="I13">
        <f>(F13*C13*((F13*H13)+1))/(1-(1+F13)^(-B13))</f>
        <v>0</v>
      </c>
      <c r="J13">
        <f>(F13*D13*((F13*H13)+1))/(1-(1+F13)^(-B13))</f>
        <v>21.587814990659389</v>
      </c>
      <c r="K13" s="6">
        <v>2</v>
      </c>
      <c r="L13" s="7">
        <v>5.0000000000000001E-3</v>
      </c>
      <c r="O13">
        <f t="shared" si="2"/>
        <v>0</v>
      </c>
      <c r="R13" t="s">
        <v>166</v>
      </c>
      <c r="Z13">
        <v>850</v>
      </c>
      <c r="AA13">
        <v>930</v>
      </c>
      <c r="AB13">
        <v>1010</v>
      </c>
      <c r="AC13">
        <v>1090</v>
      </c>
      <c r="AD13">
        <v>1170</v>
      </c>
      <c r="AE13">
        <v>1250</v>
      </c>
      <c r="AF13">
        <v>1330</v>
      </c>
      <c r="AG13">
        <v>1410</v>
      </c>
      <c r="AH13">
        <v>1490</v>
      </c>
      <c r="AI13">
        <v>1570</v>
      </c>
      <c r="AJ13">
        <v>1650</v>
      </c>
    </row>
    <row r="14" spans="1:36" x14ac:dyDescent="0.2">
      <c r="A14" t="s">
        <v>147</v>
      </c>
      <c r="B14" s="43">
        <v>20</v>
      </c>
      <c r="C14" s="43">
        <v>1160</v>
      </c>
      <c r="E14">
        <f>3*C14/100</f>
        <v>34.799999999999997</v>
      </c>
      <c r="F14">
        <v>4.4999999999999998E-2</v>
      </c>
      <c r="G14" s="8">
        <f>1+2/0.45</f>
        <v>5.4444444444444446</v>
      </c>
      <c r="H14">
        <v>2</v>
      </c>
      <c r="I14">
        <f>(F14*C14*((F14*H14)+1))/(1-(1+F14)^(-B14))</f>
        <v>97.202196883326522</v>
      </c>
      <c r="K14" s="43">
        <v>66</v>
      </c>
      <c r="L14" s="9">
        <v>5.0000000000000001E-3</v>
      </c>
      <c r="O14">
        <f>(0.075*C14)/(1-(1+F14)^(-B14))</f>
        <v>148.6272123598265</v>
      </c>
      <c r="P14">
        <f t="shared" si="4"/>
        <v>163.20219688332651</v>
      </c>
      <c r="Z14">
        <v>15</v>
      </c>
      <c r="AA14" t="s">
        <v>107</v>
      </c>
      <c r="AB14">
        <v>20</v>
      </c>
      <c r="AC14" t="s">
        <v>108</v>
      </c>
      <c r="AD14">
        <v>25</v>
      </c>
      <c r="AE14" t="s">
        <v>109</v>
      </c>
      <c r="AF14">
        <v>30</v>
      </c>
      <c r="AG14" t="s">
        <v>110</v>
      </c>
      <c r="AH14">
        <v>35</v>
      </c>
      <c r="AI14" t="s">
        <v>106</v>
      </c>
      <c r="AJ14">
        <v>40</v>
      </c>
    </row>
    <row r="15" spans="1:36" x14ac:dyDescent="0.2">
      <c r="A15" t="s">
        <v>45</v>
      </c>
      <c r="B15" s="6">
        <v>60</v>
      </c>
      <c r="C15" s="6">
        <v>4505</v>
      </c>
      <c r="E15">
        <v>115</v>
      </c>
      <c r="F15">
        <v>4.4999999999999998E-2</v>
      </c>
      <c r="G15">
        <v>10</v>
      </c>
      <c r="H15">
        <v>10</v>
      </c>
      <c r="I15">
        <f>(F15*(C15*1.1)*((F15*H15)+1))/(1-(1+F15)^(-B15))</f>
        <v>348.16684402691368</v>
      </c>
      <c r="K15" s="6">
        <v>100</v>
      </c>
      <c r="L15" s="6">
        <v>6.0000000000000001E-3</v>
      </c>
      <c r="R15" t="s">
        <v>52</v>
      </c>
    </row>
    <row r="16" spans="1:36" x14ac:dyDescent="0.2">
      <c r="A16" t="s">
        <v>26</v>
      </c>
      <c r="B16" s="6">
        <v>30</v>
      </c>
      <c r="C16" s="6">
        <v>600</v>
      </c>
      <c r="E16">
        <v>20</v>
      </c>
      <c r="F16">
        <v>4.4999999999999998E-2</v>
      </c>
      <c r="H16">
        <v>1</v>
      </c>
      <c r="I16">
        <f>(F16*C16*((F16*H16)+1))/(1-(1+F16)^(-B16))</f>
        <v>38.492497403687956</v>
      </c>
      <c r="K16" s="6">
        <f>E16</f>
        <v>20</v>
      </c>
      <c r="L16" s="6">
        <v>0</v>
      </c>
      <c r="M16">
        <v>0.127</v>
      </c>
      <c r="N16">
        <f>(I16+K16+(L16*M16*9784))/(M16*8784)*1000</f>
        <v>52.43292869971885</v>
      </c>
      <c r="O16">
        <f>(0.02*C16)/(1-(1+0.02)^(-B16))</f>
        <v>26.78995337604178</v>
      </c>
      <c r="P16">
        <f t="shared" si="4"/>
        <v>58.492497403687956</v>
      </c>
      <c r="Q16" s="6">
        <v>0.4</v>
      </c>
    </row>
    <row r="17" spans="1:43" x14ac:dyDescent="0.2">
      <c r="A17" t="s">
        <v>43</v>
      </c>
      <c r="B17" s="6">
        <v>40</v>
      </c>
      <c r="C17" s="6">
        <v>1100</v>
      </c>
      <c r="E17">
        <v>20</v>
      </c>
      <c r="F17">
        <v>4.4999999999999998E-2</v>
      </c>
      <c r="H17">
        <v>2</v>
      </c>
      <c r="I17">
        <f>(F17*C17*((F17*H17)+1))/(1-(1+F17)^(-B17))</f>
        <v>65.157432784897694</v>
      </c>
      <c r="K17" s="6">
        <v>40</v>
      </c>
      <c r="L17" s="6">
        <v>0</v>
      </c>
      <c r="O17">
        <f>(0.07*C17)/(1-(1+0.07)^(-B17))</f>
        <v>82.510052760971362</v>
      </c>
      <c r="Q17" s="6">
        <v>0.6</v>
      </c>
      <c r="AA17" s="21" t="s">
        <v>111</v>
      </c>
      <c r="AB17" s="21" t="s">
        <v>124</v>
      </c>
      <c r="AC17" s="65" t="s">
        <v>125</v>
      </c>
      <c r="AD17" s="62"/>
      <c r="AE17" s="65" t="s">
        <v>103</v>
      </c>
      <c r="AF17" s="61"/>
      <c r="AG17" s="65" t="s">
        <v>98</v>
      </c>
      <c r="AH17" s="61"/>
      <c r="AI17" s="65" t="s">
        <v>99</v>
      </c>
      <c r="AJ17" s="62"/>
      <c r="AK17" s="61" t="s">
        <v>100</v>
      </c>
      <c r="AL17" s="62"/>
      <c r="AM17" s="61" t="s">
        <v>102</v>
      </c>
      <c r="AN17" s="62"/>
    </row>
    <row r="18" spans="1:43" x14ac:dyDescent="0.2">
      <c r="A18" t="s">
        <v>27</v>
      </c>
      <c r="B18" s="6">
        <v>40</v>
      </c>
      <c r="C18" s="6">
        <v>900</v>
      </c>
      <c r="E18">
        <v>40</v>
      </c>
      <c r="F18">
        <v>4.4999999999999998E-2</v>
      </c>
      <c r="H18">
        <v>2</v>
      </c>
      <c r="I18">
        <f>(F18*C18*((F18*H18)+1))/(1-(1+F18)^(-B18))</f>
        <v>53.310626824007201</v>
      </c>
      <c r="K18" s="6">
        <f>E18</f>
        <v>40</v>
      </c>
      <c r="L18" s="6">
        <v>0</v>
      </c>
      <c r="O18">
        <f>(0.07*C18)/(1-(1+0.07)^(-B18))</f>
        <v>67.508224986249289</v>
      </c>
      <c r="Q18" s="6">
        <v>0.6</v>
      </c>
      <c r="AA18" s="21" t="s">
        <v>146</v>
      </c>
      <c r="AB18" s="26" t="s">
        <v>122</v>
      </c>
      <c r="AC18" s="24" t="s">
        <v>115</v>
      </c>
      <c r="AD18" s="26" t="s">
        <v>116</v>
      </c>
      <c r="AE18" s="26" t="s">
        <v>115</v>
      </c>
      <c r="AF18" s="27" t="s">
        <v>116</v>
      </c>
      <c r="AG18" s="24" t="s">
        <v>115</v>
      </c>
      <c r="AH18" s="24" t="s">
        <v>116</v>
      </c>
      <c r="AI18" s="26" t="s">
        <v>115</v>
      </c>
      <c r="AJ18" s="25" t="s">
        <v>116</v>
      </c>
      <c r="AK18" s="27" t="s">
        <v>115</v>
      </c>
      <c r="AL18" s="26" t="s">
        <v>116</v>
      </c>
      <c r="AM18" s="25" t="s">
        <v>115</v>
      </c>
      <c r="AN18" s="25" t="s">
        <v>116</v>
      </c>
      <c r="AP18" s="66" t="s">
        <v>145</v>
      </c>
      <c r="AQ18" s="67"/>
    </row>
    <row r="19" spans="1:43" x14ac:dyDescent="0.2">
      <c r="A19" t="s">
        <v>87</v>
      </c>
      <c r="B19" s="6">
        <v>30</v>
      </c>
      <c r="C19" s="6">
        <v>477</v>
      </c>
      <c r="E19">
        <v>8</v>
      </c>
      <c r="F19">
        <v>4.4999999999999998E-2</v>
      </c>
      <c r="G19">
        <v>0</v>
      </c>
      <c r="H19">
        <v>0.5</v>
      </c>
      <c r="I19">
        <f>(F19*C19*((F19*H19)+1)/(1-(1+F19)^(-B19)))</f>
        <v>29.94265070166545</v>
      </c>
      <c r="K19" s="6">
        <v>8</v>
      </c>
      <c r="L19" s="6">
        <v>0</v>
      </c>
      <c r="M19" s="6">
        <v>0.14000000000000001</v>
      </c>
      <c r="O19">
        <f>(0.02*C19)/(1-(1+0.02)^(-B19))</f>
        <v>21.298012933953217</v>
      </c>
      <c r="Q19" s="6"/>
      <c r="R19" t="s">
        <v>88</v>
      </c>
      <c r="AA19" s="17" t="s">
        <v>113</v>
      </c>
      <c r="AB19" s="19">
        <v>800</v>
      </c>
      <c r="AC19" s="14">
        <v>800</v>
      </c>
      <c r="AD19" s="15">
        <v>1250</v>
      </c>
      <c r="AE19" s="14">
        <v>850</v>
      </c>
      <c r="AF19" s="13">
        <v>1650</v>
      </c>
      <c r="AG19" s="14">
        <v>930</v>
      </c>
      <c r="AH19" s="13">
        <v>1570</v>
      </c>
      <c r="AI19" s="14">
        <v>1010</v>
      </c>
      <c r="AJ19" s="15">
        <v>1490</v>
      </c>
      <c r="AK19" s="13">
        <v>1090</v>
      </c>
      <c r="AL19" s="15">
        <v>1410</v>
      </c>
      <c r="AM19" s="13">
        <v>1170</v>
      </c>
      <c r="AN19" s="15">
        <v>1330</v>
      </c>
      <c r="AP19" s="14" t="s">
        <v>123</v>
      </c>
      <c r="AQ19" s="15" t="s">
        <v>120</v>
      </c>
    </row>
    <row r="20" spans="1:43" x14ac:dyDescent="0.2">
      <c r="A20" t="s">
        <v>90</v>
      </c>
      <c r="B20" s="6">
        <v>30</v>
      </c>
      <c r="C20" s="6">
        <v>477</v>
      </c>
      <c r="E20">
        <v>8</v>
      </c>
      <c r="F20">
        <v>4.4999999999999998E-2</v>
      </c>
      <c r="G20">
        <v>0</v>
      </c>
      <c r="H20">
        <v>0.5</v>
      </c>
      <c r="I20">
        <f>(F20*C20*((F20*H20)+1)/(1-(1+F20)^(-B20)))</f>
        <v>29.94265070166545</v>
      </c>
      <c r="K20" s="6">
        <v>8</v>
      </c>
      <c r="L20" s="6">
        <v>0</v>
      </c>
      <c r="M20" s="6">
        <v>0.14000000000000001</v>
      </c>
      <c r="O20">
        <f>(0.02*C20)/(1-(1+0.02)^(-B20))</f>
        <v>21.298012933953217</v>
      </c>
      <c r="R20" t="s">
        <v>89</v>
      </c>
      <c r="AA20" s="17" t="s">
        <v>114</v>
      </c>
      <c r="AB20" s="19">
        <v>25</v>
      </c>
      <c r="AC20" s="14">
        <v>25</v>
      </c>
      <c r="AD20" s="15">
        <v>27</v>
      </c>
      <c r="AE20" s="14">
        <v>15</v>
      </c>
      <c r="AF20" s="13">
        <v>40</v>
      </c>
      <c r="AG20" s="14">
        <v>17.5</v>
      </c>
      <c r="AH20" s="13">
        <v>37.5</v>
      </c>
      <c r="AI20" s="14">
        <v>20</v>
      </c>
      <c r="AJ20" s="15">
        <v>35</v>
      </c>
      <c r="AK20" s="13">
        <v>22.5</v>
      </c>
      <c r="AL20" s="15">
        <v>32.5</v>
      </c>
      <c r="AM20" s="13">
        <v>25</v>
      </c>
      <c r="AN20" s="15">
        <v>30</v>
      </c>
      <c r="AP20" s="31" t="s">
        <v>114</v>
      </c>
      <c r="AQ20" s="32" t="s">
        <v>121</v>
      </c>
    </row>
    <row r="21" spans="1:43" x14ac:dyDescent="0.2">
      <c r="A21" s="51" t="s">
        <v>91</v>
      </c>
      <c r="B21" s="6">
        <v>30</v>
      </c>
      <c r="C21" s="50">
        <v>1064</v>
      </c>
      <c r="K21" s="50">
        <v>32</v>
      </c>
      <c r="L21" s="50">
        <v>0</v>
      </c>
      <c r="M21" s="6"/>
      <c r="R21" t="s">
        <v>299</v>
      </c>
      <c r="AA21" s="17"/>
      <c r="AB21" s="19"/>
      <c r="AC21" s="14"/>
      <c r="AD21" s="15"/>
      <c r="AE21" s="14"/>
      <c r="AF21" s="13"/>
      <c r="AG21" s="14"/>
      <c r="AH21" s="13"/>
      <c r="AI21" s="14"/>
      <c r="AJ21" s="15"/>
      <c r="AK21" s="13"/>
      <c r="AL21" s="15"/>
      <c r="AM21" s="13"/>
      <c r="AN21" s="15"/>
      <c r="AP21" s="13"/>
      <c r="AQ21" s="13"/>
    </row>
    <row r="22" spans="1:43" x14ac:dyDescent="0.2">
      <c r="A22" s="51"/>
      <c r="B22" s="6">
        <v>30</v>
      </c>
      <c r="C22" s="6">
        <v>677</v>
      </c>
      <c r="E22">
        <v>15</v>
      </c>
      <c r="F22">
        <v>4.4999999999999998E-2</v>
      </c>
      <c r="G22">
        <v>0</v>
      </c>
      <c r="H22">
        <v>0.5</v>
      </c>
      <c r="I22">
        <f>(F22*C22*((F22*H22)+1)/(1-(1+F22)^(-B22)))</f>
        <v>42.497221226472767</v>
      </c>
      <c r="K22" s="6">
        <v>15</v>
      </c>
      <c r="L22" s="6">
        <v>0</v>
      </c>
      <c r="M22" s="6">
        <v>0.14000000000000001</v>
      </c>
      <c r="O22">
        <f>(0.02*C22)/(1-(1+0.02)^(-B22))</f>
        <v>30.22799739263381</v>
      </c>
      <c r="R22" t="s">
        <v>58</v>
      </c>
      <c r="AA22" s="17" t="s">
        <v>117</v>
      </c>
      <c r="AB22" s="19" t="s">
        <v>118</v>
      </c>
      <c r="AC22" s="14" t="s">
        <v>118</v>
      </c>
      <c r="AD22" s="15" t="s">
        <v>119</v>
      </c>
      <c r="AE22" s="14" t="s">
        <v>119</v>
      </c>
      <c r="AF22" s="13" t="s">
        <v>119</v>
      </c>
      <c r="AG22" s="14" t="s">
        <v>119</v>
      </c>
      <c r="AH22" s="13" t="s">
        <v>119</v>
      </c>
      <c r="AI22" s="14" t="s">
        <v>119</v>
      </c>
      <c r="AJ22" s="15" t="s">
        <v>119</v>
      </c>
      <c r="AK22" s="13" t="s">
        <v>119</v>
      </c>
      <c r="AL22" s="15" t="s">
        <v>119</v>
      </c>
      <c r="AM22" s="13" t="s">
        <v>119</v>
      </c>
      <c r="AN22" s="15" t="s">
        <v>119</v>
      </c>
    </row>
    <row r="23" spans="1:43" x14ac:dyDescent="0.2">
      <c r="A23" t="s">
        <v>55</v>
      </c>
      <c r="B23" s="6">
        <v>30</v>
      </c>
      <c r="C23">
        <v>0</v>
      </c>
      <c r="D23">
        <v>0</v>
      </c>
      <c r="F23">
        <v>4.4999999999999998E-2</v>
      </c>
      <c r="H23">
        <v>0</v>
      </c>
      <c r="I23">
        <f>(F23*C23*((F23*H23)+1)/(1-(1+F23)^(-B23)))</f>
        <v>0</v>
      </c>
      <c r="J23">
        <v>0</v>
      </c>
      <c r="K23" s="40" t="s">
        <v>149</v>
      </c>
      <c r="L23" s="40" t="s">
        <v>149</v>
      </c>
      <c r="R23" t="s">
        <v>56</v>
      </c>
      <c r="AA23" s="17" t="s">
        <v>136</v>
      </c>
      <c r="AB23" s="19" t="s">
        <v>64</v>
      </c>
      <c r="AC23" s="14">
        <v>0</v>
      </c>
      <c r="AD23" s="15">
        <v>80</v>
      </c>
      <c r="AE23" s="14">
        <v>80</v>
      </c>
      <c r="AF23" s="13">
        <v>0</v>
      </c>
      <c r="AG23" s="14">
        <v>80</v>
      </c>
      <c r="AH23" s="13">
        <v>0</v>
      </c>
      <c r="AI23" s="28" t="s">
        <v>142</v>
      </c>
      <c r="AJ23" s="15" t="s">
        <v>143</v>
      </c>
      <c r="AK23" s="13">
        <v>0</v>
      </c>
      <c r="AL23" s="15">
        <v>80</v>
      </c>
      <c r="AM23" s="13">
        <v>0</v>
      </c>
      <c r="AN23" s="15">
        <v>80</v>
      </c>
      <c r="AO23" s="29"/>
      <c r="AP23" s="33" t="s">
        <v>126</v>
      </c>
      <c r="AQ23" s="30" t="s">
        <v>127</v>
      </c>
    </row>
    <row r="24" spans="1:43" x14ac:dyDescent="0.2">
      <c r="A24" t="s">
        <v>19</v>
      </c>
      <c r="B24">
        <v>20</v>
      </c>
      <c r="C24">
        <v>2500</v>
      </c>
      <c r="D24">
        <v>0</v>
      </c>
      <c r="E24">
        <f>9*C24/100</f>
        <v>225</v>
      </c>
      <c r="F24">
        <v>4.4999999999999998E-2</v>
      </c>
      <c r="G24">
        <v>20</v>
      </c>
      <c r="H24">
        <v>2</v>
      </c>
      <c r="I24">
        <f>(F24*C24)/(1-(1+F24)^(-B24))</f>
        <v>192.19036081012047</v>
      </c>
      <c r="K24" s="41">
        <v>225</v>
      </c>
      <c r="L24">
        <v>3.2000000000000001E-2</v>
      </c>
      <c r="M24">
        <v>0.9</v>
      </c>
      <c r="N24">
        <f>(I24+K24+(L24*M24*8760))/(M24*8760)*1000</f>
        <v>84.916078235682448</v>
      </c>
      <c r="O24">
        <f>(0.075*C24)/(1-(1+F24)^(-B24))</f>
        <v>320.31726801686744</v>
      </c>
      <c r="P24">
        <f>I24+K24</f>
        <v>417.19036081012047</v>
      </c>
      <c r="Z24" s="23"/>
      <c r="AA24" s="17"/>
      <c r="AB24" s="17"/>
      <c r="AD24" s="23"/>
      <c r="AF24" s="23"/>
      <c r="AH24" s="23"/>
      <c r="AJ24" s="23"/>
      <c r="AL24" s="23"/>
      <c r="AO24" s="14" t="s">
        <v>123</v>
      </c>
      <c r="AP24" s="13">
        <v>477</v>
      </c>
      <c r="AQ24" s="15">
        <v>477</v>
      </c>
    </row>
    <row r="25" spans="1:43" x14ac:dyDescent="0.2">
      <c r="A25" t="s">
        <v>167</v>
      </c>
      <c r="B25" s="6">
        <v>25</v>
      </c>
      <c r="C25" s="6">
        <v>1900</v>
      </c>
      <c r="F25">
        <v>4.4999999999999998E-2</v>
      </c>
      <c r="H25">
        <v>0</v>
      </c>
      <c r="K25" s="6">
        <v>275</v>
      </c>
      <c r="L25" s="6">
        <v>0</v>
      </c>
      <c r="R25" t="s">
        <v>168</v>
      </c>
      <c r="Z25" s="23"/>
      <c r="AA25" s="17"/>
      <c r="AB25" s="17"/>
      <c r="AD25" s="23"/>
      <c r="AF25" s="23"/>
      <c r="AH25" s="23"/>
      <c r="AJ25" s="23"/>
      <c r="AL25" s="23"/>
      <c r="AO25" s="14"/>
      <c r="AP25" s="13"/>
      <c r="AQ25" s="15"/>
    </row>
    <row r="26" spans="1:43" ht="16" x14ac:dyDescent="0.2">
      <c r="A26" s="45" t="s">
        <v>170</v>
      </c>
      <c r="B26">
        <v>0</v>
      </c>
      <c r="C26">
        <v>0</v>
      </c>
      <c r="F26">
        <v>4.4999999999999998E-2</v>
      </c>
      <c r="H26">
        <v>0</v>
      </c>
      <c r="K26">
        <v>79</v>
      </c>
      <c r="L26">
        <v>0</v>
      </c>
      <c r="R26" t="s">
        <v>174</v>
      </c>
      <c r="Z26" s="23"/>
      <c r="AA26" s="21" t="s">
        <v>135</v>
      </c>
      <c r="AB26" s="37" t="s">
        <v>134</v>
      </c>
      <c r="AC26" s="27" t="s">
        <v>126</v>
      </c>
      <c r="AD26" s="26" t="s">
        <v>127</v>
      </c>
      <c r="AE26" s="27" t="s">
        <v>126</v>
      </c>
      <c r="AF26" s="26" t="s">
        <v>127</v>
      </c>
      <c r="AG26" s="25" t="s">
        <v>126</v>
      </c>
      <c r="AH26" s="25" t="s">
        <v>127</v>
      </c>
      <c r="AI26" s="25" t="s">
        <v>126</v>
      </c>
      <c r="AJ26" s="25" t="s">
        <v>127</v>
      </c>
      <c r="AK26" s="27" t="s">
        <v>126</v>
      </c>
      <c r="AL26" s="26" t="s">
        <v>127</v>
      </c>
      <c r="AM26" s="25" t="s">
        <v>126</v>
      </c>
      <c r="AN26" s="25" t="s">
        <v>127</v>
      </c>
      <c r="AO26" s="31" t="s">
        <v>114</v>
      </c>
      <c r="AP26" s="34">
        <v>8</v>
      </c>
      <c r="AQ26" s="32">
        <v>8</v>
      </c>
    </row>
    <row r="27" spans="1:43" ht="16" x14ac:dyDescent="0.2">
      <c r="A27" s="45" t="s">
        <v>169</v>
      </c>
      <c r="B27" s="6">
        <v>0</v>
      </c>
      <c r="C27" s="6">
        <v>0</v>
      </c>
      <c r="F27">
        <v>4.4999999999999998E-2</v>
      </c>
      <c r="H27">
        <v>0</v>
      </c>
      <c r="K27" s="6">
        <v>123</v>
      </c>
      <c r="L27" s="6">
        <v>0</v>
      </c>
      <c r="R27" t="s">
        <v>172</v>
      </c>
      <c r="Z27" s="23"/>
      <c r="AA27" s="16" t="s">
        <v>136</v>
      </c>
      <c r="AB27" s="38">
        <v>62.25</v>
      </c>
      <c r="AC27" s="33">
        <v>0</v>
      </c>
      <c r="AD27" s="36">
        <v>67.099999999999994</v>
      </c>
      <c r="AE27" s="33">
        <v>0</v>
      </c>
      <c r="AF27" s="36">
        <v>61.5</v>
      </c>
      <c r="AG27" s="33">
        <v>0</v>
      </c>
      <c r="AH27" s="36">
        <v>61.5</v>
      </c>
      <c r="AI27" s="33">
        <v>0</v>
      </c>
      <c r="AJ27" s="36">
        <v>64.900000000000006</v>
      </c>
      <c r="AK27" s="33">
        <v>0</v>
      </c>
      <c r="AL27" s="36">
        <v>67.099999999999994</v>
      </c>
      <c r="AM27" s="33">
        <v>0</v>
      </c>
      <c r="AN27" s="36">
        <v>67.099999999999994</v>
      </c>
      <c r="AO27" s="22"/>
    </row>
    <row r="28" spans="1:43" ht="32" x14ac:dyDescent="0.2">
      <c r="A28" s="45" t="s">
        <v>171</v>
      </c>
      <c r="B28" s="6">
        <v>0</v>
      </c>
      <c r="C28" s="6">
        <v>0</v>
      </c>
      <c r="F28">
        <v>4.4999999999999998E-2</v>
      </c>
      <c r="H28">
        <v>0</v>
      </c>
      <c r="K28" s="6">
        <v>79</v>
      </c>
      <c r="L28" s="6">
        <v>50</v>
      </c>
      <c r="R28" t="s">
        <v>173</v>
      </c>
      <c r="Z28" s="23"/>
      <c r="AA28" s="17"/>
      <c r="AB28" s="35"/>
      <c r="AC28" s="13"/>
      <c r="AD28" s="46"/>
      <c r="AE28" s="13"/>
      <c r="AF28" s="46"/>
      <c r="AG28" s="13"/>
      <c r="AH28" s="46"/>
      <c r="AI28" s="13"/>
      <c r="AJ28" s="46"/>
      <c r="AK28" s="13"/>
      <c r="AL28" s="46"/>
      <c r="AM28" s="13"/>
      <c r="AN28" s="46"/>
    </row>
    <row r="29" spans="1:43" ht="16" thickBot="1" x14ac:dyDescent="0.25">
      <c r="Z29" s="23"/>
      <c r="AA29" s="17"/>
      <c r="AB29" s="17"/>
      <c r="AD29" s="23"/>
      <c r="AF29" s="23"/>
      <c r="AH29" s="23"/>
      <c r="AJ29" s="23"/>
      <c r="AL29" s="23"/>
      <c r="AN29" s="23"/>
    </row>
    <row r="30" spans="1:43" ht="16" thickBot="1" x14ac:dyDescent="0.25">
      <c r="D30" s="58" t="s">
        <v>78</v>
      </c>
      <c r="E30" s="59"/>
      <c r="F30" s="59"/>
      <c r="G30" s="59"/>
      <c r="H30" s="59"/>
      <c r="I30" s="60"/>
      <c r="S30" t="s">
        <v>53</v>
      </c>
      <c r="AA30" s="17" t="s">
        <v>112</v>
      </c>
      <c r="AB30" s="19">
        <v>30.696999999999999</v>
      </c>
      <c r="AC30" s="63">
        <v>28.908999999999999</v>
      </c>
      <c r="AD30" s="64"/>
      <c r="AE30" s="63">
        <v>29.552</v>
      </c>
      <c r="AF30" s="64"/>
      <c r="AG30" s="63">
        <v>30.161999999999999</v>
      </c>
      <c r="AH30" s="64"/>
      <c r="AI30" s="63">
        <v>30.765000000000001</v>
      </c>
      <c r="AJ30" s="64"/>
      <c r="AK30" s="63">
        <v>30.17</v>
      </c>
      <c r="AL30" s="64"/>
      <c r="AM30" s="63">
        <v>29.559000000000001</v>
      </c>
      <c r="AN30" s="64"/>
    </row>
    <row r="31" spans="1:43" x14ac:dyDescent="0.2">
      <c r="S31" s="6" t="s">
        <v>54</v>
      </c>
      <c r="T31" t="s">
        <v>83</v>
      </c>
      <c r="AA31" s="17" t="s">
        <v>137</v>
      </c>
      <c r="AB31" s="35" t="s">
        <v>128</v>
      </c>
      <c r="AC31" s="55" t="s">
        <v>129</v>
      </c>
      <c r="AD31" s="56"/>
      <c r="AE31" s="55" t="s">
        <v>133</v>
      </c>
      <c r="AF31" s="56"/>
      <c r="AG31" s="55" t="s">
        <v>132</v>
      </c>
      <c r="AH31" s="55"/>
      <c r="AI31" s="57" t="s">
        <v>131</v>
      </c>
      <c r="AJ31" s="55"/>
      <c r="AK31" s="57" t="s">
        <v>129</v>
      </c>
      <c r="AL31" s="55"/>
      <c r="AM31" s="57" t="s">
        <v>130</v>
      </c>
      <c r="AN31" s="56"/>
      <c r="AO31" s="13" t="s">
        <v>138</v>
      </c>
      <c r="AP31" t="s">
        <v>140</v>
      </c>
    </row>
    <row r="32" spans="1:43" x14ac:dyDescent="0.2">
      <c r="E32">
        <f>E37+E38</f>
        <v>30</v>
      </c>
      <c r="F32">
        <v>4.4999999999999998E-2</v>
      </c>
      <c r="H32">
        <v>1</v>
      </c>
      <c r="I32">
        <f>I37+I38</f>
        <v>56.000518982932533</v>
      </c>
      <c r="J32">
        <f>J37+J38+J16</f>
        <v>0</v>
      </c>
      <c r="K32">
        <f>K37+K38</f>
        <v>30</v>
      </c>
      <c r="L32">
        <v>0</v>
      </c>
      <c r="O32">
        <f>O37+O38</f>
        <v>39.005195896718263</v>
      </c>
      <c r="P32">
        <f>I32+K32</f>
        <v>86.000518982932533</v>
      </c>
      <c r="S32" s="3" t="s">
        <v>73</v>
      </c>
      <c r="AA32" s="18" t="s">
        <v>144</v>
      </c>
      <c r="AB32" s="20">
        <v>12.2</v>
      </c>
      <c r="AC32" s="52">
        <v>2.8</v>
      </c>
      <c r="AD32" s="53"/>
      <c r="AE32" s="52">
        <v>11.2</v>
      </c>
      <c r="AF32" s="53"/>
      <c r="AG32" s="52">
        <v>11.2</v>
      </c>
      <c r="AH32" s="54"/>
      <c r="AI32" s="52">
        <v>7</v>
      </c>
      <c r="AJ32" s="53"/>
      <c r="AK32" s="52">
        <v>2.7</v>
      </c>
      <c r="AL32" s="53"/>
      <c r="AM32" s="52">
        <v>2.8</v>
      </c>
      <c r="AN32" s="53"/>
      <c r="AO32" s="13" t="s">
        <v>139</v>
      </c>
      <c r="AP32" t="s">
        <v>141</v>
      </c>
    </row>
    <row r="33" spans="1:20" x14ac:dyDescent="0.2">
      <c r="A33" t="s">
        <v>28</v>
      </c>
      <c r="B33">
        <v>60</v>
      </c>
      <c r="C33">
        <f>5000*1</f>
        <v>5000</v>
      </c>
      <c r="E33">
        <v>115</v>
      </c>
      <c r="F33">
        <v>4.4999999999999998E-2</v>
      </c>
      <c r="G33">
        <v>10</v>
      </c>
      <c r="H33">
        <v>10</v>
      </c>
      <c r="I33">
        <f>(F33*(C33*1.1)*((F33*H33)+1))/(1-(1+F33)^(-B33))</f>
        <v>386.42269037393305</v>
      </c>
      <c r="K33">
        <v>115</v>
      </c>
      <c r="L33">
        <f>G33/1000</f>
        <v>0.01</v>
      </c>
      <c r="S33" s="50" t="s">
        <v>300</v>
      </c>
      <c r="T33" t="s">
        <v>180</v>
      </c>
    </row>
    <row r="34" spans="1:20" x14ac:dyDescent="0.2">
      <c r="A34" t="s">
        <v>46</v>
      </c>
      <c r="B34">
        <v>60</v>
      </c>
      <c r="C34">
        <v>4700</v>
      </c>
      <c r="E34">
        <v>115</v>
      </c>
      <c r="F34">
        <v>4.4999999999999998E-2</v>
      </c>
      <c r="G34">
        <v>10</v>
      </c>
      <c r="H34">
        <v>10</v>
      </c>
      <c r="I34">
        <f>(F34*(C34+180)*((F34*H34)+1))/(1-(1+F34)^(-B34))</f>
        <v>342.86231436814421</v>
      </c>
      <c r="K34">
        <f>E34</f>
        <v>115</v>
      </c>
      <c r="L34">
        <v>9.4999999999999998E-3</v>
      </c>
      <c r="M34">
        <v>0.8</v>
      </c>
      <c r="N34">
        <f>(I34+K34+(L34*M34*8760))/(M34*8760)*1000</f>
        <v>74.834234356184965</v>
      </c>
      <c r="O34">
        <f>(0.075*C34)/(1-(1+F34)^(-B34))</f>
        <v>379.55833746237943</v>
      </c>
      <c r="P34">
        <f>I34+K34</f>
        <v>457.86231436814421</v>
      </c>
      <c r="S34" s="2" t="s">
        <v>86</v>
      </c>
      <c r="T34" t="s">
        <v>301</v>
      </c>
    </row>
    <row r="35" spans="1:20" x14ac:dyDescent="0.2">
      <c r="A35" t="s">
        <v>47</v>
      </c>
      <c r="I35">
        <f>(2*I15+2*I33+4*I34)/8</f>
        <v>355.0785407842838</v>
      </c>
      <c r="S35" s="43" t="s">
        <v>59</v>
      </c>
      <c r="T35" s="42" t="s">
        <v>151</v>
      </c>
    </row>
    <row r="36" spans="1:20" x14ac:dyDescent="0.2">
      <c r="A36" t="s">
        <v>44</v>
      </c>
      <c r="B36">
        <v>20</v>
      </c>
      <c r="C36">
        <v>1510</v>
      </c>
      <c r="D36">
        <v>0</v>
      </c>
      <c r="E36">
        <f>5*C36/100</f>
        <v>75.5</v>
      </c>
      <c r="F36">
        <v>4.4999999999999998E-2</v>
      </c>
      <c r="G36">
        <v>0</v>
      </c>
      <c r="H36">
        <v>1</v>
      </c>
      <c r="I36">
        <f>(F36*C36)/(1-(1+F36)^(-B36))</f>
        <v>116.08297792931276</v>
      </c>
      <c r="O36">
        <f>(0.075*C36)/(1-(1+F36)^(-B36))</f>
        <v>193.47162988218793</v>
      </c>
      <c r="P36">
        <f>I36+K36</f>
        <v>116.08297792931276</v>
      </c>
    </row>
    <row r="37" spans="1:20" x14ac:dyDescent="0.2">
      <c r="A37" t="s">
        <v>20</v>
      </c>
      <c r="B37">
        <v>30</v>
      </c>
      <c r="C37">
        <v>300</v>
      </c>
      <c r="D37">
        <v>0</v>
      </c>
      <c r="E37">
        <f>7.5*C37/100</f>
        <v>22.5</v>
      </c>
      <c r="F37">
        <v>4.4999999999999998E-2</v>
      </c>
      <c r="H37">
        <v>1</v>
      </c>
      <c r="I37">
        <f t="shared" ref="I37:I45" si="5">(F37*C37*((F37*H37)+1))/(1-(1+F37)^(-B37))</f>
        <v>19.246248701843978</v>
      </c>
      <c r="J37">
        <f>(F37*D37)/(1-(1+F37)^(-B37))</f>
        <v>0</v>
      </c>
      <c r="K37">
        <f t="shared" ref="K37:K45" si="6">E37</f>
        <v>22.5</v>
      </c>
      <c r="L37">
        <v>0</v>
      </c>
      <c r="O37">
        <f t="shared" ref="O37:O43" si="7">(0.02*C37)/(1-(1+0.02)^(-B37))</f>
        <v>13.39497668802089</v>
      </c>
      <c r="P37">
        <f>I37+K37</f>
        <v>41.746248701843982</v>
      </c>
    </row>
    <row r="38" spans="1:20" x14ac:dyDescent="0.2">
      <c r="A38" t="s">
        <v>14</v>
      </c>
      <c r="B38">
        <v>25</v>
      </c>
      <c r="C38">
        <v>500</v>
      </c>
      <c r="D38">
        <v>0</v>
      </c>
      <c r="E38">
        <f>1.5*C38/100</f>
        <v>7.5</v>
      </c>
      <c r="F38">
        <v>4.4999999999999998E-2</v>
      </c>
      <c r="H38">
        <v>2</v>
      </c>
      <c r="I38">
        <f t="shared" si="5"/>
        <v>36.754270281088552</v>
      </c>
      <c r="J38">
        <f>(F38*D38)/(1-(1+F38)^(-B38))</f>
        <v>0</v>
      </c>
      <c r="K38">
        <f t="shared" si="6"/>
        <v>7.5</v>
      </c>
      <c r="L38">
        <v>0</v>
      </c>
      <c r="O38">
        <f t="shared" si="7"/>
        <v>25.610219208697369</v>
      </c>
      <c r="P38">
        <f>I38+K38</f>
        <v>44.254270281088552</v>
      </c>
    </row>
    <row r="39" spans="1:20" x14ac:dyDescent="0.2">
      <c r="A39" t="s">
        <v>15</v>
      </c>
      <c r="B39">
        <v>32.119999999999997</v>
      </c>
      <c r="C39">
        <f>350/0.75</f>
        <v>466.66666666666669</v>
      </c>
      <c r="D39">
        <v>0</v>
      </c>
      <c r="E39">
        <f>2*C39/100</f>
        <v>9.3333333333333339</v>
      </c>
      <c r="F39">
        <v>4.4999999999999998E-2</v>
      </c>
      <c r="G39">
        <v>2.4</v>
      </c>
      <c r="H39">
        <v>2</v>
      </c>
      <c r="I39">
        <f t="shared" si="5"/>
        <v>30.246245705906677</v>
      </c>
      <c r="J39" s="2">
        <f t="shared" ref="J39:J45" si="8">(F39*D39*((F39*H39)+1))/(1-(1+F39)^(-B39))</f>
        <v>0</v>
      </c>
      <c r="K39">
        <f t="shared" si="6"/>
        <v>9.3333333333333339</v>
      </c>
      <c r="L39" s="1">
        <f t="shared" ref="L39:L45" si="9">G39/1000</f>
        <v>2.3999999999999998E-3</v>
      </c>
      <c r="O39">
        <f t="shared" si="7"/>
        <v>19.831735452686718</v>
      </c>
    </row>
    <row r="40" spans="1:20" x14ac:dyDescent="0.2">
      <c r="A40" t="s">
        <v>38</v>
      </c>
      <c r="B40">
        <v>23.4</v>
      </c>
      <c r="C40">
        <f>350/0.75</f>
        <v>466.66666666666669</v>
      </c>
      <c r="D40">
        <v>0</v>
      </c>
      <c r="E40">
        <f>2*C40/100</f>
        <v>9.3333333333333339</v>
      </c>
      <c r="F40">
        <v>4.4999999999999998E-2</v>
      </c>
      <c r="G40">
        <v>2.4</v>
      </c>
      <c r="H40">
        <v>2</v>
      </c>
      <c r="I40">
        <f t="shared" si="5"/>
        <v>35.599237679220032</v>
      </c>
      <c r="J40" s="2">
        <f t="shared" si="8"/>
        <v>0</v>
      </c>
      <c r="K40">
        <f t="shared" si="6"/>
        <v>9.3333333333333339</v>
      </c>
      <c r="L40" s="1">
        <f t="shared" si="9"/>
        <v>2.3999999999999998E-3</v>
      </c>
      <c r="O40">
        <f t="shared" si="7"/>
        <v>25.167583188183208</v>
      </c>
    </row>
    <row r="41" spans="1:20" x14ac:dyDescent="0.2">
      <c r="A41" t="s">
        <v>39</v>
      </c>
      <c r="B41">
        <v>61.2</v>
      </c>
      <c r="C41">
        <f>350/0.75</f>
        <v>466.66666666666669</v>
      </c>
      <c r="D41">
        <v>0</v>
      </c>
      <c r="E41">
        <f>2*C41/100</f>
        <v>9.3333333333333339</v>
      </c>
      <c r="F41">
        <v>4.4999999999999998E-2</v>
      </c>
      <c r="G41">
        <v>2.4</v>
      </c>
      <c r="H41">
        <v>2</v>
      </c>
      <c r="I41">
        <f t="shared" si="5"/>
        <v>24.550108365745814</v>
      </c>
      <c r="J41" s="2">
        <f t="shared" si="8"/>
        <v>0</v>
      </c>
      <c r="K41">
        <f t="shared" si="6"/>
        <v>9.3333333333333339</v>
      </c>
      <c r="L41" s="1">
        <f t="shared" si="9"/>
        <v>2.3999999999999998E-3</v>
      </c>
      <c r="O41">
        <f t="shared" si="7"/>
        <v>13.288249239578951</v>
      </c>
    </row>
    <row r="42" spans="1:20" x14ac:dyDescent="0.2">
      <c r="A42" t="s">
        <v>40</v>
      </c>
      <c r="B42">
        <v>19.07</v>
      </c>
      <c r="C42">
        <f>350/0.75</f>
        <v>466.66666666666669</v>
      </c>
      <c r="D42">
        <v>0</v>
      </c>
      <c r="E42">
        <f>2*C42/100</f>
        <v>9.3333333333333339</v>
      </c>
      <c r="F42">
        <v>4.4999999999999998E-2</v>
      </c>
      <c r="G42">
        <v>2.4</v>
      </c>
      <c r="H42">
        <v>2</v>
      </c>
      <c r="I42">
        <f t="shared" si="5"/>
        <v>40.297079535480563</v>
      </c>
      <c r="J42" s="2">
        <f t="shared" si="8"/>
        <v>0</v>
      </c>
      <c r="K42">
        <f t="shared" si="6"/>
        <v>9.3333333333333339</v>
      </c>
      <c r="L42" s="1">
        <f t="shared" si="9"/>
        <v>2.3999999999999998E-3</v>
      </c>
      <c r="O42">
        <f t="shared" si="7"/>
        <v>29.674838981244584</v>
      </c>
    </row>
    <row r="43" spans="1:20" x14ac:dyDescent="0.2">
      <c r="A43" t="s">
        <v>41</v>
      </c>
      <c r="B43">
        <v>23</v>
      </c>
      <c r="C43">
        <f>350/0.75</f>
        <v>466.66666666666669</v>
      </c>
      <c r="D43">
        <v>0</v>
      </c>
      <c r="E43">
        <f>2*C43/100</f>
        <v>9.3333333333333339</v>
      </c>
      <c r="F43">
        <v>4.4999999999999998E-2</v>
      </c>
      <c r="G43">
        <v>2.4</v>
      </c>
      <c r="H43">
        <v>2</v>
      </c>
      <c r="I43">
        <f t="shared" si="5"/>
        <v>35.953828113005592</v>
      </c>
      <c r="J43" s="2">
        <f t="shared" si="8"/>
        <v>0</v>
      </c>
      <c r="K43">
        <f t="shared" si="6"/>
        <v>9.3333333333333339</v>
      </c>
      <c r="L43" s="1">
        <f t="shared" si="9"/>
        <v>2.3999999999999998E-3</v>
      </c>
      <c r="O43">
        <f t="shared" si="7"/>
        <v>25.511778882948086</v>
      </c>
    </row>
    <row r="44" spans="1:20" x14ac:dyDescent="0.2">
      <c r="A44" t="s">
        <v>42</v>
      </c>
      <c r="B44">
        <v>25</v>
      </c>
      <c r="C44">
        <v>805</v>
      </c>
      <c r="D44">
        <v>0</v>
      </c>
      <c r="E44">
        <v>37.799999999999997</v>
      </c>
      <c r="F44">
        <v>4.4999999999999998E-2</v>
      </c>
      <c r="G44">
        <v>0.25</v>
      </c>
      <c r="H44">
        <v>2</v>
      </c>
      <c r="I44">
        <f t="shared" si="5"/>
        <v>59.174375152552578</v>
      </c>
      <c r="J44" s="2">
        <f t="shared" si="8"/>
        <v>0</v>
      </c>
      <c r="K44">
        <f t="shared" si="6"/>
        <v>37.799999999999997</v>
      </c>
      <c r="L44" s="1">
        <f t="shared" si="9"/>
        <v>2.5000000000000001E-4</v>
      </c>
    </row>
    <row r="45" spans="1:20" x14ac:dyDescent="0.2">
      <c r="A45" t="s">
        <v>36</v>
      </c>
      <c r="B45">
        <v>25</v>
      </c>
      <c r="C45">
        <v>1133</v>
      </c>
      <c r="D45">
        <v>0</v>
      </c>
      <c r="E45">
        <v>34</v>
      </c>
      <c r="F45">
        <v>4.4999999999999998E-2</v>
      </c>
      <c r="G45">
        <v>1.66</v>
      </c>
      <c r="H45">
        <v>3</v>
      </c>
      <c r="I45">
        <f t="shared" si="5"/>
        <v>86.723555301499502</v>
      </c>
      <c r="J45" s="2">
        <f t="shared" si="8"/>
        <v>0</v>
      </c>
      <c r="K45">
        <f t="shared" si="6"/>
        <v>34</v>
      </c>
      <c r="L45" s="1">
        <f t="shared" si="9"/>
        <v>1.66E-3</v>
      </c>
    </row>
    <row r="46" spans="1:20" x14ac:dyDescent="0.2">
      <c r="A46" t="s">
        <v>37</v>
      </c>
      <c r="B46">
        <v>20</v>
      </c>
      <c r="C46">
        <f>150/4</f>
        <v>37.5</v>
      </c>
      <c r="D46">
        <v>0</v>
      </c>
      <c r="E46">
        <v>0</v>
      </c>
      <c r="F46">
        <v>4.4999999999999998E-2</v>
      </c>
      <c r="G46">
        <v>0</v>
      </c>
      <c r="I46">
        <f>(F46*C46*((F46*H46/2)+1))/(1-(1+F46)^(-B46))</f>
        <v>2.8828554121518071</v>
      </c>
      <c r="J46">
        <v>0</v>
      </c>
      <c r="K46">
        <v>0</v>
      </c>
      <c r="L46">
        <v>0</v>
      </c>
      <c r="O46">
        <f>(0.075*C46)/(1-(1+F46)^(-B46))</f>
        <v>4.8047590202530115</v>
      </c>
      <c r="P46">
        <f>I46+K46</f>
        <v>2.8828554121518071</v>
      </c>
    </row>
    <row r="47" spans="1:20" x14ac:dyDescent="0.2">
      <c r="A47" t="s">
        <v>16</v>
      </c>
      <c r="B47">
        <v>20</v>
      </c>
      <c r="C47">
        <v>25</v>
      </c>
      <c r="D47">
        <v>0</v>
      </c>
      <c r="E47">
        <v>0</v>
      </c>
      <c r="F47">
        <v>4.4999999999999998E-2</v>
      </c>
      <c r="G47">
        <v>0</v>
      </c>
      <c r="I47">
        <f>(F34*C34)/(1-(1+F34)^(-B34))</f>
        <v>227.73500247742763</v>
      </c>
      <c r="O47">
        <f>(0.075*C34)/(1-(1+F34)^(-B34))</f>
        <v>379.55833746237943</v>
      </c>
      <c r="P47">
        <f>I34+K34</f>
        <v>457.86231436814421</v>
      </c>
    </row>
    <row r="48" spans="1:20" x14ac:dyDescent="0.2">
      <c r="A48" t="s">
        <v>17</v>
      </c>
      <c r="F48">
        <v>4.4999999999999998E-2</v>
      </c>
      <c r="I48">
        <f>(I46*5.45+I34*6.7)/12.15</f>
        <v>190.36124018623815</v>
      </c>
      <c r="O48" t="e">
        <f>(0.075*C48)/(1-(1+F48)^(-B48))</f>
        <v>#DIV/0!</v>
      </c>
      <c r="P48">
        <f>I48+K48</f>
        <v>190.36124018623815</v>
      </c>
    </row>
    <row r="49" spans="1:15" x14ac:dyDescent="0.2">
      <c r="A49" t="s">
        <v>18</v>
      </c>
      <c r="B49">
        <v>30</v>
      </c>
      <c r="C49">
        <v>1280</v>
      </c>
      <c r="E49">
        <f>2.5*C49/100</f>
        <v>32</v>
      </c>
      <c r="F49">
        <v>4.4999999999999998E-2</v>
      </c>
      <c r="G49">
        <v>0</v>
      </c>
      <c r="H49">
        <v>3</v>
      </c>
      <c r="I49">
        <f>(F49*C49*((F49*H49)+1))/(1-(1+F49)^(-B49))</f>
        <v>89.189633537604237</v>
      </c>
      <c r="O49">
        <f>(0.07*C49)/(1-(1+0.07)^(-B49))</f>
        <v>103.15059649422234</v>
      </c>
    </row>
    <row r="50" spans="1:15" x14ac:dyDescent="0.2">
      <c r="A50" t="s">
        <v>30</v>
      </c>
      <c r="B50">
        <v>30</v>
      </c>
      <c r="C50">
        <v>0</v>
      </c>
      <c r="D50">
        <v>1</v>
      </c>
      <c r="E50">
        <f>2.5*C50/100</f>
        <v>0</v>
      </c>
      <c r="F50">
        <v>4.4999999999999998E-2</v>
      </c>
      <c r="G50">
        <v>0</v>
      </c>
      <c r="H50">
        <v>3</v>
      </c>
      <c r="I50">
        <f>(F50*C50)/(1-(1+F50)^(-B50))</f>
        <v>0</v>
      </c>
      <c r="J50">
        <f>(F50*D50*((F50*H50)+1))/(1-(1+F50)^(-B50))</f>
        <v>6.9679401201253321E-2</v>
      </c>
      <c r="K50">
        <f>E50</f>
        <v>0</v>
      </c>
      <c r="L50" s="1">
        <f>G50/1000</f>
        <v>0</v>
      </c>
      <c r="O50">
        <f>(0.07*C50)/(1-(1+0.07)^(-B50))</f>
        <v>0</v>
      </c>
    </row>
    <row r="51" spans="1:15" x14ac:dyDescent="0.2">
      <c r="A51" t="s">
        <v>29</v>
      </c>
      <c r="B51">
        <v>30</v>
      </c>
      <c r="C51">
        <f>(1490)+21.59</f>
        <v>1511.59</v>
      </c>
      <c r="E51">
        <v>50</v>
      </c>
      <c r="F51">
        <v>4.4999999999999998E-2</v>
      </c>
      <c r="G51">
        <v>0</v>
      </c>
      <c r="H51">
        <v>0.25</v>
      </c>
      <c r="I51">
        <f>(F51*C51*((F51*H51)+1)/(1-(1+F51)^(-B51)))</f>
        <v>93.842829321583935</v>
      </c>
      <c r="O51">
        <f>(0.02*C51)/(1-(1+0.02)^(-B51))</f>
        <v>67.492376039484981</v>
      </c>
    </row>
    <row r="52" spans="1:15" x14ac:dyDescent="0.2">
      <c r="A52" t="s">
        <v>22</v>
      </c>
      <c r="B52">
        <v>40</v>
      </c>
      <c r="C52">
        <v>60</v>
      </c>
      <c r="E52">
        <f>0.05*C52</f>
        <v>3</v>
      </c>
      <c r="F52">
        <v>4.4999999999999998E-2</v>
      </c>
      <c r="G52">
        <v>0</v>
      </c>
      <c r="H52">
        <v>0.5</v>
      </c>
      <c r="I52">
        <f>(F52*C52*((F52*H52)+1)/(1-(1+F52)^(-B52)))</f>
        <v>3.3339520444983095</v>
      </c>
    </row>
    <row r="53" spans="1:15" x14ac:dyDescent="0.2">
      <c r="A53" t="s">
        <v>33</v>
      </c>
    </row>
  </sheetData>
  <mergeCells count="27">
    <mergeCell ref="AK31:AL31"/>
    <mergeCell ref="AM31:AN31"/>
    <mergeCell ref="AP18:AQ18"/>
    <mergeCell ref="AK32:AL32"/>
    <mergeCell ref="AM32:AN32"/>
    <mergeCell ref="AM17:AN17"/>
    <mergeCell ref="AC30:AD30"/>
    <mergeCell ref="AE30:AF30"/>
    <mergeCell ref="AG30:AH30"/>
    <mergeCell ref="AI30:AJ30"/>
    <mergeCell ref="AK30:AL30"/>
    <mergeCell ref="AM30:AN30"/>
    <mergeCell ref="AC17:AD17"/>
    <mergeCell ref="AE17:AF17"/>
    <mergeCell ref="AG17:AH17"/>
    <mergeCell ref="AI17:AJ17"/>
    <mergeCell ref="AK17:AL17"/>
    <mergeCell ref="A21:A22"/>
    <mergeCell ref="AC32:AD32"/>
    <mergeCell ref="AE32:AF32"/>
    <mergeCell ref="AG32:AH32"/>
    <mergeCell ref="AI32:AJ32"/>
    <mergeCell ref="AC31:AD31"/>
    <mergeCell ref="AE31:AF31"/>
    <mergeCell ref="AG31:AH31"/>
    <mergeCell ref="AI31:AJ31"/>
    <mergeCell ref="D30:I30"/>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6E4A2-3D8B-B946-A9BB-4BFEB3333340}">
  <dimension ref="A1:L157"/>
  <sheetViews>
    <sheetView workbookViewId="0">
      <selection activeCell="B85" sqref="B85"/>
    </sheetView>
  </sheetViews>
  <sheetFormatPr baseColWidth="10" defaultRowHeight="15" x14ac:dyDescent="0.2"/>
  <cols>
    <col min="1" max="1" width="30.5" customWidth="1"/>
    <col min="5" max="5" width="24.5" customWidth="1"/>
    <col min="19" max="19" width="20.5" customWidth="1"/>
  </cols>
  <sheetData>
    <row r="1" spans="1:6" x14ac:dyDescent="0.2">
      <c r="A1" t="s">
        <v>243</v>
      </c>
    </row>
    <row r="2" spans="1:6" ht="16" thickBot="1" x14ac:dyDescent="0.25">
      <c r="A2" s="10" t="s">
        <v>199</v>
      </c>
      <c r="B2" s="10" t="s">
        <v>148</v>
      </c>
      <c r="C2" s="10" t="s">
        <v>232</v>
      </c>
      <c r="D2" s="10" t="s">
        <v>60</v>
      </c>
      <c r="E2" s="10"/>
      <c r="F2" s="10" t="s">
        <v>252</v>
      </c>
    </row>
    <row r="3" spans="1:6" ht="16" thickTop="1" x14ac:dyDescent="0.2">
      <c r="A3" t="s">
        <v>79</v>
      </c>
      <c r="B3">
        <v>0.9</v>
      </c>
      <c r="C3" t="s">
        <v>64</v>
      </c>
      <c r="D3" t="s">
        <v>54</v>
      </c>
      <c r="E3" t="s">
        <v>83</v>
      </c>
    </row>
    <row r="4" spans="1:6" x14ac:dyDescent="0.2">
      <c r="A4" t="s">
        <v>208</v>
      </c>
      <c r="B4">
        <v>0.9</v>
      </c>
      <c r="C4" t="s">
        <v>64</v>
      </c>
      <c r="D4" t="s">
        <v>54</v>
      </c>
      <c r="E4" t="s">
        <v>83</v>
      </c>
    </row>
    <row r="5" spans="1:6" x14ac:dyDescent="0.2">
      <c r="A5" t="s">
        <v>209</v>
      </c>
      <c r="B5">
        <v>0.9</v>
      </c>
      <c r="C5" t="s">
        <v>64</v>
      </c>
      <c r="D5" t="s">
        <v>54</v>
      </c>
      <c r="E5" t="s">
        <v>83</v>
      </c>
    </row>
    <row r="6" spans="1:6" x14ac:dyDescent="0.2">
      <c r="A6" t="s">
        <v>165</v>
      </c>
      <c r="B6">
        <v>1</v>
      </c>
      <c r="C6" t="s">
        <v>64</v>
      </c>
      <c r="D6" t="s">
        <v>216</v>
      </c>
    </row>
    <row r="7" spans="1:6" x14ac:dyDescent="0.2">
      <c r="A7" t="s">
        <v>210</v>
      </c>
      <c r="B7">
        <v>1</v>
      </c>
      <c r="C7" t="s">
        <v>64</v>
      </c>
      <c r="D7" t="s">
        <v>149</v>
      </c>
    </row>
    <row r="9" spans="1:6" x14ac:dyDescent="0.2">
      <c r="A9" t="s">
        <v>244</v>
      </c>
    </row>
    <row r="10" spans="1:6" ht="16" thickBot="1" x14ac:dyDescent="0.25">
      <c r="A10" s="10" t="s">
        <v>200</v>
      </c>
      <c r="B10" s="10" t="s">
        <v>148</v>
      </c>
      <c r="C10" s="10" t="s">
        <v>232</v>
      </c>
      <c r="D10" s="10" t="s">
        <v>60</v>
      </c>
      <c r="E10" s="10"/>
      <c r="F10" s="10" t="s">
        <v>252</v>
      </c>
    </row>
    <row r="11" spans="1:6" ht="16" thickTop="1" x14ac:dyDescent="0.2">
      <c r="A11" t="s">
        <v>79</v>
      </c>
      <c r="B11">
        <v>0.9</v>
      </c>
      <c r="C11" t="s">
        <v>64</v>
      </c>
      <c r="D11" t="s">
        <v>54</v>
      </c>
      <c r="E11" t="s">
        <v>83</v>
      </c>
    </row>
    <row r="12" spans="1:6" x14ac:dyDescent="0.2">
      <c r="A12" t="s">
        <v>208</v>
      </c>
      <c r="B12">
        <v>0.95</v>
      </c>
      <c r="C12" t="s">
        <v>64</v>
      </c>
      <c r="D12" t="s">
        <v>54</v>
      </c>
      <c r="E12" t="s">
        <v>83</v>
      </c>
    </row>
    <row r="13" spans="1:6" x14ac:dyDescent="0.2">
      <c r="A13" t="s">
        <v>209</v>
      </c>
      <c r="B13">
        <v>0.95</v>
      </c>
      <c r="C13" t="s">
        <v>64</v>
      </c>
      <c r="D13" t="s">
        <v>54</v>
      </c>
      <c r="E13" t="s">
        <v>83</v>
      </c>
    </row>
    <row r="14" spans="1:6" x14ac:dyDescent="0.2">
      <c r="A14" t="s">
        <v>165</v>
      </c>
      <c r="B14">
        <v>0.97</v>
      </c>
      <c r="C14" t="s">
        <v>64</v>
      </c>
      <c r="D14" t="s">
        <v>216</v>
      </c>
    </row>
    <row r="15" spans="1:6" x14ac:dyDescent="0.2">
      <c r="A15" t="s">
        <v>210</v>
      </c>
      <c r="B15">
        <v>1</v>
      </c>
      <c r="C15" t="s">
        <v>64</v>
      </c>
      <c r="D15" t="s">
        <v>149</v>
      </c>
    </row>
    <row r="16" spans="1:6" x14ac:dyDescent="0.2">
      <c r="A16" t="s">
        <v>211</v>
      </c>
      <c r="B16" t="s">
        <v>214</v>
      </c>
      <c r="C16" t="s">
        <v>64</v>
      </c>
      <c r="D16" t="s">
        <v>54</v>
      </c>
      <c r="E16" t="s">
        <v>83</v>
      </c>
    </row>
    <row r="17" spans="1:6" x14ac:dyDescent="0.2">
      <c r="A17" t="s">
        <v>212</v>
      </c>
      <c r="B17">
        <v>0.56999999999999995</v>
      </c>
      <c r="C17" t="s">
        <v>64</v>
      </c>
      <c r="D17" t="s">
        <v>54</v>
      </c>
      <c r="E17" t="s">
        <v>83</v>
      </c>
    </row>
    <row r="18" spans="1:6" x14ac:dyDescent="0.2">
      <c r="A18" t="s">
        <v>213</v>
      </c>
      <c r="B18">
        <v>0.56999999999999995</v>
      </c>
      <c r="C18" t="s">
        <v>64</v>
      </c>
      <c r="D18" t="s">
        <v>54</v>
      </c>
      <c r="E18" t="s">
        <v>83</v>
      </c>
    </row>
    <row r="19" spans="1:6" x14ac:dyDescent="0.2">
      <c r="A19" t="s">
        <v>147</v>
      </c>
      <c r="B19" t="s">
        <v>156</v>
      </c>
      <c r="C19" t="s">
        <v>64</v>
      </c>
      <c r="D19" t="s">
        <v>153</v>
      </c>
      <c r="E19" t="s">
        <v>154</v>
      </c>
      <c r="F19" t="s">
        <v>253</v>
      </c>
    </row>
    <row r="20" spans="1:6" x14ac:dyDescent="0.2">
      <c r="A20" t="s">
        <v>35</v>
      </c>
      <c r="B20">
        <v>0.8</v>
      </c>
      <c r="C20" t="s">
        <v>64</v>
      </c>
      <c r="D20" t="s">
        <v>153</v>
      </c>
      <c r="E20" t="s">
        <v>154</v>
      </c>
    </row>
    <row r="22" spans="1:6" x14ac:dyDescent="0.2">
      <c r="A22" t="s">
        <v>245</v>
      </c>
    </row>
    <row r="23" spans="1:6" ht="16" thickBot="1" x14ac:dyDescent="0.25">
      <c r="A23" s="10" t="s">
        <v>220</v>
      </c>
      <c r="B23" s="10" t="s">
        <v>148</v>
      </c>
      <c r="C23" s="10" t="s">
        <v>232</v>
      </c>
      <c r="D23" s="10" t="s">
        <v>60</v>
      </c>
      <c r="E23" s="10"/>
      <c r="F23" s="10" t="s">
        <v>252</v>
      </c>
    </row>
    <row r="24" spans="1:6" ht="16" thickTop="1" x14ac:dyDescent="0.2">
      <c r="A24" s="68" t="s">
        <v>4</v>
      </c>
      <c r="B24">
        <v>7.5</v>
      </c>
      <c r="C24" t="s">
        <v>233</v>
      </c>
      <c r="D24" t="s">
        <v>80</v>
      </c>
      <c r="E24" t="s">
        <v>81</v>
      </c>
    </row>
    <row r="25" spans="1:6" x14ac:dyDescent="0.2">
      <c r="A25" s="51"/>
      <c r="B25">
        <v>6.3</v>
      </c>
      <c r="C25" t="s">
        <v>233</v>
      </c>
      <c r="D25" t="s">
        <v>157</v>
      </c>
    </row>
    <row r="26" spans="1:6" x14ac:dyDescent="0.2">
      <c r="A26" s="51" t="s">
        <v>3</v>
      </c>
      <c r="B26">
        <v>12.855</v>
      </c>
      <c r="C26" t="s">
        <v>233</v>
      </c>
      <c r="D26" t="s">
        <v>235</v>
      </c>
    </row>
    <row r="27" spans="1:6" x14ac:dyDescent="0.2">
      <c r="A27" s="51"/>
      <c r="B27">
        <v>13.3</v>
      </c>
      <c r="C27" t="s">
        <v>233</v>
      </c>
      <c r="D27" t="s">
        <v>157</v>
      </c>
    </row>
    <row r="28" spans="1:6" x14ac:dyDescent="0.2">
      <c r="A28" t="s">
        <v>79</v>
      </c>
      <c r="B28">
        <v>5.05</v>
      </c>
      <c r="C28" t="s">
        <v>233</v>
      </c>
      <c r="D28" t="s">
        <v>157</v>
      </c>
    </row>
    <row r="29" spans="1:6" x14ac:dyDescent="0.2">
      <c r="A29" t="s">
        <v>167</v>
      </c>
      <c r="B29">
        <v>0.25</v>
      </c>
      <c r="C29" t="s">
        <v>233</v>
      </c>
      <c r="D29" t="s">
        <v>219</v>
      </c>
    </row>
    <row r="30" spans="1:6" x14ac:dyDescent="0.2">
      <c r="A30" t="s">
        <v>169</v>
      </c>
      <c r="B30">
        <v>0.51900000000000002</v>
      </c>
      <c r="C30" t="s">
        <v>233</v>
      </c>
      <c r="D30" t="s">
        <v>219</v>
      </c>
    </row>
    <row r="31" spans="1:6" x14ac:dyDescent="0.2">
      <c r="A31" t="s">
        <v>217</v>
      </c>
      <c r="B31">
        <v>0.28399999999999997</v>
      </c>
      <c r="C31" t="s">
        <v>233</v>
      </c>
      <c r="D31" t="s">
        <v>219</v>
      </c>
    </row>
    <row r="32" spans="1:6" x14ac:dyDescent="0.2">
      <c r="A32" t="s">
        <v>218</v>
      </c>
      <c r="B32">
        <v>1.4999999999999999E-2</v>
      </c>
      <c r="C32" t="s">
        <v>233</v>
      </c>
      <c r="D32" t="s">
        <v>219</v>
      </c>
    </row>
    <row r="34" spans="1:6" x14ac:dyDescent="0.2">
      <c r="A34" t="s">
        <v>246</v>
      </c>
    </row>
    <row r="35" spans="1:6" ht="16" thickBot="1" x14ac:dyDescent="0.25">
      <c r="A35" s="10" t="s">
        <v>221</v>
      </c>
      <c r="B35" s="10" t="s">
        <v>148</v>
      </c>
      <c r="C35" s="10" t="s">
        <v>232</v>
      </c>
      <c r="D35" s="10" t="s">
        <v>60</v>
      </c>
      <c r="E35" s="10"/>
      <c r="F35" s="10" t="s">
        <v>252</v>
      </c>
    </row>
    <row r="36" spans="1:6" ht="16" thickTop="1" x14ac:dyDescent="0.2">
      <c r="A36" s="47" t="s">
        <v>79</v>
      </c>
      <c r="B36">
        <v>107</v>
      </c>
      <c r="C36" t="s">
        <v>234</v>
      </c>
      <c r="D36" t="s">
        <v>219</v>
      </c>
    </row>
    <row r="37" spans="1:6" x14ac:dyDescent="0.2">
      <c r="A37" t="s">
        <v>165</v>
      </c>
      <c r="B37">
        <v>3000</v>
      </c>
      <c r="C37" t="s">
        <v>234</v>
      </c>
      <c r="D37" t="s">
        <v>149</v>
      </c>
    </row>
    <row r="39" spans="1:6" x14ac:dyDescent="0.2">
      <c r="A39" t="s">
        <v>248</v>
      </c>
    </row>
    <row r="40" spans="1:6" ht="16" thickBot="1" x14ac:dyDescent="0.25">
      <c r="A40" s="10" t="s">
        <v>247</v>
      </c>
      <c r="B40" s="10" t="s">
        <v>148</v>
      </c>
      <c r="C40" s="10" t="s">
        <v>232</v>
      </c>
      <c r="D40" s="10" t="s">
        <v>60</v>
      </c>
      <c r="E40" s="10"/>
      <c r="F40" s="10" t="s">
        <v>252</v>
      </c>
    </row>
    <row r="41" spans="1:6" ht="16" thickTop="1" x14ac:dyDescent="0.2">
      <c r="A41" s="68" t="s">
        <v>4</v>
      </c>
      <c r="B41">
        <v>9</v>
      </c>
      <c r="C41" t="s">
        <v>233</v>
      </c>
      <c r="D41" t="s">
        <v>54</v>
      </c>
      <c r="E41" s="42" t="s">
        <v>83</v>
      </c>
    </row>
    <row r="42" spans="1:6" x14ac:dyDescent="0.2">
      <c r="A42" s="51"/>
      <c r="B42">
        <v>7.5</v>
      </c>
      <c r="C42" t="s">
        <v>233</v>
      </c>
      <c r="D42" t="s">
        <v>219</v>
      </c>
      <c r="E42" s="42"/>
    </row>
    <row r="43" spans="1:6" x14ac:dyDescent="0.2">
      <c r="A43" t="s">
        <v>3</v>
      </c>
      <c r="B43">
        <v>13.3</v>
      </c>
      <c r="C43" t="s">
        <v>233</v>
      </c>
      <c r="D43" t="s">
        <v>215</v>
      </c>
      <c r="E43" t="s">
        <v>83</v>
      </c>
    </row>
    <row r="44" spans="1:6" x14ac:dyDescent="0.2">
      <c r="A44" s="51" t="s">
        <v>79</v>
      </c>
      <c r="B44">
        <v>6.2</v>
      </c>
      <c r="C44" t="s">
        <v>233</v>
      </c>
      <c r="D44" t="s">
        <v>219</v>
      </c>
    </row>
    <row r="45" spans="1:6" x14ac:dyDescent="0.2">
      <c r="A45" s="51"/>
      <c r="B45">
        <v>8</v>
      </c>
      <c r="C45" t="s">
        <v>233</v>
      </c>
      <c r="D45" t="s">
        <v>54</v>
      </c>
      <c r="E45" s="42" t="s">
        <v>83</v>
      </c>
    </row>
    <row r="47" spans="1:6" x14ac:dyDescent="0.2">
      <c r="A47" t="s">
        <v>249</v>
      </c>
    </row>
    <row r="48" spans="1:6" ht="16" thickBot="1" x14ac:dyDescent="0.25">
      <c r="A48" s="10" t="s">
        <v>202</v>
      </c>
      <c r="B48" s="10" t="s">
        <v>148</v>
      </c>
      <c r="C48" s="10" t="s">
        <v>232</v>
      </c>
      <c r="D48" s="10" t="s">
        <v>60</v>
      </c>
      <c r="E48" s="10"/>
      <c r="F48" s="10" t="s">
        <v>252</v>
      </c>
    </row>
    <row r="49" spans="1:6" ht="16" thickTop="1" x14ac:dyDescent="0.2">
      <c r="A49" s="68" t="s">
        <v>79</v>
      </c>
      <c r="B49">
        <v>107</v>
      </c>
      <c r="C49" t="s">
        <v>234</v>
      </c>
      <c r="D49" t="s">
        <v>219</v>
      </c>
    </row>
    <row r="50" spans="1:6" x14ac:dyDescent="0.2">
      <c r="A50" s="51"/>
      <c r="B50">
        <v>135</v>
      </c>
      <c r="C50" t="s">
        <v>234</v>
      </c>
      <c r="D50" t="s">
        <v>54</v>
      </c>
      <c r="E50" s="42" t="s">
        <v>83</v>
      </c>
    </row>
    <row r="52" spans="1:6" x14ac:dyDescent="0.2">
      <c r="A52" s="42" t="s">
        <v>250</v>
      </c>
    </row>
    <row r="53" spans="1:6" ht="16" thickBot="1" x14ac:dyDescent="0.25">
      <c r="A53" s="10" t="s">
        <v>203</v>
      </c>
      <c r="B53" s="10" t="s">
        <v>148</v>
      </c>
      <c r="C53" s="10" t="s">
        <v>232</v>
      </c>
      <c r="D53" s="10" t="s">
        <v>60</v>
      </c>
      <c r="E53" s="10"/>
      <c r="F53" s="10" t="s">
        <v>252</v>
      </c>
    </row>
    <row r="54" spans="1:6" ht="16" thickTop="1" x14ac:dyDescent="0.2">
      <c r="A54" s="68" t="s">
        <v>79</v>
      </c>
      <c r="B54">
        <v>5.5</v>
      </c>
      <c r="C54" t="s">
        <v>233</v>
      </c>
      <c r="D54" t="s">
        <v>219</v>
      </c>
    </row>
    <row r="55" spans="1:6" x14ac:dyDescent="0.2">
      <c r="A55" s="51"/>
      <c r="B55">
        <v>7</v>
      </c>
      <c r="C55" t="s">
        <v>233</v>
      </c>
      <c r="D55" t="s">
        <v>54</v>
      </c>
      <c r="E55" s="42" t="s">
        <v>83</v>
      </c>
    </row>
    <row r="57" spans="1:6" x14ac:dyDescent="0.2">
      <c r="A57" t="s">
        <v>251</v>
      </c>
    </row>
    <row r="58" spans="1:6" ht="16" thickBot="1" x14ac:dyDescent="0.25">
      <c r="A58" s="10" t="s">
        <v>204</v>
      </c>
      <c r="B58" s="10" t="s">
        <v>148</v>
      </c>
      <c r="C58" s="10" t="s">
        <v>232</v>
      </c>
      <c r="D58" s="10" t="s">
        <v>60</v>
      </c>
      <c r="E58" s="10"/>
      <c r="F58" s="10" t="s">
        <v>252</v>
      </c>
    </row>
    <row r="59" spans="1:6" ht="16" thickTop="1" x14ac:dyDescent="0.2">
      <c r="A59" s="68" t="s">
        <v>271</v>
      </c>
      <c r="B59">
        <v>46</v>
      </c>
      <c r="C59" t="s">
        <v>233</v>
      </c>
      <c r="D59" t="s">
        <v>302</v>
      </c>
      <c r="E59" t="s">
        <v>304</v>
      </c>
      <c r="F59" t="s">
        <v>277</v>
      </c>
    </row>
    <row r="60" spans="1:6" x14ac:dyDescent="0.2">
      <c r="A60" s="51"/>
      <c r="B60">
        <v>19.600000000000001</v>
      </c>
      <c r="C60" t="s">
        <v>233</v>
      </c>
      <c r="D60" t="s">
        <v>219</v>
      </c>
    </row>
    <row r="61" spans="1:6" x14ac:dyDescent="0.2">
      <c r="A61" s="51" t="s">
        <v>272</v>
      </c>
      <c r="B61">
        <v>20</v>
      </c>
      <c r="C61" t="s">
        <v>233</v>
      </c>
      <c r="D61" t="s">
        <v>302</v>
      </c>
      <c r="E61" t="s">
        <v>304</v>
      </c>
      <c r="F61" t="s">
        <v>277</v>
      </c>
    </row>
    <row r="62" spans="1:6" x14ac:dyDescent="0.2">
      <c r="A62" s="51"/>
      <c r="B62">
        <v>18.2</v>
      </c>
      <c r="C62" t="s">
        <v>233</v>
      </c>
      <c r="D62" t="s">
        <v>219</v>
      </c>
    </row>
    <row r="63" spans="1:6" x14ac:dyDescent="0.2">
      <c r="A63" s="51" t="s">
        <v>273</v>
      </c>
      <c r="B63">
        <v>121</v>
      </c>
      <c r="C63" t="s">
        <v>233</v>
      </c>
      <c r="D63" t="s">
        <v>302</v>
      </c>
      <c r="E63" t="s">
        <v>304</v>
      </c>
      <c r="F63" t="s">
        <v>277</v>
      </c>
    </row>
    <row r="64" spans="1:6" x14ac:dyDescent="0.2">
      <c r="A64" s="51"/>
      <c r="B64">
        <v>61</v>
      </c>
      <c r="C64" t="s">
        <v>233</v>
      </c>
      <c r="D64" t="s">
        <v>219</v>
      </c>
    </row>
    <row r="65" spans="1:6" x14ac:dyDescent="0.2">
      <c r="A65" s="51" t="s">
        <v>274</v>
      </c>
      <c r="B65">
        <v>94</v>
      </c>
      <c r="C65" t="s">
        <v>233</v>
      </c>
      <c r="D65" t="s">
        <v>302</v>
      </c>
      <c r="E65" t="s">
        <v>304</v>
      </c>
      <c r="F65" t="s">
        <v>277</v>
      </c>
    </row>
    <row r="66" spans="1:6" x14ac:dyDescent="0.2">
      <c r="A66" s="51"/>
      <c r="B66">
        <v>54</v>
      </c>
      <c r="C66" t="s">
        <v>233</v>
      </c>
      <c r="D66" t="s">
        <v>219</v>
      </c>
    </row>
    <row r="67" spans="1:6" x14ac:dyDescent="0.2">
      <c r="A67" s="51" t="s">
        <v>275</v>
      </c>
      <c r="B67">
        <v>362</v>
      </c>
      <c r="C67" t="s">
        <v>233</v>
      </c>
      <c r="D67" t="s">
        <v>302</v>
      </c>
      <c r="E67" t="s">
        <v>304</v>
      </c>
      <c r="F67" t="s">
        <v>303</v>
      </c>
    </row>
    <row r="68" spans="1:6" x14ac:dyDescent="0.2">
      <c r="A68" s="51"/>
      <c r="B68">
        <v>90</v>
      </c>
      <c r="C68" t="s">
        <v>233</v>
      </c>
      <c r="D68" t="s">
        <v>219</v>
      </c>
    </row>
    <row r="69" spans="1:6" x14ac:dyDescent="0.2">
      <c r="A69" t="s">
        <v>35</v>
      </c>
      <c r="B69">
        <v>36</v>
      </c>
      <c r="C69" t="s">
        <v>233</v>
      </c>
      <c r="D69" t="s">
        <v>219</v>
      </c>
    </row>
    <row r="70" spans="1:6" x14ac:dyDescent="0.2">
      <c r="A70" t="s">
        <v>276</v>
      </c>
      <c r="B70">
        <v>2</v>
      </c>
      <c r="C70" t="s">
        <v>233</v>
      </c>
      <c r="D70" t="s">
        <v>219</v>
      </c>
    </row>
    <row r="71" spans="1:6" x14ac:dyDescent="0.2">
      <c r="A71" t="s">
        <v>167</v>
      </c>
      <c r="B71">
        <v>1.25</v>
      </c>
      <c r="C71" t="s">
        <v>233</v>
      </c>
      <c r="D71" t="s">
        <v>219</v>
      </c>
    </row>
    <row r="72" spans="1:6" x14ac:dyDescent="0.2">
      <c r="A72" t="s">
        <v>169</v>
      </c>
      <c r="B72">
        <v>0.51900000000000002</v>
      </c>
      <c r="C72" t="s">
        <v>233</v>
      </c>
      <c r="D72" t="s">
        <v>219</v>
      </c>
    </row>
    <row r="73" spans="1:6" x14ac:dyDescent="0.2">
      <c r="A73" t="s">
        <v>217</v>
      </c>
      <c r="B73">
        <v>0.8</v>
      </c>
      <c r="C73" t="s">
        <v>233</v>
      </c>
      <c r="D73" t="s">
        <v>219</v>
      </c>
    </row>
    <row r="74" spans="1:6" x14ac:dyDescent="0.2">
      <c r="A74" t="s">
        <v>218</v>
      </c>
      <c r="B74">
        <v>0.13500000000000001</v>
      </c>
      <c r="C74" t="s">
        <v>233</v>
      </c>
      <c r="D74" t="s">
        <v>219</v>
      </c>
    </row>
    <row r="76" spans="1:6" x14ac:dyDescent="0.2">
      <c r="A76" t="s">
        <v>268</v>
      </c>
    </row>
    <row r="77" spans="1:6" ht="16" thickBot="1" x14ac:dyDescent="0.25">
      <c r="A77" s="10" t="s">
        <v>205</v>
      </c>
      <c r="B77" s="10" t="s">
        <v>148</v>
      </c>
      <c r="C77" s="10" t="s">
        <v>232</v>
      </c>
      <c r="D77" s="10" t="s">
        <v>60</v>
      </c>
      <c r="E77" s="10"/>
      <c r="F77" s="10" t="s">
        <v>252</v>
      </c>
    </row>
    <row r="78" spans="1:6" ht="16" thickTop="1" x14ac:dyDescent="0.2">
      <c r="A78" s="68" t="s">
        <v>79</v>
      </c>
      <c r="B78">
        <v>107</v>
      </c>
      <c r="C78" t="s">
        <v>234</v>
      </c>
      <c r="D78" t="s">
        <v>219</v>
      </c>
    </row>
    <row r="79" spans="1:6" x14ac:dyDescent="0.2">
      <c r="A79" s="51"/>
      <c r="B79">
        <v>135</v>
      </c>
      <c r="C79" t="s">
        <v>234</v>
      </c>
      <c r="D79" t="s">
        <v>54</v>
      </c>
      <c r="E79" s="42" t="s">
        <v>83</v>
      </c>
    </row>
    <row r="80" spans="1:6" x14ac:dyDescent="0.2">
      <c r="A80" t="s">
        <v>165</v>
      </c>
      <c r="B80">
        <v>6000</v>
      </c>
      <c r="C80" t="s">
        <v>234</v>
      </c>
      <c r="D80" t="s">
        <v>219</v>
      </c>
      <c r="F80" t="s">
        <v>269</v>
      </c>
    </row>
    <row r="82" spans="1:12" x14ac:dyDescent="0.2">
      <c r="A82" t="s">
        <v>256</v>
      </c>
    </row>
    <row r="83" spans="1:12" ht="16" thickBot="1" x14ac:dyDescent="0.25">
      <c r="A83" s="10" t="s">
        <v>206</v>
      </c>
      <c r="B83" s="10" t="s">
        <v>148</v>
      </c>
      <c r="C83" s="10" t="s">
        <v>232</v>
      </c>
      <c r="D83" s="10" t="s">
        <v>60</v>
      </c>
      <c r="E83" s="10"/>
      <c r="F83" s="10" t="s">
        <v>252</v>
      </c>
    </row>
    <row r="84" spans="1:12" ht="18" thickTop="1" x14ac:dyDescent="0.2">
      <c r="A84" t="s">
        <v>254</v>
      </c>
      <c r="B84" s="44" t="s">
        <v>306</v>
      </c>
      <c r="C84" s="44" t="s">
        <v>234</v>
      </c>
      <c r="D84" t="s">
        <v>270</v>
      </c>
      <c r="I84" s="44">
        <f>B84/L84*L85</f>
        <v>111459.22766052987</v>
      </c>
      <c r="L84" s="48">
        <v>890.8</v>
      </c>
    </row>
    <row r="85" spans="1:12" ht="17" x14ac:dyDescent="0.2">
      <c r="A85" t="s">
        <v>255</v>
      </c>
      <c r="B85" s="44" t="s">
        <v>305</v>
      </c>
      <c r="C85" s="44" t="s">
        <v>234</v>
      </c>
      <c r="D85" t="s">
        <v>270</v>
      </c>
      <c r="I85" s="44">
        <f>B85/L84*L85</f>
        <v>41752.121688370004</v>
      </c>
      <c r="L85" s="48">
        <v>803.3</v>
      </c>
    </row>
    <row r="87" spans="1:12" x14ac:dyDescent="0.2">
      <c r="A87" t="s">
        <v>278</v>
      </c>
    </row>
    <row r="88" spans="1:12" ht="16" thickBot="1" x14ac:dyDescent="0.25">
      <c r="A88" s="10" t="s">
        <v>183</v>
      </c>
      <c r="B88" s="10" t="s">
        <v>148</v>
      </c>
      <c r="C88" s="10" t="s">
        <v>232</v>
      </c>
      <c r="D88" s="10" t="s">
        <v>242</v>
      </c>
      <c r="E88" s="10" t="s">
        <v>60</v>
      </c>
      <c r="F88" s="10"/>
      <c r="G88" s="10" t="s">
        <v>252</v>
      </c>
    </row>
    <row r="89" spans="1:12" ht="16" thickTop="1" x14ac:dyDescent="0.2">
      <c r="A89" t="s">
        <v>72</v>
      </c>
      <c r="B89" s="44">
        <v>0.01</v>
      </c>
      <c r="C89" s="44" t="s">
        <v>64</v>
      </c>
      <c r="D89" s="44" t="s">
        <v>257</v>
      </c>
      <c r="E89" t="s">
        <v>75</v>
      </c>
    </row>
    <row r="90" spans="1:12" x14ac:dyDescent="0.2">
      <c r="A90" t="s">
        <v>61</v>
      </c>
      <c r="B90" s="44">
        <v>0.1</v>
      </c>
      <c r="C90" s="44" t="s">
        <v>64</v>
      </c>
      <c r="D90" s="44" t="s">
        <v>258</v>
      </c>
      <c r="E90" t="s">
        <v>75</v>
      </c>
    </row>
    <row r="91" spans="1:12" x14ac:dyDescent="0.2">
      <c r="A91" s="51" t="s">
        <v>63</v>
      </c>
      <c r="B91" s="44" t="s">
        <v>236</v>
      </c>
      <c r="C91" s="44" t="s">
        <v>234</v>
      </c>
      <c r="D91" s="69" t="s">
        <v>259</v>
      </c>
      <c r="E91" t="s">
        <v>227</v>
      </c>
      <c r="G91" t="s">
        <v>226</v>
      </c>
    </row>
    <row r="92" spans="1:12" x14ac:dyDescent="0.2">
      <c r="A92" s="51"/>
      <c r="B92" s="44" t="s">
        <v>223</v>
      </c>
      <c r="C92" s="44" t="s">
        <v>234</v>
      </c>
      <c r="D92" s="69"/>
      <c r="E92" t="s">
        <v>225</v>
      </c>
    </row>
    <row r="93" spans="1:12" x14ac:dyDescent="0.2">
      <c r="A93" s="51"/>
      <c r="B93" s="44" t="s">
        <v>224</v>
      </c>
      <c r="C93" s="44" t="s">
        <v>234</v>
      </c>
      <c r="D93" s="69"/>
      <c r="E93" t="s">
        <v>222</v>
      </c>
      <c r="G93" t="s">
        <v>240</v>
      </c>
    </row>
    <row r="94" spans="1:12" x14ac:dyDescent="0.2">
      <c r="A94" s="51" t="s">
        <v>62</v>
      </c>
      <c r="B94" s="44" t="s">
        <v>241</v>
      </c>
      <c r="C94" s="44" t="s">
        <v>234</v>
      </c>
      <c r="D94" s="70" t="s">
        <v>260</v>
      </c>
      <c r="E94" t="s">
        <v>225</v>
      </c>
    </row>
    <row r="95" spans="1:12" x14ac:dyDescent="0.2">
      <c r="A95" s="51"/>
      <c r="B95" s="44" t="s">
        <v>239</v>
      </c>
      <c r="C95" s="44" t="s">
        <v>234</v>
      </c>
      <c r="D95" s="69"/>
      <c r="E95" t="s">
        <v>222</v>
      </c>
    </row>
    <row r="96" spans="1:12" x14ac:dyDescent="0.2">
      <c r="A96" t="s">
        <v>70</v>
      </c>
      <c r="B96" s="44">
        <v>0.25</v>
      </c>
      <c r="C96" s="44" t="s">
        <v>64</v>
      </c>
      <c r="D96" s="44" t="s">
        <v>266</v>
      </c>
      <c r="E96" t="s">
        <v>71</v>
      </c>
      <c r="G96" t="s">
        <v>155</v>
      </c>
    </row>
    <row r="97" spans="1:6" x14ac:dyDescent="0.2">
      <c r="A97" t="s">
        <v>77</v>
      </c>
      <c r="B97" s="44">
        <v>24</v>
      </c>
      <c r="C97" s="44" t="s">
        <v>237</v>
      </c>
      <c r="D97" s="44" t="s">
        <v>267</v>
      </c>
      <c r="E97" t="s">
        <v>76</v>
      </c>
    </row>
    <row r="98" spans="1:6" x14ac:dyDescent="0.2">
      <c r="A98" t="s">
        <v>150</v>
      </c>
      <c r="B98" s="44" t="s">
        <v>152</v>
      </c>
      <c r="C98" s="44" t="s">
        <v>64</v>
      </c>
      <c r="D98" s="44" t="s">
        <v>265</v>
      </c>
      <c r="E98" t="s">
        <v>59</v>
      </c>
      <c r="F98" t="s">
        <v>151</v>
      </c>
    </row>
    <row r="99" spans="1:6" x14ac:dyDescent="0.2">
      <c r="A99" t="s">
        <v>66</v>
      </c>
      <c r="B99" s="44">
        <v>4.4999999999999998E-2</v>
      </c>
      <c r="C99" s="44" t="s">
        <v>64</v>
      </c>
      <c r="D99" s="44"/>
      <c r="E99" t="s">
        <v>65</v>
      </c>
    </row>
    <row r="100" spans="1:6" x14ac:dyDescent="0.2">
      <c r="A100" t="s">
        <v>228</v>
      </c>
      <c r="B100" s="44" t="s">
        <v>230</v>
      </c>
      <c r="C100" s="44" t="s">
        <v>238</v>
      </c>
      <c r="D100" s="44" t="s">
        <v>263</v>
      </c>
      <c r="E100" s="44" t="s">
        <v>261</v>
      </c>
    </row>
    <row r="101" spans="1:6" x14ac:dyDescent="0.2">
      <c r="A101" t="s">
        <v>229</v>
      </c>
      <c r="B101" s="44" t="s">
        <v>231</v>
      </c>
      <c r="C101" s="44" t="s">
        <v>238</v>
      </c>
      <c r="D101" s="44" t="s">
        <v>264</v>
      </c>
      <c r="E101" s="44" t="s">
        <v>261</v>
      </c>
    </row>
    <row r="102" spans="1:6" x14ac:dyDescent="0.2">
      <c r="A102" t="s">
        <v>67</v>
      </c>
      <c r="B102" s="44">
        <v>0.9</v>
      </c>
      <c r="C102" s="44" t="s">
        <v>64</v>
      </c>
      <c r="D102" s="44"/>
      <c r="E102" t="s">
        <v>74</v>
      </c>
    </row>
    <row r="103" spans="1:6" x14ac:dyDescent="0.2">
      <c r="A103" t="s">
        <v>68</v>
      </c>
      <c r="B103" s="44">
        <v>0.85</v>
      </c>
      <c r="C103" s="44" t="s">
        <v>64</v>
      </c>
      <c r="D103" s="44"/>
      <c r="E103" t="s">
        <v>74</v>
      </c>
    </row>
    <row r="104" spans="1:6" x14ac:dyDescent="0.2">
      <c r="A104" t="s">
        <v>69</v>
      </c>
      <c r="B104" s="44">
        <v>0.8</v>
      </c>
      <c r="C104" s="44" t="s">
        <v>64</v>
      </c>
      <c r="D104" s="44"/>
      <c r="E104" t="s">
        <v>73</v>
      </c>
    </row>
    <row r="105" spans="1:6" x14ac:dyDescent="0.2">
      <c r="B105" s="44"/>
      <c r="C105" s="44"/>
      <c r="D105" s="44"/>
    </row>
    <row r="106" spans="1:6" x14ac:dyDescent="0.2">
      <c r="A106" t="s">
        <v>298</v>
      </c>
      <c r="B106" s="44"/>
      <c r="C106" s="44"/>
      <c r="D106" s="44"/>
    </row>
    <row r="107" spans="1:6" ht="16" thickBot="1" x14ac:dyDescent="0.25">
      <c r="A107" s="10" t="s">
        <v>207</v>
      </c>
      <c r="B107" s="10" t="s">
        <v>148</v>
      </c>
      <c r="C107" s="10" t="s">
        <v>232</v>
      </c>
      <c r="D107" s="10" t="s">
        <v>60</v>
      </c>
      <c r="E107" s="10"/>
      <c r="F107" s="10" t="s">
        <v>252</v>
      </c>
    </row>
    <row r="108" spans="1:6" ht="16" thickTop="1" x14ac:dyDescent="0.2">
      <c r="A108" t="s">
        <v>279</v>
      </c>
      <c r="B108">
        <v>2.7E-2</v>
      </c>
      <c r="C108" s="44" t="s">
        <v>149</v>
      </c>
      <c r="D108" t="s">
        <v>149</v>
      </c>
    </row>
    <row r="109" spans="1:6" x14ac:dyDescent="0.2">
      <c r="A109" t="s">
        <v>280</v>
      </c>
      <c r="B109">
        <v>3.7999999999999999E-2</v>
      </c>
      <c r="C109" s="44" t="s">
        <v>149</v>
      </c>
      <c r="D109" t="s">
        <v>149</v>
      </c>
    </row>
    <row r="111" spans="1:6" x14ac:dyDescent="0.2">
      <c r="A111" t="s">
        <v>294</v>
      </c>
    </row>
    <row r="112" spans="1:6" ht="16" thickBot="1" x14ac:dyDescent="0.25">
      <c r="A112" s="10" t="s">
        <v>201</v>
      </c>
      <c r="B112" s="10" t="s">
        <v>148</v>
      </c>
      <c r="C112" s="10" t="s">
        <v>232</v>
      </c>
      <c r="D112" s="10" t="s">
        <v>60</v>
      </c>
      <c r="E112" s="10"/>
      <c r="F112" s="10" t="s">
        <v>252</v>
      </c>
    </row>
    <row r="113" spans="1:6" ht="16" thickTop="1" x14ac:dyDescent="0.2">
      <c r="A113" t="s">
        <v>281</v>
      </c>
      <c r="B113">
        <v>3.31</v>
      </c>
      <c r="C113" t="s">
        <v>233</v>
      </c>
      <c r="D113" t="s">
        <v>296</v>
      </c>
    </row>
    <row r="114" spans="1:6" x14ac:dyDescent="0.2">
      <c r="A114" t="s">
        <v>282</v>
      </c>
      <c r="B114">
        <v>1.4630000000000001</v>
      </c>
      <c r="C114" t="s">
        <v>233</v>
      </c>
      <c r="D114" t="s">
        <v>296</v>
      </c>
    </row>
    <row r="115" spans="1:6" ht="17" x14ac:dyDescent="0.2">
      <c r="A115" t="s">
        <v>283</v>
      </c>
      <c r="B115">
        <v>1.08</v>
      </c>
      <c r="C115" t="s">
        <v>233</v>
      </c>
      <c r="D115" t="s">
        <v>296</v>
      </c>
      <c r="E115" s="48"/>
    </row>
    <row r="116" spans="1:6" x14ac:dyDescent="0.2">
      <c r="A116" t="s">
        <v>284</v>
      </c>
      <c r="B116">
        <v>1.4710000000000001</v>
      </c>
      <c r="C116" t="s">
        <v>233</v>
      </c>
      <c r="D116" t="s">
        <v>296</v>
      </c>
    </row>
    <row r="117" spans="1:6" x14ac:dyDescent="0.2">
      <c r="A117" t="s">
        <v>285</v>
      </c>
      <c r="B117">
        <v>1.661</v>
      </c>
      <c r="C117" t="s">
        <v>233</v>
      </c>
      <c r="D117" t="s">
        <v>296</v>
      </c>
    </row>
    <row r="118" spans="1:6" x14ac:dyDescent="0.2">
      <c r="A118" t="s">
        <v>286</v>
      </c>
      <c r="B118">
        <v>0.35399999999999998</v>
      </c>
      <c r="C118" t="s">
        <v>233</v>
      </c>
      <c r="D118" t="s">
        <v>296</v>
      </c>
    </row>
    <row r="119" spans="1:6" x14ac:dyDescent="0.2">
      <c r="A119" t="s">
        <v>287</v>
      </c>
      <c r="B119">
        <v>1.8160000000000001</v>
      </c>
      <c r="C119" t="s">
        <v>233</v>
      </c>
      <c r="D119" t="s">
        <v>296</v>
      </c>
    </row>
    <row r="120" spans="1:6" x14ac:dyDescent="0.2">
      <c r="A120" t="s">
        <v>288</v>
      </c>
      <c r="B120">
        <v>0.58899999999999997</v>
      </c>
      <c r="C120" t="s">
        <v>233</v>
      </c>
      <c r="D120" t="s">
        <v>296</v>
      </c>
    </row>
    <row r="121" spans="1:6" x14ac:dyDescent="0.2">
      <c r="A121" t="s">
        <v>289</v>
      </c>
      <c r="B121">
        <v>1.117</v>
      </c>
      <c r="C121" t="s">
        <v>233</v>
      </c>
      <c r="D121" t="s">
        <v>296</v>
      </c>
    </row>
    <row r="122" spans="1:6" x14ac:dyDescent="0.2">
      <c r="A122" t="s">
        <v>290</v>
      </c>
      <c r="B122">
        <v>0.68600000000000005</v>
      </c>
      <c r="C122" t="s">
        <v>233</v>
      </c>
      <c r="D122" t="s">
        <v>296</v>
      </c>
    </row>
    <row r="123" spans="1:6" x14ac:dyDescent="0.2">
      <c r="A123" t="s">
        <v>291</v>
      </c>
      <c r="B123">
        <v>8.8040000000000003</v>
      </c>
      <c r="C123" t="s">
        <v>233</v>
      </c>
      <c r="D123" t="s">
        <v>296</v>
      </c>
    </row>
    <row r="124" spans="1:6" x14ac:dyDescent="0.2">
      <c r="A124" t="s">
        <v>292</v>
      </c>
      <c r="B124">
        <v>4.5629999999999997</v>
      </c>
      <c r="C124" t="s">
        <v>233</v>
      </c>
      <c r="D124" t="s">
        <v>296</v>
      </c>
    </row>
    <row r="125" spans="1:6" x14ac:dyDescent="0.2">
      <c r="A125" t="s">
        <v>293</v>
      </c>
      <c r="B125">
        <v>13.367000000000001</v>
      </c>
      <c r="C125" t="s">
        <v>233</v>
      </c>
      <c r="D125" t="s">
        <v>296</v>
      </c>
    </row>
    <row r="127" spans="1:6" x14ac:dyDescent="0.2">
      <c r="A127" t="s">
        <v>295</v>
      </c>
    </row>
    <row r="128" spans="1:6" ht="16" thickBot="1" x14ac:dyDescent="0.25">
      <c r="A128" s="10" t="s">
        <v>262</v>
      </c>
      <c r="B128" s="10" t="s">
        <v>148</v>
      </c>
      <c r="C128" s="10" t="s">
        <v>232</v>
      </c>
      <c r="D128" s="10" t="s">
        <v>60</v>
      </c>
      <c r="E128" s="10"/>
      <c r="F128" s="10" t="s">
        <v>252</v>
      </c>
    </row>
    <row r="129" spans="1:6" ht="16" thickTop="1" x14ac:dyDescent="0.2">
      <c r="A129" t="s">
        <v>281</v>
      </c>
      <c r="B129">
        <v>1960.5</v>
      </c>
      <c r="C129" t="s">
        <v>234</v>
      </c>
      <c r="D129" t="s">
        <v>296</v>
      </c>
    </row>
    <row r="130" spans="1:6" x14ac:dyDescent="0.2">
      <c r="A130" t="s">
        <v>282</v>
      </c>
      <c r="B130">
        <v>19.7</v>
      </c>
      <c r="C130" t="s">
        <v>234</v>
      </c>
      <c r="D130" t="s">
        <v>296</v>
      </c>
    </row>
    <row r="131" spans="1:6" x14ac:dyDescent="0.2">
      <c r="A131" t="s">
        <v>283</v>
      </c>
      <c r="B131">
        <v>230</v>
      </c>
      <c r="C131" t="s">
        <v>234</v>
      </c>
      <c r="D131" t="s">
        <v>296</v>
      </c>
    </row>
    <row r="132" spans="1:6" x14ac:dyDescent="0.2">
      <c r="A132" t="s">
        <v>284</v>
      </c>
      <c r="B132">
        <v>52.2</v>
      </c>
      <c r="C132" t="s">
        <v>234</v>
      </c>
      <c r="D132" t="s">
        <v>296</v>
      </c>
    </row>
    <row r="133" spans="1:6" x14ac:dyDescent="0.2">
      <c r="A133" t="s">
        <v>285</v>
      </c>
      <c r="B133">
        <v>497.2</v>
      </c>
      <c r="C133" t="s">
        <v>234</v>
      </c>
      <c r="D133" t="s">
        <v>296</v>
      </c>
    </row>
    <row r="134" spans="1:6" x14ac:dyDescent="0.2">
      <c r="A134" t="s">
        <v>286</v>
      </c>
      <c r="B134">
        <v>34.799999999999997</v>
      </c>
      <c r="C134" t="s">
        <v>234</v>
      </c>
      <c r="D134" t="s">
        <v>296</v>
      </c>
    </row>
    <row r="135" spans="1:6" x14ac:dyDescent="0.2">
      <c r="A135" t="s">
        <v>287</v>
      </c>
      <c r="B135">
        <v>429.3</v>
      </c>
      <c r="C135" t="s">
        <v>234</v>
      </c>
      <c r="D135" t="s">
        <v>296</v>
      </c>
    </row>
    <row r="136" spans="1:6" x14ac:dyDescent="0.2">
      <c r="A136" t="s">
        <v>288</v>
      </c>
      <c r="B136">
        <v>21.5</v>
      </c>
      <c r="C136" t="s">
        <v>234</v>
      </c>
      <c r="D136" t="s">
        <v>296</v>
      </c>
    </row>
    <row r="137" spans="1:6" x14ac:dyDescent="0.2">
      <c r="A137" t="s">
        <v>289</v>
      </c>
      <c r="B137">
        <v>565.20000000000005</v>
      </c>
      <c r="C137" t="s">
        <v>234</v>
      </c>
      <c r="D137" t="s">
        <v>296</v>
      </c>
    </row>
    <row r="138" spans="1:6" x14ac:dyDescent="0.2">
      <c r="A138" t="s">
        <v>290</v>
      </c>
      <c r="B138">
        <v>8.9</v>
      </c>
      <c r="C138" t="s">
        <v>234</v>
      </c>
      <c r="D138" t="s">
        <v>296</v>
      </c>
    </row>
    <row r="139" spans="1:6" x14ac:dyDescent="0.2">
      <c r="A139" t="s">
        <v>291</v>
      </c>
      <c r="B139">
        <v>3682.2</v>
      </c>
      <c r="C139" t="s">
        <v>234</v>
      </c>
      <c r="D139" t="s">
        <v>296</v>
      </c>
    </row>
    <row r="140" spans="1:6" x14ac:dyDescent="0.2">
      <c r="A140" t="s">
        <v>292</v>
      </c>
      <c r="B140">
        <v>137.1</v>
      </c>
      <c r="C140" t="s">
        <v>234</v>
      </c>
      <c r="D140" t="s">
        <v>296</v>
      </c>
    </row>
    <row r="141" spans="1:6" x14ac:dyDescent="0.2">
      <c r="A141" t="s">
        <v>293</v>
      </c>
      <c r="B141">
        <v>3819.3</v>
      </c>
      <c r="C141" t="s">
        <v>234</v>
      </c>
      <c r="D141" t="s">
        <v>296</v>
      </c>
    </row>
    <row r="143" spans="1:6" x14ac:dyDescent="0.2">
      <c r="A143" t="s">
        <v>297</v>
      </c>
    </row>
    <row r="144" spans="1:6" ht="16" thickBot="1" x14ac:dyDescent="0.25">
      <c r="A144" s="49" t="s">
        <v>190</v>
      </c>
      <c r="B144" s="49" t="s">
        <v>148</v>
      </c>
      <c r="C144" s="49" t="s">
        <v>232</v>
      </c>
      <c r="D144" s="49" t="s">
        <v>60</v>
      </c>
      <c r="E144" s="49"/>
      <c r="F144" s="49" t="s">
        <v>252</v>
      </c>
    </row>
    <row r="145" spans="1:4" ht="16" thickTop="1" x14ac:dyDescent="0.2">
      <c r="A145" t="s">
        <v>281</v>
      </c>
      <c r="B145">
        <v>236.6</v>
      </c>
      <c r="C145" t="s">
        <v>234</v>
      </c>
      <c r="D145" t="s">
        <v>296</v>
      </c>
    </row>
    <row r="146" spans="1:4" x14ac:dyDescent="0.2">
      <c r="A146" t="s">
        <v>282</v>
      </c>
      <c r="B146">
        <v>0</v>
      </c>
      <c r="C146" t="s">
        <v>234</v>
      </c>
      <c r="D146" t="s">
        <v>296</v>
      </c>
    </row>
    <row r="147" spans="1:4" x14ac:dyDescent="0.2">
      <c r="A147" t="s">
        <v>283</v>
      </c>
      <c r="B147">
        <v>156.4</v>
      </c>
      <c r="C147" t="s">
        <v>234</v>
      </c>
      <c r="D147" t="s">
        <v>296</v>
      </c>
    </row>
    <row r="148" spans="1:4" x14ac:dyDescent="0.2">
      <c r="A148" t="s">
        <v>284</v>
      </c>
      <c r="B148">
        <v>0</v>
      </c>
      <c r="C148" t="s">
        <v>234</v>
      </c>
      <c r="D148" t="s">
        <v>296</v>
      </c>
    </row>
    <row r="149" spans="1:4" x14ac:dyDescent="0.2">
      <c r="A149" t="s">
        <v>285</v>
      </c>
      <c r="B149">
        <v>462.7</v>
      </c>
      <c r="C149" t="s">
        <v>234</v>
      </c>
      <c r="D149" t="s">
        <v>296</v>
      </c>
    </row>
    <row r="150" spans="1:4" x14ac:dyDescent="0.2">
      <c r="A150" t="s">
        <v>286</v>
      </c>
      <c r="B150">
        <v>0</v>
      </c>
      <c r="C150" t="s">
        <v>234</v>
      </c>
      <c r="D150" t="s">
        <v>296</v>
      </c>
    </row>
    <row r="151" spans="1:4" x14ac:dyDescent="0.2">
      <c r="A151" t="s">
        <v>287</v>
      </c>
      <c r="B151">
        <v>103.2</v>
      </c>
      <c r="C151" t="s">
        <v>234</v>
      </c>
      <c r="D151" t="s">
        <v>296</v>
      </c>
    </row>
    <row r="152" spans="1:4" x14ac:dyDescent="0.2">
      <c r="A152" t="s">
        <v>288</v>
      </c>
      <c r="B152">
        <v>6.1</v>
      </c>
      <c r="C152" t="s">
        <v>234</v>
      </c>
      <c r="D152" t="s">
        <v>296</v>
      </c>
    </row>
    <row r="153" spans="1:4" x14ac:dyDescent="0.2">
      <c r="A153" t="s">
        <v>289</v>
      </c>
      <c r="B153">
        <v>0</v>
      </c>
      <c r="C153" t="s">
        <v>234</v>
      </c>
      <c r="D153" t="s">
        <v>296</v>
      </c>
    </row>
    <row r="154" spans="1:4" x14ac:dyDescent="0.2">
      <c r="A154" t="s">
        <v>290</v>
      </c>
      <c r="B154">
        <v>0</v>
      </c>
      <c r="C154" t="s">
        <v>234</v>
      </c>
      <c r="D154" t="s">
        <v>296</v>
      </c>
    </row>
    <row r="155" spans="1:4" x14ac:dyDescent="0.2">
      <c r="A155" t="s">
        <v>291</v>
      </c>
      <c r="B155">
        <v>958.9</v>
      </c>
      <c r="C155" t="s">
        <v>234</v>
      </c>
      <c r="D155" t="s">
        <v>296</v>
      </c>
    </row>
    <row r="156" spans="1:4" x14ac:dyDescent="0.2">
      <c r="A156" t="s">
        <v>292</v>
      </c>
      <c r="B156">
        <v>6.1</v>
      </c>
      <c r="C156" t="s">
        <v>234</v>
      </c>
      <c r="D156" t="s">
        <v>296</v>
      </c>
    </row>
    <row r="157" spans="1:4" x14ac:dyDescent="0.2">
      <c r="A157" t="s">
        <v>293</v>
      </c>
      <c r="B157">
        <v>965</v>
      </c>
      <c r="C157" t="s">
        <v>234</v>
      </c>
      <c r="D157" t="s">
        <v>296</v>
      </c>
    </row>
  </sheetData>
  <mergeCells count="16">
    <mergeCell ref="A54:A55"/>
    <mergeCell ref="A94:A95"/>
    <mergeCell ref="D91:D93"/>
    <mergeCell ref="D94:D95"/>
    <mergeCell ref="A78:A79"/>
    <mergeCell ref="A67:A68"/>
    <mergeCell ref="A65:A66"/>
    <mergeCell ref="A63:A64"/>
    <mergeCell ref="A61:A62"/>
    <mergeCell ref="A59:A60"/>
    <mergeCell ref="A91:A93"/>
    <mergeCell ref="A24:A25"/>
    <mergeCell ref="A26:A27"/>
    <mergeCell ref="A41:A42"/>
    <mergeCell ref="A44:A45"/>
    <mergeCell ref="A49:A50"/>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A6E26-8036-A94C-B791-D4BD783DF664}">
  <dimension ref="A1:F23"/>
  <sheetViews>
    <sheetView tabSelected="1" workbookViewId="0">
      <selection activeCell="C16" sqref="C16"/>
    </sheetView>
  </sheetViews>
  <sheetFormatPr baseColWidth="10" defaultRowHeight="15" x14ac:dyDescent="0.2"/>
  <cols>
    <col min="1" max="1" width="23.5" customWidth="1"/>
    <col min="2" max="3" width="23.6640625" customWidth="1"/>
    <col min="4" max="4" width="28.33203125" customWidth="1"/>
  </cols>
  <sheetData>
    <row r="1" spans="1:6" ht="16" thickBot="1" x14ac:dyDescent="0.25">
      <c r="A1" s="10" t="s">
        <v>181</v>
      </c>
      <c r="B1" s="10" t="s">
        <v>159</v>
      </c>
      <c r="C1" s="10" t="s">
        <v>232</v>
      </c>
      <c r="D1" s="10" t="s">
        <v>60</v>
      </c>
      <c r="F1" t="s">
        <v>82</v>
      </c>
    </row>
    <row r="2" spans="1:6" ht="16" thickTop="1" x14ac:dyDescent="0.2">
      <c r="A2" t="s">
        <v>184</v>
      </c>
      <c r="B2" t="s">
        <v>160</v>
      </c>
      <c r="C2" t="s">
        <v>64</v>
      </c>
      <c r="D2" t="s">
        <v>158</v>
      </c>
    </row>
    <row r="3" spans="1:6" x14ac:dyDescent="0.2">
      <c r="A3" t="s">
        <v>184</v>
      </c>
      <c r="B3" t="s">
        <v>161</v>
      </c>
      <c r="C3" t="s">
        <v>64</v>
      </c>
      <c r="D3" t="s">
        <v>158</v>
      </c>
    </row>
    <row r="4" spans="1:6" x14ac:dyDescent="0.2">
      <c r="A4" t="s">
        <v>184</v>
      </c>
      <c r="B4" t="s">
        <v>162</v>
      </c>
      <c r="C4" t="s">
        <v>64</v>
      </c>
      <c r="D4" s="42" t="s">
        <v>158</v>
      </c>
    </row>
    <row r="5" spans="1:6" x14ac:dyDescent="0.2">
      <c r="A5" t="s">
        <v>184</v>
      </c>
      <c r="B5" t="s">
        <v>163</v>
      </c>
      <c r="C5" t="s">
        <v>64</v>
      </c>
      <c r="D5" t="s">
        <v>164</v>
      </c>
    </row>
    <row r="6" spans="1:6" x14ac:dyDescent="0.2">
      <c r="A6" t="s">
        <v>184</v>
      </c>
      <c r="B6" t="s">
        <v>175</v>
      </c>
      <c r="C6" t="s">
        <v>64</v>
      </c>
      <c r="D6" t="s">
        <v>180</v>
      </c>
    </row>
    <row r="7" spans="1:6" x14ac:dyDescent="0.2">
      <c r="A7" t="s">
        <v>184</v>
      </c>
      <c r="B7" t="s">
        <v>176</v>
      </c>
      <c r="C7" t="s">
        <v>64</v>
      </c>
      <c r="D7" t="s">
        <v>180</v>
      </c>
    </row>
    <row r="8" spans="1:6" x14ac:dyDescent="0.2">
      <c r="A8" t="s">
        <v>184</v>
      </c>
      <c r="B8" t="s">
        <v>177</v>
      </c>
      <c r="C8" t="s">
        <v>64</v>
      </c>
      <c r="D8" t="s">
        <v>180</v>
      </c>
    </row>
    <row r="9" spans="1:6" x14ac:dyDescent="0.2">
      <c r="A9" t="s">
        <v>184</v>
      </c>
      <c r="B9" t="s">
        <v>178</v>
      </c>
      <c r="C9" t="s">
        <v>64</v>
      </c>
      <c r="D9" t="s">
        <v>180</v>
      </c>
      <c r="F9" t="s">
        <v>179</v>
      </c>
    </row>
    <row r="11" spans="1:6" ht="16" thickBot="1" x14ac:dyDescent="0.25">
      <c r="A11" s="10" t="s">
        <v>182</v>
      </c>
      <c r="B11" s="10" t="s">
        <v>159</v>
      </c>
      <c r="C11" s="10" t="s">
        <v>232</v>
      </c>
      <c r="D11" s="10" t="s">
        <v>60</v>
      </c>
    </row>
    <row r="12" spans="1:6" ht="16" thickTop="1" x14ac:dyDescent="0.2">
      <c r="A12" t="s">
        <v>185</v>
      </c>
      <c r="B12" t="s">
        <v>189</v>
      </c>
      <c r="C12" t="s">
        <v>234</v>
      </c>
      <c r="D12" t="s">
        <v>164</v>
      </c>
    </row>
    <row r="13" spans="1:6" x14ac:dyDescent="0.2">
      <c r="A13" t="s">
        <v>186</v>
      </c>
      <c r="B13" t="s">
        <v>189</v>
      </c>
      <c r="C13" t="s">
        <v>233</v>
      </c>
      <c r="D13" t="s">
        <v>164</v>
      </c>
    </row>
    <row r="14" spans="1:6" x14ac:dyDescent="0.2">
      <c r="A14" t="s">
        <v>187</v>
      </c>
      <c r="B14" t="s">
        <v>189</v>
      </c>
      <c r="C14" t="s">
        <v>234</v>
      </c>
      <c r="D14" t="s">
        <v>164</v>
      </c>
    </row>
    <row r="15" spans="1:6" x14ac:dyDescent="0.2">
      <c r="A15" t="s">
        <v>188</v>
      </c>
      <c r="B15" t="s">
        <v>5</v>
      </c>
      <c r="C15" t="s">
        <v>234</v>
      </c>
      <c r="D15" t="s">
        <v>164</v>
      </c>
    </row>
    <row r="17" spans="1:4" ht="16" thickBot="1" x14ac:dyDescent="0.25">
      <c r="A17" s="10" t="s">
        <v>191</v>
      </c>
      <c r="B17" s="10" t="s">
        <v>159</v>
      </c>
      <c r="C17" s="10" t="s">
        <v>232</v>
      </c>
      <c r="D17" s="10" t="s">
        <v>60</v>
      </c>
    </row>
    <row r="18" spans="1:4" ht="16" thickTop="1" x14ac:dyDescent="0.2">
      <c r="A18" t="s">
        <v>192</v>
      </c>
      <c r="B18" t="s">
        <v>191</v>
      </c>
      <c r="C18" t="s">
        <v>233</v>
      </c>
      <c r="D18" t="s">
        <v>194</v>
      </c>
    </row>
    <row r="19" spans="1:4" x14ac:dyDescent="0.2">
      <c r="A19" t="s">
        <v>193</v>
      </c>
      <c r="B19" t="s">
        <v>191</v>
      </c>
      <c r="C19" t="s">
        <v>233</v>
      </c>
      <c r="D19" t="s">
        <v>194</v>
      </c>
    </row>
    <row r="21" spans="1:4" ht="16" thickBot="1" x14ac:dyDescent="0.25">
      <c r="A21" s="10" t="s">
        <v>195</v>
      </c>
      <c r="B21" s="10" t="s">
        <v>159</v>
      </c>
      <c r="C21" s="10" t="s">
        <v>232</v>
      </c>
      <c r="D21" s="10" t="s">
        <v>60</v>
      </c>
    </row>
    <row r="22" spans="1:4" ht="16" thickTop="1" x14ac:dyDescent="0.2">
      <c r="A22" t="s">
        <v>196</v>
      </c>
      <c r="B22" t="s">
        <v>195</v>
      </c>
      <c r="C22" t="s">
        <v>234</v>
      </c>
      <c r="D22" t="s">
        <v>198</v>
      </c>
    </row>
    <row r="23" spans="1:4" x14ac:dyDescent="0.2">
      <c r="A23" t="s">
        <v>197</v>
      </c>
      <c r="B23" t="s">
        <v>195</v>
      </c>
      <c r="C23" t="s">
        <v>234</v>
      </c>
      <c r="D23" t="s">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Economic parameters</vt:lpstr>
      <vt:lpstr>Technical parameters</vt:lpstr>
      <vt:lpstr>Production &amp; demand profiles</vt:lpstr>
    </vt:vector>
  </TitlesOfParts>
  <Company>TOTAL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J0494055</dc:creator>
  <cp:lastModifiedBy>Lara SIBIEUDE</cp:lastModifiedBy>
  <dcterms:created xsi:type="dcterms:W3CDTF">2018-03-08T10:45:10Z</dcterms:created>
  <dcterms:modified xsi:type="dcterms:W3CDTF">2023-03-15T17:40:44Z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b30ed1b-e95f-40b5-af89-828263f287a7_Enabled">
    <vt:lpwstr>True</vt:lpwstr>
  </property>
  <property fmtid="{D5CDD505-2E9C-101B-9397-08002B2CF9AE}" pid="3" name="MSIP_Label_2b30ed1b-e95f-40b5-af89-828263f287a7_SiteId">
    <vt:lpwstr>329e91b0-e21f-48fb-a071-456717ecc28e</vt:lpwstr>
  </property>
  <property fmtid="{D5CDD505-2E9C-101B-9397-08002B2CF9AE}" pid="4" name="MSIP_Label_2b30ed1b-e95f-40b5-af89-828263f287a7_Owner">
    <vt:lpwstr>behrang.shirizadeh@total.com</vt:lpwstr>
  </property>
  <property fmtid="{D5CDD505-2E9C-101B-9397-08002B2CF9AE}" pid="5" name="MSIP_Label_2b30ed1b-e95f-40b5-af89-828263f287a7_SetDate">
    <vt:lpwstr>2020-06-25T15:13:41.0887047Z</vt:lpwstr>
  </property>
  <property fmtid="{D5CDD505-2E9C-101B-9397-08002B2CF9AE}" pid="6" name="MSIP_Label_2b30ed1b-e95f-40b5-af89-828263f287a7_Name">
    <vt:lpwstr>Restricted</vt:lpwstr>
  </property>
  <property fmtid="{D5CDD505-2E9C-101B-9397-08002B2CF9AE}" pid="7" name="MSIP_Label_2b30ed1b-e95f-40b5-af89-828263f287a7_Application">
    <vt:lpwstr>Microsoft Azure Information Protection</vt:lpwstr>
  </property>
  <property fmtid="{D5CDD505-2E9C-101B-9397-08002B2CF9AE}" pid="8" name="MSIP_Label_2b30ed1b-e95f-40b5-af89-828263f287a7_ActionId">
    <vt:lpwstr>548a382d-82a5-476e-bc9b-077d3d74834e</vt:lpwstr>
  </property>
  <property fmtid="{D5CDD505-2E9C-101B-9397-08002B2CF9AE}" pid="9" name="MSIP_Label_2b30ed1b-e95f-40b5-af89-828263f287a7_Extended_MSFT_Method">
    <vt:lpwstr>Automatic</vt:lpwstr>
  </property>
  <property fmtid="{D5CDD505-2E9C-101B-9397-08002B2CF9AE}" pid="10" name="MSIP_Label_589256c7-9946-44df-b379-51beb93fd2d9_Enabled">
    <vt:lpwstr>true</vt:lpwstr>
  </property>
  <property fmtid="{D5CDD505-2E9C-101B-9397-08002B2CF9AE}" pid="11" name="MSIP_Label_589256c7-9946-44df-b379-51beb93fd2d9_SetDate">
    <vt:lpwstr>2021-05-03T14:34:13Z</vt:lpwstr>
  </property>
  <property fmtid="{D5CDD505-2E9C-101B-9397-08002B2CF9AE}" pid="12" name="MSIP_Label_589256c7-9946-44df-b379-51beb93fd2d9_Method">
    <vt:lpwstr>Privileged</vt:lpwstr>
  </property>
  <property fmtid="{D5CDD505-2E9C-101B-9397-08002B2CF9AE}" pid="13" name="MSIP_Label_589256c7-9946-44df-b379-51beb93fd2d9_Name">
    <vt:lpwstr>589256c7-9946-44df-b379-51beb93fd2d9</vt:lpwstr>
  </property>
  <property fmtid="{D5CDD505-2E9C-101B-9397-08002B2CF9AE}" pid="14" name="MSIP_Label_589256c7-9946-44df-b379-51beb93fd2d9_SiteId">
    <vt:lpwstr>36da45f1-dd2c-4d1f-af13-5abe46b99921</vt:lpwstr>
  </property>
  <property fmtid="{D5CDD505-2E9C-101B-9397-08002B2CF9AE}" pid="15" name="MSIP_Label_589256c7-9946-44df-b379-51beb93fd2d9_ActionId">
    <vt:lpwstr>78de9dd7-bd4d-4935-b1f9-fdbebb5c4e68</vt:lpwstr>
  </property>
  <property fmtid="{D5CDD505-2E9C-101B-9397-08002B2CF9AE}" pid="16" name="MSIP_Label_589256c7-9946-44df-b379-51beb93fd2d9_ContentBits">
    <vt:lpwstr>0</vt:lpwstr>
  </property>
</Properties>
</file>