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0_ncr:8100000_{BD69884B-21DF-4F18-9DC5-A70098715D01}" xr6:coauthVersionLast="33" xr6:coauthVersionMax="33" xr10:uidLastSave="{00000000-0000-0000-0000-000000000000}"/>
  <bookViews>
    <workbookView xWindow="0" yWindow="0" windowWidth="23040" windowHeight="9020" tabRatio="707" firstSheet="6" activeTab="6" xr2:uid="{00000000-000D-0000-FFFF-FFFF00000000}"/>
  </bookViews>
  <sheets>
    <sheet name="17成本" sheetId="13" state="hidden" r:id="rId1"/>
    <sheet name="17收入" sheetId="3" state="hidden" r:id="rId2"/>
    <sheet name="16、17收入对比" sheetId="9" state="hidden" r:id="rId3"/>
    <sheet name="17年追赶表" sheetId="1" state="hidden" r:id="rId4"/>
    <sheet name="16年情况" sheetId="5" state="hidden" r:id="rId5"/>
    <sheet name="关键指标" sheetId="8" state="hidden" r:id="rId6"/>
    <sheet name="现金推算表" sheetId="6" r:id="rId7"/>
    <sheet name="Sheet1" sheetId="15" state="hidden" r:id="rId8"/>
  </sheets>
  <calcPr calcId="162913"/>
</workbook>
</file>

<file path=xl/calcChain.xml><?xml version="1.0" encoding="utf-8"?>
<calcChain xmlns="http://schemas.openxmlformats.org/spreadsheetml/2006/main">
  <c r="G17" i="6" l="1"/>
  <c r="C17" i="6" l="1"/>
  <c r="V17" i="6" l="1"/>
  <c r="W17" i="6" l="1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D5" i="15" l="1"/>
  <c r="E5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E23" i="15"/>
  <c r="E22" i="15"/>
  <c r="E26" i="15"/>
  <c r="E25" i="15"/>
  <c r="E24" i="15"/>
  <c r="E21" i="15"/>
  <c r="E20" i="15"/>
  <c r="E19" i="15"/>
  <c r="E18" i="15"/>
  <c r="E4" i="15"/>
  <c r="E3" i="15"/>
  <c r="E2" i="15"/>
  <c r="E14" i="15"/>
  <c r="E12" i="15"/>
  <c r="E17" i="15"/>
  <c r="E16" i="15"/>
  <c r="E15" i="15"/>
  <c r="E13" i="15"/>
  <c r="E11" i="15"/>
  <c r="E10" i="15"/>
  <c r="E9" i="15"/>
  <c r="E7" i="15"/>
  <c r="E6" i="15"/>
  <c r="E8" i="15"/>
  <c r="AD21" i="3"/>
  <c r="AD26" i="3"/>
  <c r="AD10" i="3"/>
  <c r="AB10" i="3"/>
  <c r="AB26" i="3"/>
  <c r="Z10" i="3"/>
  <c r="Z21" i="3"/>
  <c r="Z26" i="3"/>
  <c r="X26" i="3"/>
  <c r="X21" i="3"/>
  <c r="X10" i="3"/>
  <c r="V26" i="3"/>
  <c r="V21" i="3"/>
  <c r="V10" i="3"/>
  <c r="T26" i="3"/>
  <c r="T21" i="3"/>
  <c r="T10" i="3"/>
  <c r="S26" i="3"/>
  <c r="W26" i="3"/>
  <c r="Y26" i="3"/>
  <c r="AA26" i="3"/>
  <c r="AC26" i="3"/>
  <c r="R26" i="3"/>
  <c r="R21" i="3"/>
  <c r="R10" i="3"/>
  <c r="P26" i="3"/>
  <c r="P21" i="3"/>
  <c r="P10" i="3"/>
  <c r="N18" i="13"/>
  <c r="P18" i="13"/>
  <c r="R18" i="13"/>
  <c r="T18" i="13"/>
  <c r="V18" i="13"/>
  <c r="X18" i="13"/>
  <c r="Z18" i="13"/>
  <c r="L18" i="13"/>
  <c r="AA19" i="3"/>
  <c r="Y20" i="3"/>
  <c r="Y21" i="3"/>
  <c r="K46" i="3"/>
  <c r="W16" i="3"/>
  <c r="W15" i="3"/>
  <c r="W20" i="3"/>
  <c r="W21" i="3"/>
  <c r="J46" i="3"/>
  <c r="W14" i="3"/>
  <c r="U16" i="3"/>
  <c r="U15" i="3"/>
  <c r="U14" i="3"/>
  <c r="S16" i="3"/>
  <c r="S19" i="3"/>
  <c r="S15" i="3"/>
  <c r="S14" i="3"/>
  <c r="Q16" i="3"/>
  <c r="Q15" i="3"/>
  <c r="Q14" i="3"/>
  <c r="O16" i="3"/>
  <c r="O20" i="3"/>
  <c r="O21" i="3"/>
  <c r="F46" i="3"/>
  <c r="O15" i="3"/>
  <c r="O14" i="3"/>
  <c r="N26" i="3"/>
  <c r="L26" i="3"/>
  <c r="J26" i="3"/>
  <c r="H26" i="3"/>
  <c r="N21" i="3"/>
  <c r="L21" i="3"/>
  <c r="J21" i="3"/>
  <c r="H21" i="3"/>
  <c r="N10" i="3"/>
  <c r="L10" i="3"/>
  <c r="J10" i="3"/>
  <c r="H10" i="3"/>
  <c r="I8" i="3"/>
  <c r="K8" i="3"/>
  <c r="M8" i="3"/>
  <c r="O8" i="3"/>
  <c r="Q8" i="3"/>
  <c r="S8" i="3"/>
  <c r="U8" i="3"/>
  <c r="W8" i="3"/>
  <c r="Y8" i="3"/>
  <c r="AA8" i="3"/>
  <c r="AC8" i="3"/>
  <c r="I9" i="3"/>
  <c r="I10" i="3"/>
  <c r="C45" i="3"/>
  <c r="K9" i="3"/>
  <c r="M9" i="3"/>
  <c r="M10" i="3"/>
  <c r="E45" i="3"/>
  <c r="O9" i="3"/>
  <c r="O10" i="3"/>
  <c r="F45" i="3"/>
  <c r="Q9" i="3"/>
  <c r="Q10" i="3"/>
  <c r="G45" i="3"/>
  <c r="S9" i="3"/>
  <c r="S10" i="3"/>
  <c r="H45" i="3"/>
  <c r="U9" i="3"/>
  <c r="U10" i="3"/>
  <c r="I45" i="3"/>
  <c r="W9" i="3"/>
  <c r="W10" i="3"/>
  <c r="J45" i="3"/>
  <c r="Y9" i="3"/>
  <c r="Y10" i="3"/>
  <c r="K45" i="3"/>
  <c r="AA9" i="3"/>
  <c r="AA10" i="3"/>
  <c r="L45" i="3"/>
  <c r="AC9" i="3"/>
  <c r="AC10" i="3"/>
  <c r="M45" i="3"/>
  <c r="K10" i="3"/>
  <c r="G9" i="3"/>
  <c r="G10" i="3"/>
  <c r="B45" i="3"/>
  <c r="G8" i="3"/>
  <c r="AE4" i="3"/>
  <c r="AE5" i="3"/>
  <c r="AE6" i="3"/>
  <c r="AE7" i="3"/>
  <c r="L30" i="13"/>
  <c r="R30" i="13"/>
  <c r="T30" i="13"/>
  <c r="Z30" i="13"/>
  <c r="AB5" i="13"/>
  <c r="AB8" i="13"/>
  <c r="AB11" i="13"/>
  <c r="AB12" i="13"/>
  <c r="AB14" i="13"/>
  <c r="AB15" i="13"/>
  <c r="AB16" i="13"/>
  <c r="AB19" i="13"/>
  <c r="AB20" i="13"/>
  <c r="AB21" i="13"/>
  <c r="AB22" i="13"/>
  <c r="AB23" i="13"/>
  <c r="AB24" i="13"/>
  <c r="AB25" i="13"/>
  <c r="AB26" i="13"/>
  <c r="AB27" i="13"/>
  <c r="AB28" i="13"/>
  <c r="AB29" i="13"/>
  <c r="AB32" i="13"/>
  <c r="AB34" i="13"/>
  <c r="AB35" i="13"/>
  <c r="AB36" i="13"/>
  <c r="AB37" i="13"/>
  <c r="AB38" i="13"/>
  <c r="AB39" i="13"/>
  <c r="AB40" i="13"/>
  <c r="AB41" i="13"/>
  <c r="AB42" i="13"/>
  <c r="AB44" i="13"/>
  <c r="AB45" i="13"/>
  <c r="AB46" i="13"/>
  <c r="AB47" i="13"/>
  <c r="AB48" i="13"/>
  <c r="K49" i="13"/>
  <c r="K43" i="13"/>
  <c r="K13" i="13"/>
  <c r="I9" i="13"/>
  <c r="G9" i="13"/>
  <c r="E9" i="13"/>
  <c r="K30" i="13"/>
  <c r="K33" i="13" s="1"/>
  <c r="K50" i="13" s="1"/>
  <c r="K51" i="13" s="1"/>
  <c r="K4" i="13"/>
  <c r="K9" i="13"/>
  <c r="F43" i="13"/>
  <c r="H43" i="13"/>
  <c r="AB43" i="13"/>
  <c r="J43" i="13"/>
  <c r="L43" i="13"/>
  <c r="N43" i="13"/>
  <c r="P43" i="13"/>
  <c r="R43" i="13"/>
  <c r="T43" i="13"/>
  <c r="V43" i="13"/>
  <c r="X43" i="13"/>
  <c r="Z43" i="13"/>
  <c r="F49" i="13"/>
  <c r="H49" i="13"/>
  <c r="J49" i="13"/>
  <c r="L49" i="13"/>
  <c r="N49" i="13"/>
  <c r="P49" i="13"/>
  <c r="R49" i="13"/>
  <c r="T49" i="13"/>
  <c r="V49" i="13"/>
  <c r="X49" i="13"/>
  <c r="Z49" i="13"/>
  <c r="D49" i="13"/>
  <c r="D43" i="13"/>
  <c r="G16" i="9"/>
  <c r="R25" i="9"/>
  <c r="Q25" i="9"/>
  <c r="S25" i="9"/>
  <c r="O25" i="9"/>
  <c r="N25" i="9"/>
  <c r="P25" i="9"/>
  <c r="L25" i="9"/>
  <c r="M25" i="9"/>
  <c r="K25" i="9"/>
  <c r="I25" i="9"/>
  <c r="H25" i="9"/>
  <c r="J25" i="9"/>
  <c r="F25" i="9"/>
  <c r="E25" i="9"/>
  <c r="G25" i="9"/>
  <c r="C25" i="9"/>
  <c r="B25" i="9"/>
  <c r="D25" i="9"/>
  <c r="R24" i="9"/>
  <c r="Q24" i="9"/>
  <c r="S24" i="9"/>
  <c r="O24" i="9"/>
  <c r="N24" i="9"/>
  <c r="P24" i="9"/>
  <c r="L24" i="9"/>
  <c r="K24" i="9"/>
  <c r="I24" i="9"/>
  <c r="H24" i="9"/>
  <c r="J24" i="9"/>
  <c r="F24" i="9"/>
  <c r="E24" i="9"/>
  <c r="G24" i="9"/>
  <c r="C24" i="9"/>
  <c r="B24" i="9"/>
  <c r="D24" i="9"/>
  <c r="U23" i="9"/>
  <c r="U24" i="9"/>
  <c r="T23" i="9"/>
  <c r="S23" i="9"/>
  <c r="P23" i="9"/>
  <c r="M23" i="9"/>
  <c r="J23" i="9"/>
  <c r="G23" i="9"/>
  <c r="D23" i="9"/>
  <c r="U22" i="9"/>
  <c r="V22" i="9"/>
  <c r="T22" i="9"/>
  <c r="S22" i="9"/>
  <c r="P22" i="9"/>
  <c r="M22" i="9"/>
  <c r="J22" i="9"/>
  <c r="G22" i="9"/>
  <c r="D22" i="9"/>
  <c r="R19" i="9"/>
  <c r="Q19" i="9"/>
  <c r="O19" i="9"/>
  <c r="P19" i="9"/>
  <c r="N19" i="9"/>
  <c r="L19" i="9"/>
  <c r="K19" i="9"/>
  <c r="M19" i="9"/>
  <c r="I19" i="9"/>
  <c r="H19" i="9"/>
  <c r="F19" i="9"/>
  <c r="U25" i="9"/>
  <c r="E19" i="9"/>
  <c r="C19" i="9"/>
  <c r="B19" i="9"/>
  <c r="R18" i="9"/>
  <c r="Q18" i="9"/>
  <c r="S18" i="9"/>
  <c r="O18" i="9"/>
  <c r="N18" i="9"/>
  <c r="P18" i="9"/>
  <c r="L18" i="9"/>
  <c r="K18" i="9"/>
  <c r="I18" i="9"/>
  <c r="J18" i="9"/>
  <c r="H18" i="9"/>
  <c r="F18" i="9"/>
  <c r="E18" i="9"/>
  <c r="G18" i="9"/>
  <c r="C18" i="9"/>
  <c r="B18" i="9"/>
  <c r="S17" i="9"/>
  <c r="P17" i="9"/>
  <c r="M17" i="9"/>
  <c r="J17" i="9"/>
  <c r="G17" i="9"/>
  <c r="D17" i="9"/>
  <c r="S16" i="9"/>
  <c r="P16" i="9"/>
  <c r="M16" i="9"/>
  <c r="J16" i="9"/>
  <c r="D16" i="9"/>
  <c r="R11" i="9"/>
  <c r="Q11" i="9"/>
  <c r="S11" i="9"/>
  <c r="O11" i="9"/>
  <c r="N11" i="9"/>
  <c r="P11" i="9"/>
  <c r="L11" i="9"/>
  <c r="M11" i="9"/>
  <c r="K11" i="9"/>
  <c r="I11" i="9"/>
  <c r="H11" i="9"/>
  <c r="J11" i="9"/>
  <c r="F11" i="9"/>
  <c r="E11" i="9"/>
  <c r="G11" i="9"/>
  <c r="C11" i="9"/>
  <c r="B11" i="9"/>
  <c r="D11" i="9"/>
  <c r="R5" i="9"/>
  <c r="S5" i="9"/>
  <c r="Q5" i="9"/>
  <c r="O5" i="9"/>
  <c r="N5" i="9"/>
  <c r="P5" i="9"/>
  <c r="L5" i="9"/>
  <c r="K5" i="9"/>
  <c r="M5" i="9"/>
  <c r="I5" i="9"/>
  <c r="H5" i="9"/>
  <c r="J5" i="9"/>
  <c r="F5" i="9"/>
  <c r="G5" i="9"/>
  <c r="E5" i="9"/>
  <c r="C5" i="9"/>
  <c r="D10" i="9"/>
  <c r="D9" i="9"/>
  <c r="G10" i="9"/>
  <c r="G9" i="9"/>
  <c r="J10" i="9"/>
  <c r="J9" i="9"/>
  <c r="M10" i="9"/>
  <c r="M9" i="9"/>
  <c r="P10" i="9"/>
  <c r="P9" i="9"/>
  <c r="S10" i="9"/>
  <c r="S9" i="9"/>
  <c r="S4" i="9"/>
  <c r="S3" i="9"/>
  <c r="P4" i="9"/>
  <c r="P3" i="9"/>
  <c r="M4" i="9"/>
  <c r="M3" i="9"/>
  <c r="J4" i="9"/>
  <c r="J3" i="9"/>
  <c r="G4" i="9"/>
  <c r="G3" i="9"/>
  <c r="M18" i="9"/>
  <c r="D18" i="9"/>
  <c r="J19" i="9"/>
  <c r="M24" i="9"/>
  <c r="S19" i="9"/>
  <c r="D19" i="9"/>
  <c r="T24" i="9"/>
  <c r="V24" i="9"/>
  <c r="T25" i="9"/>
  <c r="B5" i="9"/>
  <c r="D5" i="9"/>
  <c r="C12" i="9"/>
  <c r="R6" i="9"/>
  <c r="O6" i="9"/>
  <c r="U12" i="9"/>
  <c r="L6" i="9"/>
  <c r="I6" i="9"/>
  <c r="J6" i="9"/>
  <c r="F6" i="9"/>
  <c r="C6" i="9"/>
  <c r="R12" i="9"/>
  <c r="Q12" i="9"/>
  <c r="O12" i="9"/>
  <c r="N12" i="9"/>
  <c r="P12" i="9"/>
  <c r="L12" i="9"/>
  <c r="K12" i="9"/>
  <c r="M12" i="9"/>
  <c r="I12" i="9"/>
  <c r="J12" i="9"/>
  <c r="H12" i="9"/>
  <c r="F12" i="9"/>
  <c r="E12" i="9"/>
  <c r="G12" i="9"/>
  <c r="B12" i="9"/>
  <c r="D12" i="9"/>
  <c r="Q6" i="9"/>
  <c r="S6" i="9"/>
  <c r="N6" i="9"/>
  <c r="P6" i="9"/>
  <c r="K6" i="9"/>
  <c r="M6" i="9"/>
  <c r="H6" i="9"/>
  <c r="B6" i="9"/>
  <c r="T12" i="9"/>
  <c r="V12" i="9"/>
  <c r="E6" i="9"/>
  <c r="G6" i="9"/>
  <c r="U9" i="9"/>
  <c r="U10" i="9"/>
  <c r="U11" i="9"/>
  <c r="T10" i="9"/>
  <c r="T11" i="9"/>
  <c r="V11" i="9"/>
  <c r="T9" i="9"/>
  <c r="D4" i="9"/>
  <c r="D3" i="9"/>
  <c r="C15" i="8"/>
  <c r="C17" i="8"/>
  <c r="B15" i="8"/>
  <c r="B17" i="8"/>
  <c r="B18" i="8"/>
  <c r="D15" i="8"/>
  <c r="D17" i="8"/>
  <c r="J3" i="8"/>
  <c r="J4" i="8"/>
  <c r="G3" i="8"/>
  <c r="G4" i="8"/>
  <c r="I20" i="3"/>
  <c r="I21" i="3"/>
  <c r="C46" i="3"/>
  <c r="F7" i="13"/>
  <c r="K20" i="3"/>
  <c r="K21" i="3"/>
  <c r="D46" i="3"/>
  <c r="M20" i="3"/>
  <c r="M21" i="3"/>
  <c r="E46" i="3"/>
  <c r="J7" i="13"/>
  <c r="S20" i="3"/>
  <c r="S21" i="3"/>
  <c r="H46" i="3"/>
  <c r="U20" i="3"/>
  <c r="U21" i="3"/>
  <c r="I46" i="3"/>
  <c r="AA20" i="3"/>
  <c r="AA21" i="3"/>
  <c r="L46" i="3"/>
  <c r="AC20" i="3"/>
  <c r="AC21" i="3"/>
  <c r="M46" i="3"/>
  <c r="Z7" i="13"/>
  <c r="G20" i="3"/>
  <c r="G21" i="3"/>
  <c r="B46" i="3"/>
  <c r="D45" i="3"/>
  <c r="B14" i="1"/>
  <c r="G2" i="1"/>
  <c r="K31" i="3"/>
  <c r="I31" i="3"/>
  <c r="I19" i="3"/>
  <c r="K19" i="3"/>
  <c r="M19" i="3"/>
  <c r="O19" i="3"/>
  <c r="U19" i="3"/>
  <c r="W19" i="3"/>
  <c r="AC19" i="3"/>
  <c r="G19" i="3"/>
  <c r="AE18" i="3"/>
  <c r="AE17" i="3"/>
  <c r="F31" i="3"/>
  <c r="I37" i="3"/>
  <c r="I38" i="3"/>
  <c r="I39" i="3"/>
  <c r="I40" i="3"/>
  <c r="I41" i="3"/>
  <c r="C48" i="3"/>
  <c r="K37" i="3"/>
  <c r="K38" i="3"/>
  <c r="K39" i="3"/>
  <c r="K40" i="3"/>
  <c r="K41" i="3"/>
  <c r="D48" i="3"/>
  <c r="M37" i="3"/>
  <c r="M38" i="3"/>
  <c r="M39" i="3"/>
  <c r="M40" i="3"/>
  <c r="M41" i="3"/>
  <c r="E48" i="3"/>
  <c r="J4" i="13"/>
  <c r="O37" i="3"/>
  <c r="O38" i="3"/>
  <c r="O39" i="3"/>
  <c r="O40" i="3"/>
  <c r="O41" i="3"/>
  <c r="F48" i="3"/>
  <c r="F50" i="3"/>
  <c r="Q37" i="3"/>
  <c r="Q38" i="3"/>
  <c r="Q39" i="3"/>
  <c r="Q40" i="3"/>
  <c r="Q41" i="3"/>
  <c r="G48" i="3"/>
  <c r="S37" i="3"/>
  <c r="S38" i="3"/>
  <c r="S39" i="3"/>
  <c r="S40" i="3"/>
  <c r="S41" i="3"/>
  <c r="H48" i="3"/>
  <c r="U37" i="3"/>
  <c r="U38" i="3"/>
  <c r="U39" i="3"/>
  <c r="U40" i="3"/>
  <c r="U41" i="3"/>
  <c r="I48" i="3"/>
  <c r="W37" i="3"/>
  <c r="W38" i="3"/>
  <c r="W39" i="3"/>
  <c r="W40" i="3"/>
  <c r="W41" i="3"/>
  <c r="J48" i="3"/>
  <c r="Y41" i="3"/>
  <c r="K48" i="3"/>
  <c r="AA41" i="3"/>
  <c r="L48" i="3"/>
  <c r="AC41" i="3"/>
  <c r="M48" i="3"/>
  <c r="G37" i="3"/>
  <c r="G38" i="3"/>
  <c r="AE38" i="3"/>
  <c r="O13" i="5"/>
  <c r="O12" i="5"/>
  <c r="O6" i="5"/>
  <c r="O5" i="5"/>
  <c r="O4" i="5"/>
  <c r="O3" i="5"/>
  <c r="E7" i="5"/>
  <c r="F7" i="5"/>
  <c r="G7" i="5"/>
  <c r="H7" i="5"/>
  <c r="I7" i="5"/>
  <c r="J7" i="5"/>
  <c r="K7" i="5"/>
  <c r="E8" i="5"/>
  <c r="F8" i="5"/>
  <c r="G8" i="5"/>
  <c r="H8" i="5"/>
  <c r="I8" i="5"/>
  <c r="J8" i="5"/>
  <c r="K8" i="5"/>
  <c r="D8" i="5"/>
  <c r="O8" i="5"/>
  <c r="D7" i="5"/>
  <c r="O7" i="5"/>
  <c r="O33" i="3"/>
  <c r="F47" i="3"/>
  <c r="AC32" i="3"/>
  <c r="AD32" i="3"/>
  <c r="AA32" i="3"/>
  <c r="AB32" i="3"/>
  <c r="Y32" i="3"/>
  <c r="Z32" i="3"/>
  <c r="W32" i="3"/>
  <c r="X32" i="3"/>
  <c r="U32" i="3"/>
  <c r="V32" i="3"/>
  <c r="S32" i="3"/>
  <c r="T32" i="3"/>
  <c r="Q32" i="3"/>
  <c r="R32" i="3"/>
  <c r="O32" i="3"/>
  <c r="P32" i="3"/>
  <c r="M32" i="3"/>
  <c r="N32" i="3"/>
  <c r="K32" i="3"/>
  <c r="L32" i="3"/>
  <c r="G32" i="3"/>
  <c r="H32" i="3"/>
  <c r="M49" i="3"/>
  <c r="Z6" i="13"/>
  <c r="AA27" i="3"/>
  <c r="L49" i="3"/>
  <c r="X6" i="13"/>
  <c r="Y27" i="3"/>
  <c r="K49" i="3"/>
  <c r="V6" i="13"/>
  <c r="W27" i="3"/>
  <c r="J49" i="3"/>
  <c r="T6" i="13"/>
  <c r="U27" i="3"/>
  <c r="I49" i="3"/>
  <c r="R6" i="13"/>
  <c r="S27" i="3"/>
  <c r="H49" i="3"/>
  <c r="P6" i="13"/>
  <c r="Q27" i="3"/>
  <c r="G49" i="3"/>
  <c r="N6" i="13"/>
  <c r="O27" i="3"/>
  <c r="F49" i="3"/>
  <c r="L6" i="13"/>
  <c r="M27" i="3"/>
  <c r="E49" i="3"/>
  <c r="J6" i="13"/>
  <c r="K27" i="3"/>
  <c r="D49" i="3"/>
  <c r="H6" i="13"/>
  <c r="I27" i="3"/>
  <c r="C49" i="3"/>
  <c r="F6" i="13"/>
  <c r="G27" i="3"/>
  <c r="U26" i="3"/>
  <c r="Q26" i="3"/>
  <c r="O26" i="3"/>
  <c r="M26" i="3"/>
  <c r="J18" i="13"/>
  <c r="K26" i="3"/>
  <c r="H18" i="13"/>
  <c r="I26" i="3"/>
  <c r="G26" i="3"/>
  <c r="D18" i="13"/>
  <c r="AB18" i="13" s="1"/>
  <c r="AE25" i="3"/>
  <c r="AE26" i="3"/>
  <c r="AE14" i="3"/>
  <c r="AE3" i="3"/>
  <c r="AE8" i="3"/>
  <c r="W33" i="3"/>
  <c r="X33" i="3"/>
  <c r="Y33" i="3"/>
  <c r="K47" i="3"/>
  <c r="V4" i="13"/>
  <c r="V9" i="13"/>
  <c r="V31" i="13"/>
  <c r="M33" i="3"/>
  <c r="E47" i="3"/>
  <c r="S33" i="3"/>
  <c r="T33" i="3"/>
  <c r="Q33" i="3"/>
  <c r="R33" i="3"/>
  <c r="G47" i="3"/>
  <c r="AA33" i="3"/>
  <c r="L47" i="3"/>
  <c r="X4" i="13"/>
  <c r="AC33" i="3"/>
  <c r="M47" i="3"/>
  <c r="G33" i="3"/>
  <c r="U33" i="3"/>
  <c r="B49" i="3"/>
  <c r="C14" i="1"/>
  <c r="C16" i="1"/>
  <c r="J5" i="8"/>
  <c r="J30" i="13"/>
  <c r="F30" i="13"/>
  <c r="F18" i="13"/>
  <c r="I33" i="3"/>
  <c r="P33" i="3"/>
  <c r="H7" i="13"/>
  <c r="AE16" i="3"/>
  <c r="Y19" i="3"/>
  <c r="Q19" i="3"/>
  <c r="Q20" i="3"/>
  <c r="Q21" i="3"/>
  <c r="G46" i="3"/>
  <c r="N7" i="13"/>
  <c r="B47" i="3"/>
  <c r="AB49" i="13"/>
  <c r="AE9" i="3"/>
  <c r="AE10" i="3"/>
  <c r="M50" i="3"/>
  <c r="T7" i="13"/>
  <c r="K31" i="13"/>
  <c r="K60" i="13"/>
  <c r="D14" i="1"/>
  <c r="D16" i="1"/>
  <c r="P30" i="13"/>
  <c r="V30" i="13"/>
  <c r="H30" i="13"/>
  <c r="X30" i="13"/>
  <c r="E27" i="15"/>
  <c r="G3" i="1"/>
  <c r="G4" i="1"/>
  <c r="J33" i="3"/>
  <c r="C47" i="3"/>
  <c r="C50" i="3"/>
  <c r="B16" i="1"/>
  <c r="B17" i="1"/>
  <c r="F2" i="1"/>
  <c r="F3" i="1"/>
  <c r="F4" i="1"/>
  <c r="F5" i="1"/>
  <c r="F6" i="1"/>
  <c r="F7" i="1"/>
  <c r="F8" i="1"/>
  <c r="F9" i="1"/>
  <c r="F10" i="1"/>
  <c r="F11" i="1"/>
  <c r="F12" i="1"/>
  <c r="F13" i="1"/>
  <c r="J2" i="1"/>
  <c r="K2" i="1"/>
  <c r="L2" i="1"/>
  <c r="G5" i="8"/>
  <c r="D7" i="13"/>
  <c r="N45" i="3"/>
  <c r="P7" i="13"/>
  <c r="G39" i="3"/>
  <c r="AE39" i="3"/>
  <c r="N46" i="3"/>
  <c r="E50" i="3"/>
  <c r="V7" i="13"/>
  <c r="AE27" i="3"/>
  <c r="V33" i="3"/>
  <c r="I47" i="3"/>
  <c r="I32" i="3"/>
  <c r="J32" i="3"/>
  <c r="AE31" i="3"/>
  <c r="AE32" i="3"/>
  <c r="L7" i="13"/>
  <c r="L4" i="13"/>
  <c r="L9" i="13"/>
  <c r="L31" i="13"/>
  <c r="V10" i="9"/>
  <c r="V9" i="9"/>
  <c r="D6" i="9"/>
  <c r="V23" i="9"/>
  <c r="F4" i="13"/>
  <c r="F9" i="13"/>
  <c r="F31" i="13"/>
  <c r="G40" i="3"/>
  <c r="AE40" i="3"/>
  <c r="G6" i="8"/>
  <c r="J3" i="1"/>
  <c r="G7" i="8"/>
  <c r="L10" i="13"/>
  <c r="L13" i="13"/>
  <c r="L60" i="13" s="1"/>
  <c r="V17" i="13"/>
  <c r="V33" i="13" s="1"/>
  <c r="V50" i="13" s="1"/>
  <c r="V51" i="13" s="1"/>
  <c r="H10" i="13"/>
  <c r="H13" i="13"/>
  <c r="J17" i="13"/>
  <c r="J33" i="13" s="1"/>
  <c r="J50" i="13" s="1"/>
  <c r="J51" i="13" s="1"/>
  <c r="J59" i="13" s="1"/>
  <c r="J10" i="13"/>
  <c r="J13" i="13"/>
  <c r="L17" i="13"/>
  <c r="L33" i="13" s="1"/>
  <c r="L50" i="13" s="1"/>
  <c r="L51" i="13" s="1"/>
  <c r="F10" i="13"/>
  <c r="F13" i="13" s="1"/>
  <c r="D30" i="13"/>
  <c r="AB30" i="13" s="1"/>
  <c r="H17" i="13"/>
  <c r="N30" i="13"/>
  <c r="D10" i="13"/>
  <c r="D13" i="13" s="1"/>
  <c r="N17" i="13"/>
  <c r="N33" i="13" s="1"/>
  <c r="R17" i="13"/>
  <c r="R33" i="13"/>
  <c r="R50" i="13" s="1"/>
  <c r="R51" i="13" s="1"/>
  <c r="F17" i="13"/>
  <c r="V10" i="13"/>
  <c r="V13" i="13"/>
  <c r="V60" i="13" s="1"/>
  <c r="D17" i="13"/>
  <c r="D33" i="13" s="1"/>
  <c r="AB33" i="13" s="1"/>
  <c r="T10" i="13"/>
  <c r="T13" i="13" s="1"/>
  <c r="T60" i="13" s="1"/>
  <c r="R10" i="13"/>
  <c r="R13" i="13"/>
  <c r="R60" i="13" s="1"/>
  <c r="F33" i="13"/>
  <c r="X17" i="13"/>
  <c r="X33" i="13"/>
  <c r="T17" i="13"/>
  <c r="T33" i="13" s="1"/>
  <c r="P17" i="13"/>
  <c r="P33" i="13" s="1"/>
  <c r="P10" i="13"/>
  <c r="P13" i="13"/>
  <c r="P60" i="13" s="1"/>
  <c r="G5" i="1"/>
  <c r="H4" i="1"/>
  <c r="J9" i="13"/>
  <c r="J60" i="13"/>
  <c r="Z17" i="13"/>
  <c r="Z33" i="13" s="1"/>
  <c r="G41" i="3"/>
  <c r="R4" i="13"/>
  <c r="I50" i="3"/>
  <c r="G8" i="8"/>
  <c r="H3" i="1"/>
  <c r="I3" i="1"/>
  <c r="J6" i="8"/>
  <c r="H33" i="3"/>
  <c r="G50" i="3"/>
  <c r="Z4" i="13"/>
  <c r="Z9" i="13"/>
  <c r="H2" i="1"/>
  <c r="I2" i="1"/>
  <c r="K3" i="1"/>
  <c r="L3" i="1"/>
  <c r="J4" i="1"/>
  <c r="N49" i="3"/>
  <c r="D6" i="13"/>
  <c r="AB6" i="13"/>
  <c r="X7" i="13"/>
  <c r="X9" i="13"/>
  <c r="L50" i="3"/>
  <c r="N33" i="3"/>
  <c r="F3" i="8"/>
  <c r="S12" i="9"/>
  <c r="R7" i="13"/>
  <c r="AB7" i="13"/>
  <c r="H47" i="3"/>
  <c r="J47" i="3"/>
  <c r="V25" i="9"/>
  <c r="N4" i="13"/>
  <c r="N9" i="13"/>
  <c r="K33" i="3"/>
  <c r="G19" i="9"/>
  <c r="K50" i="3"/>
  <c r="AE15" i="3"/>
  <c r="AE19" i="3"/>
  <c r="X31" i="13"/>
  <c r="B48" i="3"/>
  <c r="AE41" i="3"/>
  <c r="L33" i="3"/>
  <c r="AE33" i="3"/>
  <c r="D47" i="3"/>
  <c r="J50" i="3"/>
  <c r="T4" i="13"/>
  <c r="T9" i="13"/>
  <c r="J7" i="8"/>
  <c r="AE20" i="3"/>
  <c r="AE21" i="3"/>
  <c r="N31" i="13"/>
  <c r="P4" i="13"/>
  <c r="P9" i="13"/>
  <c r="H50" i="3"/>
  <c r="Z31" i="13"/>
  <c r="G9" i="8"/>
  <c r="J31" i="13"/>
  <c r="Z10" i="13"/>
  <c r="Z13" i="13"/>
  <c r="Z60" i="13"/>
  <c r="AB17" i="13"/>
  <c r="K3" i="8"/>
  <c r="L3" i="8"/>
  <c r="F4" i="8"/>
  <c r="H3" i="8"/>
  <c r="I3" i="8"/>
  <c r="K4" i="1"/>
  <c r="L4" i="1"/>
  <c r="J5" i="1"/>
  <c r="R9" i="13"/>
  <c r="I4" i="1"/>
  <c r="N10" i="13"/>
  <c r="N13" i="13" s="1"/>
  <c r="N60" i="13" s="1"/>
  <c r="H5" i="1"/>
  <c r="I5" i="1"/>
  <c r="G6" i="1"/>
  <c r="H4" i="8"/>
  <c r="I4" i="8"/>
  <c r="F5" i="8"/>
  <c r="K4" i="8"/>
  <c r="L4" i="8"/>
  <c r="K5" i="1"/>
  <c r="L5" i="1"/>
  <c r="J6" i="1"/>
  <c r="J8" i="8"/>
  <c r="G7" i="1"/>
  <c r="H6" i="1"/>
  <c r="I6" i="1"/>
  <c r="R31" i="13"/>
  <c r="H4" i="13"/>
  <c r="H9" i="13"/>
  <c r="D50" i="3"/>
  <c r="N47" i="3"/>
  <c r="N48" i="3"/>
  <c r="B50" i="3"/>
  <c r="D4" i="13"/>
  <c r="G10" i="8"/>
  <c r="P31" i="13"/>
  <c r="X10" i="13"/>
  <c r="X13" i="13"/>
  <c r="X60" i="13" s="1"/>
  <c r="T31" i="13"/>
  <c r="AB4" i="13"/>
  <c r="D9" i="13"/>
  <c r="J9" i="8"/>
  <c r="H31" i="13"/>
  <c r="H33" i="13"/>
  <c r="H7" i="1"/>
  <c r="I7" i="1"/>
  <c r="G8" i="1"/>
  <c r="G11" i="8"/>
  <c r="H5" i="8"/>
  <c r="I5" i="8"/>
  <c r="F6" i="8"/>
  <c r="K5" i="8"/>
  <c r="L5" i="8"/>
  <c r="N50" i="3"/>
  <c r="J7" i="1"/>
  <c r="K6" i="1"/>
  <c r="L6" i="1"/>
  <c r="G9" i="1"/>
  <c r="H8" i="1"/>
  <c r="I8" i="1"/>
  <c r="D31" i="13"/>
  <c r="AB9" i="13"/>
  <c r="J8" i="1"/>
  <c r="K7" i="1"/>
  <c r="L7" i="1"/>
  <c r="F7" i="8"/>
  <c r="H6" i="8"/>
  <c r="I6" i="8"/>
  <c r="K6" i="8"/>
  <c r="L6" i="8"/>
  <c r="G12" i="8"/>
  <c r="J10" i="8"/>
  <c r="K8" i="1"/>
  <c r="L8" i="1"/>
  <c r="J9" i="1"/>
  <c r="AB31" i="13"/>
  <c r="J11" i="8"/>
  <c r="G13" i="8"/>
  <c r="F8" i="8"/>
  <c r="H7" i="8"/>
  <c r="I7" i="8"/>
  <c r="K7" i="8"/>
  <c r="L7" i="8"/>
  <c r="H9" i="1"/>
  <c r="I9" i="1"/>
  <c r="G10" i="1"/>
  <c r="G11" i="1"/>
  <c r="H10" i="1"/>
  <c r="I10" i="1"/>
  <c r="G14" i="8"/>
  <c r="F9" i="8"/>
  <c r="H8" i="8"/>
  <c r="I8" i="8"/>
  <c r="K8" i="8"/>
  <c r="L8" i="8"/>
  <c r="J10" i="1"/>
  <c r="K9" i="1"/>
  <c r="L9" i="1"/>
  <c r="J12" i="8"/>
  <c r="J11" i="1"/>
  <c r="K10" i="1"/>
  <c r="L10" i="1"/>
  <c r="J13" i="8"/>
  <c r="F10" i="8"/>
  <c r="H9" i="8"/>
  <c r="I9" i="8"/>
  <c r="K9" i="8"/>
  <c r="L9" i="8"/>
  <c r="G12" i="1"/>
  <c r="H11" i="1"/>
  <c r="I11" i="1"/>
  <c r="F11" i="8"/>
  <c r="H10" i="8"/>
  <c r="I10" i="8"/>
  <c r="K10" i="8"/>
  <c r="L10" i="8"/>
  <c r="H12" i="1"/>
  <c r="I12" i="1"/>
  <c r="G13" i="1"/>
  <c r="H13" i="1"/>
  <c r="I13" i="1"/>
  <c r="J14" i="8"/>
  <c r="J12" i="1"/>
  <c r="K11" i="1"/>
  <c r="L11" i="1"/>
  <c r="K12" i="1"/>
  <c r="L12" i="1"/>
  <c r="J13" i="1"/>
  <c r="K13" i="1"/>
  <c r="L13" i="1"/>
  <c r="F12" i="8"/>
  <c r="H11" i="8"/>
  <c r="I11" i="8"/>
  <c r="K11" i="8"/>
  <c r="L11" i="8"/>
  <c r="F13" i="8"/>
  <c r="H12" i="8"/>
  <c r="I12" i="8"/>
  <c r="K12" i="8"/>
  <c r="L12" i="8"/>
  <c r="F14" i="8"/>
  <c r="H13" i="8"/>
  <c r="I13" i="8"/>
  <c r="K13" i="8"/>
  <c r="L13" i="8"/>
  <c r="H14" i="8"/>
  <c r="I14" i="8"/>
  <c r="K14" i="8"/>
  <c r="L14" i="8"/>
  <c r="I17" i="6"/>
  <c r="E17" i="6"/>
  <c r="H17" i="6"/>
  <c r="F17" i="6"/>
  <c r="D17" i="6"/>
  <c r="N50" i="13" l="1"/>
  <c r="N51" i="13" s="1"/>
  <c r="H50" i="13"/>
  <c r="H51" i="13" s="1"/>
  <c r="AB10" i="13"/>
  <c r="P50" i="13"/>
  <c r="P51" i="13" s="1"/>
  <c r="P56" i="13" s="1"/>
  <c r="P57" i="13" s="1"/>
  <c r="H60" i="13"/>
  <c r="Z50" i="13"/>
  <c r="Z51" i="13" s="1"/>
  <c r="Z59" i="13"/>
  <c r="Z56" i="13"/>
  <c r="Z57" i="13" s="1"/>
  <c r="Z58" i="13"/>
  <c r="H56" i="13"/>
  <c r="H57" i="13" s="1"/>
  <c r="H58" i="13"/>
  <c r="H59" i="13"/>
  <c r="K59" i="13"/>
  <c r="K58" i="13"/>
  <c r="K56" i="13"/>
  <c r="K57" i="13" s="1"/>
  <c r="N58" i="13"/>
  <c r="N56" i="13"/>
  <c r="N57" i="13" s="1"/>
  <c r="N59" i="13"/>
  <c r="V56" i="13"/>
  <c r="V57" i="13" s="1"/>
  <c r="V58" i="13"/>
  <c r="V59" i="13"/>
  <c r="L59" i="13"/>
  <c r="L56" i="13"/>
  <c r="L57" i="13" s="1"/>
  <c r="L58" i="13"/>
  <c r="P59" i="13"/>
  <c r="R59" i="13"/>
  <c r="R56" i="13"/>
  <c r="R57" i="13" s="1"/>
  <c r="R58" i="13"/>
  <c r="AB13" i="13"/>
  <c r="AB60" i="13" s="1"/>
  <c r="D50" i="13"/>
  <c r="D51" i="13" s="1"/>
  <c r="D60" i="13"/>
  <c r="F60" i="13"/>
  <c r="F50" i="13"/>
  <c r="F51" i="13" s="1"/>
  <c r="J56" i="13"/>
  <c r="J57" i="13" s="1"/>
  <c r="T50" i="13"/>
  <c r="T51" i="13" s="1"/>
  <c r="X50" i="13"/>
  <c r="X51" i="13" s="1"/>
  <c r="J58" i="13"/>
  <c r="J17" i="6"/>
  <c r="L17" i="6"/>
  <c r="K17" i="6"/>
  <c r="P58" i="13" l="1"/>
  <c r="AB50" i="13"/>
  <c r="AB51" i="13" s="1"/>
  <c r="D58" i="13"/>
  <c r="D59" i="13"/>
  <c r="D56" i="13"/>
  <c r="D57" i="13" s="1"/>
  <c r="AB58" i="13"/>
  <c r="AB59" i="13"/>
  <c r="AB56" i="13"/>
  <c r="AB57" i="13" s="1"/>
  <c r="T56" i="13"/>
  <c r="T57" i="13" s="1"/>
  <c r="T58" i="13"/>
  <c r="T59" i="13"/>
  <c r="F58" i="13"/>
  <c r="F56" i="13"/>
  <c r="F57" i="13" s="1"/>
  <c r="F59" i="13"/>
  <c r="X59" i="13"/>
  <c r="X58" i="13"/>
  <c r="X56" i="13"/>
  <c r="X57" i="13" s="1"/>
  <c r="C18" i="6"/>
  <c r="C20" i="6" s="1"/>
  <c r="M17" i="6"/>
  <c r="D18" i="6" l="1"/>
  <c r="D20" i="6" s="1"/>
  <c r="N17" i="6"/>
  <c r="E18" i="6" l="1"/>
  <c r="E20" i="6" s="1"/>
  <c r="O17" i="6"/>
  <c r="F18" i="6" l="1"/>
  <c r="F20" i="6" s="1"/>
  <c r="P17" i="6"/>
  <c r="G18" i="6" l="1"/>
  <c r="G20" i="6" s="1"/>
  <c r="Q17" i="6"/>
  <c r="H18" i="6" l="1"/>
  <c r="H20" i="6" s="1"/>
  <c r="R17" i="6"/>
  <c r="I18" i="6" l="1"/>
  <c r="I20" i="6" s="1"/>
  <c r="S17" i="6"/>
  <c r="J18" i="6" l="1"/>
  <c r="J20" i="6" s="1"/>
  <c r="T17" i="6"/>
  <c r="U17" i="6"/>
  <c r="K18" i="6" l="1"/>
  <c r="K20" i="6" s="1"/>
  <c r="L18" i="6" l="1"/>
  <c r="L20" i="6" s="1"/>
  <c r="M18" i="6" l="1"/>
  <c r="M20" i="6" s="1"/>
  <c r="N18" i="6" l="1"/>
  <c r="N20" i="6" s="1"/>
  <c r="O18" i="6" l="1"/>
  <c r="O20" i="6" s="1"/>
  <c r="P18" i="6" l="1"/>
  <c r="P20" i="6" s="1"/>
  <c r="Q18" i="6" l="1"/>
  <c r="Q20" i="6" s="1"/>
  <c r="R18" i="6" l="1"/>
  <c r="R20" i="6" s="1"/>
  <c r="S18" i="6" l="1"/>
  <c r="S20" i="6" s="1"/>
  <c r="T18" i="6" l="1"/>
  <c r="T20" i="6" s="1"/>
  <c r="U18" i="6" l="1"/>
  <c r="U20" i="6" s="1"/>
  <c r="V18" i="6" l="1"/>
  <c r="V20" i="6" s="1"/>
  <c r="W18" i="6" l="1"/>
  <c r="W20" i="6" s="1"/>
  <c r="X18" i="6" l="1"/>
  <c r="X20" i="6" s="1"/>
  <c r="Y18" i="6" l="1"/>
  <c r="Y20" i="6" s="1"/>
  <c r="Z18" i="6" l="1"/>
  <c r="Z20" i="6" s="1"/>
  <c r="AA18" i="6" l="1"/>
  <c r="AA20" i="6" s="1"/>
  <c r="AB18" i="6" l="1"/>
  <c r="AB20" i="6" s="1"/>
  <c r="AC18" i="6" l="1"/>
  <c r="AC20" i="6" s="1"/>
  <c r="AD18" i="6" l="1"/>
  <c r="AD20" i="6" s="1"/>
  <c r="AE18" i="6" l="1"/>
  <c r="AE20" i="6" s="1"/>
  <c r="AF18" i="6" l="1"/>
  <c r="AF20" i="6" s="1"/>
  <c r="AG18" i="6" l="1"/>
  <c r="AG20" i="6" s="1"/>
  <c r="AH18" i="6" l="1"/>
  <c r="AH20" i="6" s="1"/>
  <c r="AI18" i="6" l="1"/>
  <c r="AI20" i="6" s="1"/>
  <c r="AJ18" i="6" l="1"/>
  <c r="AJ20" i="6" s="1"/>
  <c r="AK18" i="6" l="1"/>
  <c r="AK20" i="6" s="1"/>
  <c r="AL18" i="6" l="1"/>
  <c r="AL20" i="6" s="1"/>
  <c r="AM18" i="6" l="1"/>
  <c r="AM20" i="6" s="1"/>
  <c r="AN18" i="6" l="1"/>
  <c r="AN20" i="6" s="1"/>
  <c r="AO18" i="6" l="1"/>
  <c r="AO20" i="6" s="1"/>
  <c r="AP18" i="6" l="1"/>
  <c r="AP20" i="6" s="1"/>
  <c r="AQ18" i="6" l="1"/>
  <c r="AQ20" i="6" s="1"/>
  <c r="AR18" i="6" l="1"/>
  <c r="AR20" i="6" s="1"/>
  <c r="AS18" i="6" l="1"/>
  <c r="AS20" i="6" s="1"/>
  <c r="AT18" i="6" l="1"/>
  <c r="AT20" i="6" s="1"/>
  <c r="AU18" i="6" l="1"/>
  <c r="AU20" i="6" s="1"/>
  <c r="AV18" i="6" l="1"/>
  <c r="AV20" i="6" s="1"/>
  <c r="AW18" i="6" l="1"/>
  <c r="AW20" i="6" s="1"/>
  <c r="AX18" i="6" l="1"/>
  <c r="AX20" i="6" s="1"/>
  <c r="AY18" i="6" l="1"/>
  <c r="AY20" i="6" s="1"/>
  <c r="AZ18" i="6" l="1"/>
  <c r="AZ20" i="6" s="1"/>
  <c r="BA18" i="6" l="1"/>
  <c r="BA20" i="6" s="1"/>
  <c r="BB18" i="6" l="1"/>
  <c r="BB20" i="6" s="1"/>
  <c r="BC18" i="6" l="1"/>
  <c r="BC20" i="6" s="1"/>
  <c r="BD18" i="6" l="1"/>
  <c r="BD20" i="6" s="1"/>
  <c r="BE18" i="6" l="1"/>
  <c r="BE20" i="6" s="1"/>
</calcChain>
</file>

<file path=xl/sharedStrings.xml><?xml version="1.0" encoding="utf-8"?>
<sst xmlns="http://schemas.openxmlformats.org/spreadsheetml/2006/main" count="598" uniqueCount="295">
  <si>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</si>
  <si>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</si>
  <si>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</si>
  <si>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</si>
  <si>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</si>
  <si>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</si>
  <si>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</si>
  <si>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</si>
  <si>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</si>
  <si>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</si>
  <si>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序号</t>
  </si>
  <si>
    <t>项   目</t>
  </si>
  <si>
    <t>1月份</t>
    <phoneticPr fontId="2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</si>
  <si>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</si>
  <si>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</si>
  <si>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</si>
  <si>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</si>
  <si>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</si>
  <si>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</si>
  <si>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</si>
  <si>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</si>
  <si>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</si>
  <si>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</si>
  <si>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</si>
  <si>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  <phoneticPr fontId="2" type="noConversion"/>
  </si>
  <si>
    <t>费  用  说  明</t>
  </si>
  <si>
    <t>货品编码</t>
  </si>
  <si>
    <t>货品名称</t>
  </si>
  <si>
    <t>规格</t>
  </si>
  <si>
    <t>单位</t>
  </si>
  <si>
    <t>等级</t>
  </si>
  <si>
    <t>预估均价</t>
    <phoneticPr fontId="3" type="noConversion"/>
  </si>
  <si>
    <t>雅乐之舞</t>
  </si>
  <si>
    <t>盆</t>
  </si>
  <si>
    <t>8198</t>
  </si>
  <si>
    <t>金枝玉叶</t>
  </si>
  <si>
    <t>A120</t>
  </si>
  <si>
    <t>8216</t>
  </si>
  <si>
    <t>合计数量</t>
    <phoneticPr fontId="2" type="noConversion"/>
  </si>
  <si>
    <t>盆</t>
    <phoneticPr fontId="2" type="noConversion"/>
  </si>
  <si>
    <t>B</t>
    <phoneticPr fontId="2" type="noConversion"/>
  </si>
  <si>
    <t>线路</t>
    <phoneticPr fontId="1" type="noConversion"/>
  </si>
  <si>
    <t>笨鸟园艺</t>
    <phoneticPr fontId="1" type="noConversion"/>
  </si>
  <si>
    <t>名称</t>
    <phoneticPr fontId="1" type="noConversion"/>
  </si>
  <si>
    <t>1月份</t>
    <phoneticPr fontId="1" type="noConversion"/>
  </si>
  <si>
    <t>合计</t>
    <phoneticPr fontId="1" type="noConversion"/>
  </si>
  <si>
    <t>1月份</t>
  </si>
  <si>
    <t>收费价</t>
    <phoneticPr fontId="3" type="noConversion"/>
  </si>
  <si>
    <t>卉兴园艺</t>
    <phoneticPr fontId="1" type="noConversion"/>
  </si>
  <si>
    <t>A</t>
    <phoneticPr fontId="2" type="noConversion"/>
  </si>
  <si>
    <t>提成预估</t>
  </si>
  <si>
    <t>笨鸟常春藤</t>
    <phoneticPr fontId="1" type="noConversion"/>
  </si>
  <si>
    <t>C</t>
    <phoneticPr fontId="2" type="noConversion"/>
  </si>
  <si>
    <t>笨鸟园艺 常春藤加盟收入</t>
    <phoneticPr fontId="3" type="noConversion"/>
  </si>
  <si>
    <t>汽运物流服务收入</t>
    <phoneticPr fontId="3" type="noConversion"/>
  </si>
  <si>
    <t>A</t>
    <phoneticPr fontId="1" type="noConversion"/>
  </si>
  <si>
    <t>编制单位:盆栽加盟部                                         2017年          单位:元</t>
    <phoneticPr fontId="2" type="noConversion"/>
  </si>
  <si>
    <t>2016年度</t>
    <phoneticPr fontId="1" type="noConversion"/>
  </si>
  <si>
    <t>截止上月原计划（2017年）</t>
    <phoneticPr fontId="1" type="noConversion"/>
  </si>
  <si>
    <t>进度调整（2017年）</t>
    <phoneticPr fontId="1" type="noConversion"/>
  </si>
  <si>
    <t>滚动周年</t>
    <phoneticPr fontId="1" type="noConversion"/>
  </si>
  <si>
    <t>阶段目标</t>
    <phoneticPr fontId="1" type="noConversion"/>
  </si>
  <si>
    <t>差 额</t>
    <phoneticPr fontId="1" type="noConversion"/>
  </si>
  <si>
    <t>措施、方法、招数简述</t>
    <phoneticPr fontId="1" type="noConversion"/>
  </si>
  <si>
    <t>1月</t>
    <phoneticPr fontId="1" type="noConversion"/>
  </si>
  <si>
    <t>2016年2月--2017年1月</t>
    <phoneticPr fontId="1" type="noConversion"/>
  </si>
  <si>
    <t>2月</t>
    <phoneticPr fontId="1" type="noConversion"/>
  </si>
  <si>
    <t>2015年6月--2017年2月</t>
    <phoneticPr fontId="1" type="noConversion"/>
  </si>
  <si>
    <t>2016年4月--2017年3月</t>
    <phoneticPr fontId="1" type="noConversion"/>
  </si>
  <si>
    <t>2016年5月--2017年4月</t>
    <phoneticPr fontId="1" type="noConversion"/>
  </si>
  <si>
    <t>2016年6月--2017年5月</t>
    <phoneticPr fontId="1" type="noConversion"/>
  </si>
  <si>
    <t>2016年7月--2017年6月</t>
    <phoneticPr fontId="1" type="noConversion"/>
  </si>
  <si>
    <t>2016年8月--2017年7月</t>
    <phoneticPr fontId="1" type="noConversion"/>
  </si>
  <si>
    <t>2016年9月--2017年8月</t>
    <phoneticPr fontId="1" type="noConversion"/>
  </si>
  <si>
    <t>2016年10月--2017年9月</t>
    <phoneticPr fontId="1" type="noConversion"/>
  </si>
  <si>
    <t>2016年11月--2017年10月</t>
    <phoneticPr fontId="1" type="noConversion"/>
  </si>
  <si>
    <t>2016年12月--2017年11月</t>
    <phoneticPr fontId="1" type="noConversion"/>
  </si>
  <si>
    <t>2016年1月--2017年12月</t>
    <phoneticPr fontId="1" type="noConversion"/>
  </si>
  <si>
    <t>合计</t>
    <phoneticPr fontId="1" type="noConversion"/>
  </si>
  <si>
    <t>2017目标</t>
    <phoneticPr fontId="1" type="noConversion"/>
  </si>
  <si>
    <t>差额</t>
    <phoneticPr fontId="1" type="noConversion"/>
  </si>
  <si>
    <t>每月额度</t>
    <phoneticPr fontId="1" type="noConversion"/>
  </si>
  <si>
    <t>灰底的为已经过去的，填实际数据</t>
    <phoneticPr fontId="6" type="noConversion"/>
  </si>
  <si>
    <t>绿底的为要自己填的或要进行调整的</t>
    <phoneticPr fontId="6" type="noConversion"/>
  </si>
  <si>
    <t>黄底的为目标或与目标的差额</t>
    <phoneticPr fontId="6" type="noConversion"/>
  </si>
  <si>
    <t>白底的为计算后得出的数值</t>
    <phoneticPr fontId="6" type="noConversion"/>
  </si>
  <si>
    <t>公式的不用动</t>
    <phoneticPr fontId="6" type="noConversion"/>
  </si>
  <si>
    <t>按2017年度原计划</t>
    <phoneticPr fontId="1" type="noConversion"/>
  </si>
  <si>
    <t>2017年度进度调整后</t>
    <phoneticPr fontId="1" type="noConversion"/>
  </si>
  <si>
    <t>合计数量</t>
    <phoneticPr fontId="1" type="noConversion"/>
  </si>
  <si>
    <t>提成预估</t>
    <phoneticPr fontId="1" type="noConversion"/>
  </si>
  <si>
    <t>昆明-漳州、上海、成都、郑州</t>
    <phoneticPr fontId="1" type="noConversion"/>
  </si>
  <si>
    <t>SP150</t>
    <phoneticPr fontId="2" type="noConversion"/>
  </si>
  <si>
    <t>长寿花种条销售提成</t>
    <phoneticPr fontId="3" type="noConversion"/>
  </si>
  <si>
    <t>长寿花种条销售</t>
    <phoneticPr fontId="1" type="noConversion"/>
  </si>
  <si>
    <t>种条销售提成</t>
    <phoneticPr fontId="1" type="noConversion"/>
  </si>
  <si>
    <t>2月份</t>
    <phoneticPr fontId="7" type="noConversion"/>
  </si>
  <si>
    <t>产品</t>
    <phoneticPr fontId="7" type="noConversion"/>
  </si>
  <si>
    <t>均价</t>
    <phoneticPr fontId="7" type="noConversion"/>
  </si>
  <si>
    <t>合计</t>
    <phoneticPr fontId="7" type="noConversion"/>
  </si>
  <si>
    <t>卉兴园艺2016年销售情况</t>
    <phoneticPr fontId="7" type="noConversion"/>
  </si>
  <si>
    <t>笨鸟园艺2016年销售情况</t>
    <phoneticPr fontId="7" type="noConversion"/>
  </si>
  <si>
    <t>销量</t>
    <phoneticPr fontId="7" type="noConversion"/>
  </si>
  <si>
    <t>常春藤</t>
    <phoneticPr fontId="7" type="noConversion"/>
  </si>
  <si>
    <t>盆栽销售提成</t>
    <phoneticPr fontId="3" type="noConversion"/>
  </si>
  <si>
    <t>预估单价</t>
    <phoneticPr fontId="3" type="noConversion"/>
  </si>
  <si>
    <t>加盟部预估提成</t>
    <phoneticPr fontId="1" type="noConversion"/>
  </si>
  <si>
    <t>加盟部预计销售额比</t>
    <phoneticPr fontId="1" type="noConversion"/>
  </si>
  <si>
    <t>加盟部预计销量比</t>
    <phoneticPr fontId="1" type="noConversion"/>
  </si>
  <si>
    <t>盆栽销售提成</t>
    <phoneticPr fontId="1" type="noConversion"/>
  </si>
  <si>
    <t>其它现金收支</t>
    <phoneticPr fontId="9" type="noConversion"/>
  </si>
  <si>
    <t>入股</t>
    <phoneticPr fontId="9" type="noConversion"/>
  </si>
  <si>
    <t>捐赠</t>
    <phoneticPr fontId="9" type="noConversion"/>
  </si>
  <si>
    <t>现金还出</t>
    <phoneticPr fontId="9" type="noConversion"/>
  </si>
  <si>
    <t>现金借入</t>
    <phoneticPr fontId="9" type="noConversion"/>
  </si>
  <si>
    <t>现金还回</t>
    <phoneticPr fontId="9" type="noConversion"/>
  </si>
  <si>
    <t>现金借出</t>
    <phoneticPr fontId="9" type="noConversion"/>
  </si>
  <si>
    <t>退还订金</t>
    <phoneticPr fontId="9" type="noConversion"/>
  </si>
  <si>
    <t>收取订金</t>
    <phoneticPr fontId="9" type="noConversion"/>
  </si>
  <si>
    <t>固定资产投资</t>
    <phoneticPr fontId="9" type="noConversion"/>
  </si>
  <si>
    <t>希望基金</t>
    <phoneticPr fontId="9" type="noConversion"/>
  </si>
  <si>
    <t>所得税</t>
    <phoneticPr fontId="9" type="noConversion"/>
  </si>
  <si>
    <t>折旧</t>
    <phoneticPr fontId="9" type="noConversion"/>
  </si>
  <si>
    <t>收支差</t>
    <phoneticPr fontId="9" type="noConversion"/>
  </si>
  <si>
    <t>月 份</t>
    <phoneticPr fontId="9" type="noConversion"/>
  </si>
  <si>
    <t>盆栽体系预估销售额</t>
    <phoneticPr fontId="1" type="noConversion"/>
  </si>
  <si>
    <t>盆栽体系预估销量</t>
    <phoneticPr fontId="1" type="noConversion"/>
  </si>
  <si>
    <t>汽运提点</t>
    <phoneticPr fontId="1" type="noConversion"/>
  </si>
  <si>
    <t>SP110</t>
    <phoneticPr fontId="1" type="noConversion"/>
  </si>
  <si>
    <t>红心莲</t>
    <phoneticPr fontId="1" type="noConversion"/>
  </si>
  <si>
    <t>A100</t>
    <phoneticPr fontId="1" type="noConversion"/>
  </si>
  <si>
    <t>卉兴园艺代销收入</t>
    <phoneticPr fontId="3" type="noConversion"/>
  </si>
  <si>
    <t>预估销售额</t>
    <phoneticPr fontId="1" type="noConversion"/>
  </si>
  <si>
    <t>月份</t>
    <phoneticPr fontId="13" type="noConversion"/>
  </si>
  <si>
    <t>累计折旧</t>
    <phoneticPr fontId="17" type="noConversion"/>
  </si>
  <si>
    <t>昆缤项目收入、支出、利润报表（收付) 预估计划</t>
    <phoneticPr fontId="1" type="noConversion"/>
  </si>
  <si>
    <r>
      <t>盆栽加盟部2017年收入</t>
    </r>
    <r>
      <rPr>
        <sz val="11"/>
        <color indexed="8"/>
        <rFont val="宋体"/>
        <family val="3"/>
        <charset val="134"/>
      </rPr>
      <t xml:space="preserve">           </t>
    </r>
    <r>
      <rPr>
        <sz val="11"/>
        <color theme="1"/>
        <rFont val="宋体"/>
        <family val="3"/>
        <charset val="134"/>
        <scheme val="minor"/>
      </rPr>
      <t>预估合计</t>
    </r>
    <phoneticPr fontId="5" type="noConversion"/>
  </si>
  <si>
    <t>销售数量</t>
    <phoneticPr fontId="21" type="noConversion"/>
  </si>
  <si>
    <t>销售金额</t>
    <phoneticPr fontId="21" type="noConversion"/>
  </si>
  <si>
    <t>收入</t>
    <phoneticPr fontId="21" type="noConversion"/>
  </si>
  <si>
    <t>均价</t>
    <phoneticPr fontId="21" type="noConversion"/>
  </si>
  <si>
    <t>卉兴园艺16、17年实际对比</t>
    <phoneticPr fontId="21" type="noConversion"/>
  </si>
  <si>
    <t>差额</t>
    <phoneticPr fontId="21" type="noConversion"/>
  </si>
  <si>
    <t>笨鸟园艺16、17年实际对比</t>
    <phoneticPr fontId="21" type="noConversion"/>
  </si>
  <si>
    <t>时间</t>
    <phoneticPr fontId="21" type="noConversion"/>
  </si>
  <si>
    <t>2016汇总</t>
    <phoneticPr fontId="21" type="noConversion"/>
  </si>
  <si>
    <t>2017汇总</t>
    <phoneticPr fontId="21" type="noConversion"/>
  </si>
  <si>
    <t>2017年关键指标（盆栽自销提成）</t>
    <phoneticPr fontId="13" type="noConversion"/>
  </si>
  <si>
    <t>1月份计划</t>
    <phoneticPr fontId="2" type="noConversion"/>
  </si>
  <si>
    <t>产品货币收入</t>
    <phoneticPr fontId="1" type="noConversion"/>
  </si>
  <si>
    <t>内部购销收入</t>
    <phoneticPr fontId="1" type="noConversion"/>
  </si>
  <si>
    <t>内部收费收入</t>
    <phoneticPr fontId="1" type="noConversion"/>
  </si>
  <si>
    <t>加盟管理费收入</t>
    <phoneticPr fontId="1" type="noConversion"/>
  </si>
  <si>
    <t>其他收入</t>
    <phoneticPr fontId="1" type="noConversion"/>
  </si>
  <si>
    <t>收入合计</t>
    <phoneticPr fontId="1" type="noConversion"/>
  </si>
  <si>
    <t>工  资</t>
    <phoneticPr fontId="1" type="noConversion"/>
  </si>
  <si>
    <t>福利费</t>
    <phoneticPr fontId="1" type="noConversion"/>
  </si>
  <si>
    <t>社保费</t>
    <phoneticPr fontId="1" type="noConversion"/>
  </si>
  <si>
    <t>劳务费小计</t>
    <phoneticPr fontId="1" type="noConversion"/>
  </si>
  <si>
    <t>租 金</t>
    <phoneticPr fontId="1" type="noConversion"/>
  </si>
  <si>
    <t>通讯费</t>
    <phoneticPr fontId="1" type="noConversion"/>
  </si>
  <si>
    <t>汽车费</t>
    <phoneticPr fontId="1" type="noConversion"/>
  </si>
  <si>
    <t>差旅费</t>
    <phoneticPr fontId="1" type="noConversion"/>
  </si>
  <si>
    <t>运杂费</t>
    <phoneticPr fontId="1" type="noConversion"/>
  </si>
  <si>
    <t>水电费</t>
    <phoneticPr fontId="1" type="noConversion"/>
  </si>
  <si>
    <t>应酬费</t>
    <phoneticPr fontId="1" type="noConversion"/>
  </si>
  <si>
    <t>会议费</t>
    <phoneticPr fontId="1" type="noConversion"/>
  </si>
  <si>
    <t>资产租金</t>
    <phoneticPr fontId="1" type="noConversion"/>
  </si>
  <si>
    <t>修理费</t>
    <phoneticPr fontId="1" type="noConversion"/>
  </si>
  <si>
    <t>广告费</t>
    <phoneticPr fontId="1" type="noConversion"/>
  </si>
  <si>
    <t>包装费</t>
    <phoneticPr fontId="1" type="noConversion"/>
  </si>
  <si>
    <t>办公费</t>
    <phoneticPr fontId="1" type="noConversion"/>
  </si>
  <si>
    <t>税、费</t>
    <phoneticPr fontId="1" type="noConversion"/>
  </si>
  <si>
    <t>内部利息</t>
    <phoneticPr fontId="1" type="noConversion"/>
  </si>
  <si>
    <t>后勤服务费用</t>
    <phoneticPr fontId="1" type="noConversion"/>
  </si>
  <si>
    <t>执委管理费</t>
    <phoneticPr fontId="1" type="noConversion"/>
  </si>
  <si>
    <t>其他</t>
    <phoneticPr fontId="1" type="noConversion"/>
  </si>
  <si>
    <t>费用小计</t>
    <phoneticPr fontId="1" type="noConversion"/>
  </si>
  <si>
    <t>用具</t>
    <phoneticPr fontId="1" type="noConversion"/>
  </si>
  <si>
    <t>生产材料</t>
    <phoneticPr fontId="1" type="noConversion"/>
  </si>
  <si>
    <t>盆器</t>
    <phoneticPr fontId="1" type="noConversion"/>
  </si>
  <si>
    <t xml:space="preserve">    基质</t>
    <phoneticPr fontId="1" type="noConversion"/>
  </si>
  <si>
    <t xml:space="preserve">    农药</t>
    <phoneticPr fontId="1" type="noConversion"/>
  </si>
  <si>
    <t xml:space="preserve">    化肥</t>
    <phoneticPr fontId="1" type="noConversion"/>
  </si>
  <si>
    <t>(消毒)油、煤</t>
    <phoneticPr fontId="1" type="noConversion"/>
  </si>
  <si>
    <t>辅助材料</t>
    <phoneticPr fontId="1" type="noConversion"/>
  </si>
  <si>
    <t>包装材料</t>
    <phoneticPr fontId="1" type="noConversion"/>
  </si>
  <si>
    <t>零星材料</t>
    <phoneticPr fontId="1" type="noConversion"/>
  </si>
  <si>
    <t>材料小计</t>
    <phoneticPr fontId="1" type="noConversion"/>
  </si>
  <si>
    <t>外购种（子苗球）</t>
    <phoneticPr fontId="1" type="noConversion"/>
  </si>
  <si>
    <t>外购母本</t>
    <phoneticPr fontId="1" type="noConversion"/>
  </si>
  <si>
    <t>外购货品</t>
    <phoneticPr fontId="1" type="noConversion"/>
  </si>
  <si>
    <t>专利费</t>
    <phoneticPr fontId="1" type="noConversion"/>
  </si>
  <si>
    <t>内部采购成本</t>
    <phoneticPr fontId="1" type="noConversion"/>
  </si>
  <si>
    <t>成品类小计</t>
    <phoneticPr fontId="1" type="noConversion"/>
  </si>
  <si>
    <t>总支出合计</t>
    <phoneticPr fontId="1" type="noConversion"/>
  </si>
  <si>
    <t>收支差</t>
    <phoneticPr fontId="1" type="noConversion"/>
  </si>
  <si>
    <t>借入（出）利润</t>
    <phoneticPr fontId="1" type="noConversion"/>
  </si>
  <si>
    <t>利  润</t>
    <phoneticPr fontId="1" type="noConversion"/>
  </si>
  <si>
    <t>结算销售额</t>
    <phoneticPr fontId="1" type="noConversion"/>
  </si>
  <si>
    <t>单位劳务费核算</t>
    <phoneticPr fontId="1" type="noConversion"/>
  </si>
  <si>
    <t>利润率</t>
    <phoneticPr fontId="1" type="noConversion"/>
  </si>
  <si>
    <t>现金</t>
    <phoneticPr fontId="1" type="noConversion"/>
  </si>
  <si>
    <t>劳务费/销售额</t>
    <phoneticPr fontId="1" type="noConversion"/>
  </si>
  <si>
    <t>2月份计划</t>
  </si>
  <si>
    <t>3月份计划</t>
  </si>
  <si>
    <t>4月份计划</t>
  </si>
  <si>
    <t>5月份计划</t>
  </si>
  <si>
    <t>6月份计划</t>
  </si>
  <si>
    <t>7月份计划</t>
  </si>
  <si>
    <t>8月份计划</t>
  </si>
  <si>
    <t>9月份计划</t>
  </si>
  <si>
    <t>10月份计划</t>
  </si>
  <si>
    <t>11月份计划</t>
  </si>
  <si>
    <t>12月份计划</t>
  </si>
  <si>
    <t>倒货费</t>
    <phoneticPr fontId="24" type="noConversion"/>
  </si>
  <si>
    <t>相机、电脑折旧</t>
    <phoneticPr fontId="24" type="noConversion"/>
  </si>
  <si>
    <t>收入的6%</t>
    <phoneticPr fontId="24" type="noConversion"/>
  </si>
  <si>
    <t>3月份实际</t>
    <phoneticPr fontId="24" type="noConversion"/>
  </si>
  <si>
    <t>4月份实际</t>
    <phoneticPr fontId="24" type="noConversion"/>
  </si>
  <si>
    <t>1月份实际</t>
    <phoneticPr fontId="24" type="noConversion"/>
  </si>
  <si>
    <t>2月份实际</t>
    <phoneticPr fontId="24" type="noConversion"/>
  </si>
  <si>
    <t>私车公用、11月份出国费用</t>
    <phoneticPr fontId="24" type="noConversion"/>
  </si>
  <si>
    <t>税费</t>
    <phoneticPr fontId="24" type="noConversion"/>
  </si>
  <si>
    <t>应酬费</t>
    <phoneticPr fontId="24" type="noConversion"/>
  </si>
  <si>
    <t>物流服务费</t>
    <phoneticPr fontId="24" type="noConversion"/>
  </si>
  <si>
    <t>加盟收入</t>
    <phoneticPr fontId="24" type="noConversion"/>
  </si>
  <si>
    <r>
      <t>A</t>
    </r>
    <r>
      <rPr>
        <sz val="10"/>
        <color indexed="8"/>
        <rFont val="宋体"/>
        <family val="3"/>
        <charset val="134"/>
      </rPr>
      <t>100</t>
    </r>
    <phoneticPr fontId="1" type="noConversion"/>
  </si>
  <si>
    <t>1月实际</t>
    <phoneticPr fontId="1" type="noConversion"/>
  </si>
  <si>
    <t>2月实际</t>
    <phoneticPr fontId="1" type="noConversion"/>
  </si>
  <si>
    <t>3月实际</t>
    <phoneticPr fontId="1" type="noConversion"/>
  </si>
  <si>
    <t>4月实际</t>
    <phoneticPr fontId="1" type="noConversion"/>
  </si>
  <si>
    <t>5月份实际</t>
    <phoneticPr fontId="24" type="noConversion"/>
  </si>
  <si>
    <t>5月实际</t>
    <phoneticPr fontId="1" type="noConversion"/>
  </si>
  <si>
    <t>6月份实际</t>
    <phoneticPr fontId="24" type="noConversion"/>
  </si>
  <si>
    <t>6月实际</t>
    <phoneticPr fontId="1" type="noConversion"/>
  </si>
  <si>
    <t>7月份实际</t>
    <phoneticPr fontId="24" type="noConversion"/>
  </si>
  <si>
    <t>7月实际</t>
    <phoneticPr fontId="1" type="noConversion"/>
  </si>
  <si>
    <t>8月份实际</t>
    <phoneticPr fontId="24" type="noConversion"/>
  </si>
  <si>
    <t>8月实际</t>
    <phoneticPr fontId="1" type="noConversion"/>
  </si>
  <si>
    <t>9月份实际</t>
    <phoneticPr fontId="24" type="noConversion"/>
  </si>
  <si>
    <t>9月实际</t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</si>
  <si>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0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</si>
  <si>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月实际</t>
    </r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</si>
  <si>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1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</si>
  <si>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1月实际</t>
    </r>
    <phoneticPr fontId="1" type="noConversion"/>
  </si>
  <si>
    <t>种条销售收入</t>
    <phoneticPr fontId="24" type="noConversion"/>
  </si>
  <si>
    <r>
      <t>1</t>
    </r>
    <r>
      <rPr>
        <b/>
        <sz val="9"/>
        <color indexed="10"/>
        <rFont val="宋体"/>
        <family val="3"/>
        <charset val="134"/>
      </rPr>
      <t>2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</si>
  <si>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t>12月实际</t>
    <phoneticPr fontId="1" type="noConversion"/>
  </si>
  <si>
    <t>增加人员</t>
    <phoneticPr fontId="30" type="noConversion"/>
  </si>
  <si>
    <t>曾车</t>
    <phoneticPr fontId="30" type="noConversion"/>
  </si>
  <si>
    <t>层板</t>
    <phoneticPr fontId="30" type="noConversion"/>
  </si>
  <si>
    <t>人</t>
    <phoneticPr fontId="30" type="noConversion"/>
  </si>
  <si>
    <t>张</t>
    <phoneticPr fontId="30" type="noConversion"/>
  </si>
  <si>
    <t>宿舍</t>
    <phoneticPr fontId="30" type="noConversion"/>
  </si>
  <si>
    <t>打印机</t>
    <phoneticPr fontId="30" type="noConversion"/>
  </si>
  <si>
    <t>打印纸</t>
    <phoneticPr fontId="30" type="noConversion"/>
  </si>
  <si>
    <t>办公桌（一套）</t>
    <phoneticPr fontId="30" type="noConversion"/>
  </si>
  <si>
    <t>590K</t>
    <phoneticPr fontId="30" type="noConversion"/>
  </si>
  <si>
    <t>项目</t>
    <phoneticPr fontId="30" type="noConversion"/>
  </si>
  <si>
    <t>数量</t>
    <phoneticPr fontId="30" type="noConversion"/>
  </si>
  <si>
    <t>单位/规格</t>
    <phoneticPr fontId="30" type="noConversion"/>
  </si>
  <si>
    <t>单价</t>
    <phoneticPr fontId="30" type="noConversion"/>
  </si>
  <si>
    <t>金额</t>
    <phoneticPr fontId="30" type="noConversion"/>
  </si>
  <si>
    <t>套</t>
    <phoneticPr fontId="30" type="noConversion"/>
  </si>
  <si>
    <t>L355</t>
    <phoneticPr fontId="30" type="noConversion"/>
  </si>
  <si>
    <t>A4纸</t>
    <phoneticPr fontId="30" type="noConversion"/>
  </si>
  <si>
    <t>四联单</t>
    <phoneticPr fontId="30" type="noConversion"/>
  </si>
  <si>
    <t>44号大棚</t>
    <phoneticPr fontId="30" type="noConversion"/>
  </si>
  <si>
    <t>平方</t>
    <phoneticPr fontId="30" type="noConversion"/>
  </si>
  <si>
    <t>定金</t>
    <phoneticPr fontId="30" type="noConversion"/>
  </si>
  <si>
    <t>隔热</t>
    <phoneticPr fontId="30" type="noConversion"/>
  </si>
  <si>
    <t>纸箱</t>
    <phoneticPr fontId="30" type="noConversion"/>
  </si>
  <si>
    <t>H27</t>
    <phoneticPr fontId="30" type="noConversion"/>
  </si>
  <si>
    <t>H30</t>
    <phoneticPr fontId="30" type="noConversion"/>
  </si>
  <si>
    <t>H35</t>
    <phoneticPr fontId="30" type="noConversion"/>
  </si>
  <si>
    <t>H40</t>
    <phoneticPr fontId="30" type="noConversion"/>
  </si>
  <si>
    <t>H45</t>
    <phoneticPr fontId="30" type="noConversion"/>
  </si>
  <si>
    <t>H50</t>
    <phoneticPr fontId="30" type="noConversion"/>
  </si>
  <si>
    <t>H55</t>
    <phoneticPr fontId="30" type="noConversion"/>
  </si>
  <si>
    <t>H60</t>
    <phoneticPr fontId="30" type="noConversion"/>
  </si>
  <si>
    <t>封口胶</t>
    <phoneticPr fontId="30" type="noConversion"/>
  </si>
  <si>
    <t>件</t>
    <phoneticPr fontId="30" type="noConversion"/>
  </si>
  <si>
    <t>圆珠笔</t>
    <phoneticPr fontId="30" type="noConversion"/>
  </si>
  <si>
    <t>盒</t>
    <phoneticPr fontId="30" type="noConversion"/>
  </si>
  <si>
    <t>碳素笔</t>
    <phoneticPr fontId="30" type="noConversion"/>
  </si>
  <si>
    <r>
      <t>H6</t>
    </r>
    <r>
      <rPr>
        <sz val="11"/>
        <color indexed="8"/>
        <rFont val="宋体"/>
        <family val="3"/>
        <charset val="134"/>
      </rPr>
      <t>5</t>
    </r>
    <phoneticPr fontId="30" type="noConversion"/>
  </si>
  <si>
    <t>5年折旧</t>
    <phoneticPr fontId="30" type="noConversion"/>
  </si>
  <si>
    <t>租金</t>
    <phoneticPr fontId="30" type="noConversion"/>
  </si>
  <si>
    <t>桌椅（宿舍3套）</t>
    <phoneticPr fontId="30" type="noConversion"/>
  </si>
  <si>
    <t>月底现金结余：</t>
    <phoneticPr fontId="9" type="noConversion"/>
  </si>
  <si>
    <t>本月现金变量：</t>
    <phoneticPr fontId="8" type="noConversion"/>
  </si>
  <si>
    <t>月均劳务费：</t>
    <phoneticPr fontId="8" type="noConversion"/>
  </si>
  <si>
    <t>折合劳务费月数：</t>
    <phoneticPr fontId="8" type="noConversion"/>
  </si>
  <si>
    <t>美好生活基金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</si>
</sst>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6" formatCode="#,##0.00_ ;[Red]\-#,##0.00\ "/>
    <numFmt numFmtId="177" formatCode="#,##0_ ;[Red]\-#,##0\ "/>
    <numFmt numFmtId="178" formatCode="0.00_ "/>
    <numFmt numFmtId="179" formatCode="0.0_ "/>
    <numFmt numFmtId="180" formatCode="0_ "/>
    <numFmt numFmtId="181" formatCode="0;__x0000_"/>
    <numFmt numFmtId="182" formatCode="#,##0.00_ "/>
    <numFmt numFmtId="183" formatCode="0;_탿"/>
    <numFmt numFmtId="184" formatCode="0;_"/>
    <numFmt numFmtId="185" formatCode="0;_᷿"/>
    <numFmt numFmtId="186" formatCode="#,##0.0_ ;[Red]\-#,##0.0\ 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43" fontId="3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4" borderId="2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0" fontId="35" fillId="0" borderId="0" xfId="0" applyFont="1" applyAlignment="1">
      <alignment horizontal="center"/>
    </xf>
    <xf numFmtId="177" fontId="16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 vertical="center"/>
    </xf>
    <xf numFmtId="182" fontId="19" fillId="0" borderId="1" xfId="0" applyNumberFormat="1" applyFont="1" applyBorder="1" applyAlignment="1">
      <alignment horizontal="center" vertical="center"/>
    </xf>
    <xf numFmtId="182" fontId="1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7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3" fontId="0" fillId="7" borderId="0" xfId="0" applyNumberForma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82" fontId="37" fillId="8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182" fontId="1" fillId="0" borderId="1" xfId="2" applyNumberFormat="1" applyFont="1" applyBorder="1" applyAlignment="1">
      <alignment horizontal="center" vertical="center"/>
    </xf>
    <xf numFmtId="182" fontId="23" fillId="0" borderId="1" xfId="0" applyNumberFormat="1" applyFont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2" fontId="1" fillId="8" borderId="1" xfId="2" applyNumberFormat="1" applyFont="1" applyFill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82" fontId="23" fillId="0" borderId="1" xfId="0" applyNumberFormat="1" applyFont="1" applyFill="1" applyBorder="1" applyAlignment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82" fontId="1" fillId="8" borderId="1" xfId="0" applyNumberFormat="1" applyFont="1" applyFill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8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34" fillId="4" borderId="1" xfId="0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185" fontId="3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79" fontId="34" fillId="4" borderId="1" xfId="0" applyNumberFormat="1" applyFont="1" applyFill="1" applyBorder="1" applyAlignment="1">
      <alignment horizontal="center" vertical="center"/>
    </xf>
    <xf numFmtId="178" fontId="34" fillId="3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wrapText="1"/>
    </xf>
    <xf numFmtId="0" fontId="34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1" fillId="0" borderId="3" xfId="1" applyNumberFormat="1" applyFont="1" applyFill="1" applyBorder="1" applyAlignment="1">
      <alignment horizontal="right" vertical="center"/>
    </xf>
    <xf numFmtId="177" fontId="41" fillId="0" borderId="1" xfId="1" applyNumberFormat="1" applyFont="1" applyFill="1" applyBorder="1" applyAlignment="1">
      <alignment horizontal="right" vertical="center"/>
    </xf>
    <xf numFmtId="0" fontId="32" fillId="5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" xfId="0" applyFont="1" applyFill="1" applyBorder="1" applyAlignment="1">
      <alignment horizontal="right" vertical="center"/>
    </xf>
    <xf numFmtId="177" fontId="31" fillId="0" borderId="1" xfId="0" applyNumberFormat="1" applyFont="1" applyBorder="1" applyAlignment="1">
      <alignment horizontal="center" vertical="center"/>
    </xf>
    <xf numFmtId="186" fontId="31" fillId="0" borderId="1" xfId="0" applyNumberFormat="1" applyFont="1" applyBorder="1" applyAlignment="1">
      <alignment horizontal="center" vertical="center"/>
    </xf>
    <xf numFmtId="0" fontId="32" fillId="9" borderId="1" xfId="0" applyFont="1" applyFill="1" applyBorder="1" applyAlignment="1">
      <alignment horizontal="right" vertical="center"/>
    </xf>
    <xf numFmtId="177" fontId="31" fillId="0" borderId="1" xfId="0" applyNumberFormat="1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86" fontId="43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 applyProtection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常规" xfId="0" builtinId="0"/>
    <cellStyle name="常规 2 3" xfId="1" xr:uid="{00000000-0005-0000-0000-000002000000}"/>
    <cellStyle name="千位分隔" xfId="2" builtinId="3"/>
  </cellStyles>
  <dxfs count="15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" activeCellId="11" sqref="AA6 Y6 W6 U6 S6 Q6 O6 M6 K6 I6 G6 E6"/>
    </sheetView>
  </sheetViews>
  <sheetFormatPr defaultColWidth="9" defaultRowHeight="14" x14ac:dyDescent="0.25"/>
  <cols>
    <col min="1" max="1" width="4.81640625" style="8" customWidth="1"/>
    <col min="2" max="2" width="3.6328125" style="8" customWidth="1"/>
    <col min="3" max="3" width="11.453125" style="8" customWidth="1"/>
    <col min="4" max="4" width="10.1796875" style="8" bestFit="1" customWidth="1"/>
    <col min="5" max="5" width="10.1796875" style="86" customWidth="1"/>
    <col min="6" max="6" width="9" style="8"/>
    <col min="7" max="7" width="9" style="86"/>
    <col min="8" max="8" width="9.6328125" style="8" bestFit="1" customWidth="1"/>
    <col min="9" max="9" width="9" style="87"/>
    <col min="10" max="10" width="11.1796875" style="8" bestFit="1" customWidth="1"/>
    <col min="11" max="11" width="9.81640625" style="87" customWidth="1"/>
    <col min="12" max="12" width="9.6328125" style="8" bestFit="1" customWidth="1"/>
    <col min="13" max="13" width="9.6328125" style="8" customWidth="1"/>
    <col min="14" max="14" width="9" style="8"/>
    <col min="15" max="16" width="9.08984375" style="8" bestFit="1" customWidth="1"/>
    <col min="17" max="17" width="9.08984375" style="8" customWidth="1"/>
    <col min="18" max="23" width="9" style="8"/>
    <col min="24" max="24" width="10" style="8" bestFit="1" customWidth="1"/>
    <col min="25" max="27" width="9" style="8"/>
    <col min="28" max="28" width="10.81640625" style="8" customWidth="1"/>
    <col min="29" max="29" width="19.453125" style="8" customWidth="1"/>
    <col min="30" max="16384" width="9" style="8"/>
  </cols>
  <sheetData>
    <row r="1" spans="1:29" ht="21" x14ac:dyDescent="0.25">
      <c r="A1" s="183" t="s">
        <v>135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1:29" x14ac:dyDescent="0.25">
      <c r="A2" s="184" t="s">
        <v>56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</row>
    <row r="3" spans="1:29" s="76" customFormat="1" ht="12" x14ac:dyDescent="0.25">
      <c r="A3" s="78" t="s">
        <v>10</v>
      </c>
      <c r="B3" s="184" t="s">
        <v>11</v>
      </c>
      <c r="C3" s="184"/>
      <c r="D3" s="78" t="s">
        <v>148</v>
      </c>
      <c r="E3" s="88" t="s">
        <v>220</v>
      </c>
      <c r="F3" s="78" t="s">
        <v>204</v>
      </c>
      <c r="G3" s="88" t="s">
        <v>221</v>
      </c>
      <c r="H3" s="78" t="s">
        <v>205</v>
      </c>
      <c r="I3" s="88" t="s">
        <v>218</v>
      </c>
      <c r="J3" s="78" t="s">
        <v>206</v>
      </c>
      <c r="K3" s="88" t="s">
        <v>219</v>
      </c>
      <c r="L3" s="78" t="s">
        <v>207</v>
      </c>
      <c r="M3" s="88" t="s">
        <v>232</v>
      </c>
      <c r="N3" s="78" t="s">
        <v>208</v>
      </c>
      <c r="O3" s="88" t="s">
        <v>234</v>
      </c>
      <c r="P3" s="78" t="s">
        <v>209</v>
      </c>
      <c r="Q3" s="88" t="s">
        <v>236</v>
      </c>
      <c r="R3" s="78" t="s">
        <v>210</v>
      </c>
      <c r="S3" s="137" t="s">
        <v>238</v>
      </c>
      <c r="T3" s="78" t="s">
        <v>211</v>
      </c>
      <c r="U3" s="137" t="s">
        <v>240</v>
      </c>
      <c r="V3" s="78" t="s">
        <v>212</v>
      </c>
      <c r="W3" s="150" t="s">
        <v>242</v>
      </c>
      <c r="X3" s="78" t="s">
        <v>213</v>
      </c>
      <c r="Y3" s="150" t="s">
        <v>244</v>
      </c>
      <c r="Z3" s="78" t="s">
        <v>214</v>
      </c>
      <c r="AA3" s="150" t="s">
        <v>247</v>
      </c>
      <c r="AB3" s="78" t="s">
        <v>24</v>
      </c>
      <c r="AC3" s="89" t="s">
        <v>25</v>
      </c>
    </row>
    <row r="4" spans="1:29" s="76" customFormat="1" ht="12" x14ac:dyDescent="0.25">
      <c r="A4" s="90">
        <v>1</v>
      </c>
      <c r="B4" s="185" t="s">
        <v>149</v>
      </c>
      <c r="C4" s="185"/>
      <c r="D4" s="79">
        <f>'17收入'!B47+'17收入'!B48</f>
        <v>6530</v>
      </c>
      <c r="E4" s="81">
        <v>7011.99</v>
      </c>
      <c r="F4" s="79">
        <f>'17收入'!C47+'17收入'!C48</f>
        <v>6670</v>
      </c>
      <c r="G4" s="81">
        <v>7306.48</v>
      </c>
      <c r="H4" s="79">
        <f>'17收入'!D47+'17收入'!D48</f>
        <v>6950</v>
      </c>
      <c r="I4" s="81">
        <v>14634.11</v>
      </c>
      <c r="J4" s="79">
        <f>'17收入'!E47+'17收入'!E48</f>
        <v>6530</v>
      </c>
      <c r="K4" s="81">
        <f>14724.43</f>
        <v>14724.43</v>
      </c>
      <c r="L4" s="79">
        <f>'17收入'!F47+'17收入'!F48</f>
        <v>8070</v>
      </c>
      <c r="M4" s="122">
        <v>9282.1299999999992</v>
      </c>
      <c r="N4" s="79">
        <f>'17收入'!G47+'17收入'!G48</f>
        <v>8490</v>
      </c>
      <c r="O4" s="122">
        <v>7445.72</v>
      </c>
      <c r="P4" s="79">
        <f>'17收入'!H47+'17收入'!H48</f>
        <v>8000</v>
      </c>
      <c r="Q4" s="122">
        <v>7368.1</v>
      </c>
      <c r="R4" s="79">
        <f>'17收入'!I47+'17收入'!I48</f>
        <v>6950</v>
      </c>
      <c r="S4" s="138">
        <v>11888.91</v>
      </c>
      <c r="T4" s="79">
        <f>'17收入'!J47+'17收入'!J48</f>
        <v>7440</v>
      </c>
      <c r="U4" s="138">
        <v>25927.599999999999</v>
      </c>
      <c r="V4" s="79">
        <f>'17收入'!K47+'17收入'!K48</f>
        <v>559.99999999999989</v>
      </c>
      <c r="W4" s="138">
        <v>6124.95</v>
      </c>
      <c r="X4" s="79">
        <f>'17收入'!L47+'17收入'!L48</f>
        <v>2239.9999999999995</v>
      </c>
      <c r="Y4" s="138">
        <v>2564.31</v>
      </c>
      <c r="Z4" s="79">
        <f>'17收入'!M47+'17收入'!M48</f>
        <v>1399.9999999999998</v>
      </c>
      <c r="AA4" s="138">
        <v>1615.03</v>
      </c>
      <c r="AB4" s="77">
        <f>SUM(D4,F4,H4,J4,L4:Z4)</f>
        <v>140431.72000000003</v>
      </c>
      <c r="AC4" s="155" t="s">
        <v>246</v>
      </c>
    </row>
    <row r="5" spans="1:29" s="76" customFormat="1" ht="12" x14ac:dyDescent="0.25">
      <c r="A5" s="90">
        <v>2</v>
      </c>
      <c r="B5" s="185" t="s">
        <v>150</v>
      </c>
      <c r="C5" s="185"/>
      <c r="D5" s="79"/>
      <c r="E5" s="81"/>
      <c r="F5" s="61"/>
      <c r="G5" s="85"/>
      <c r="H5" s="61"/>
      <c r="I5" s="85"/>
      <c r="J5" s="61"/>
      <c r="K5" s="81"/>
      <c r="L5" s="61"/>
      <c r="M5" s="123"/>
      <c r="N5" s="61"/>
      <c r="O5" s="123"/>
      <c r="P5" s="61"/>
      <c r="Q5" s="123"/>
      <c r="R5" s="61"/>
      <c r="S5" s="139"/>
      <c r="T5" s="61"/>
      <c r="U5" s="139"/>
      <c r="V5" s="61"/>
      <c r="W5" s="139"/>
      <c r="X5" s="61"/>
      <c r="Y5" s="139"/>
      <c r="Z5" s="61"/>
      <c r="AA5" s="139"/>
      <c r="AB5" s="77">
        <f t="shared" ref="AB5:AB48" si="0">SUM(D5,F5,H5,J5,L5:Z5)</f>
        <v>0</v>
      </c>
      <c r="AC5" s="61"/>
    </row>
    <row r="6" spans="1:29" s="76" customFormat="1" ht="12" x14ac:dyDescent="0.25">
      <c r="A6" s="90">
        <v>3</v>
      </c>
      <c r="B6" s="185" t="s">
        <v>151</v>
      </c>
      <c r="C6" s="185"/>
      <c r="D6" s="80">
        <f>'17收入'!B49</f>
        <v>3000</v>
      </c>
      <c r="E6" s="83">
        <v>8340.66</v>
      </c>
      <c r="F6" s="80">
        <f>'17收入'!C49</f>
        <v>3000</v>
      </c>
      <c r="G6" s="83">
        <v>7340.75</v>
      </c>
      <c r="H6" s="80">
        <f>'17收入'!D49</f>
        <v>3000</v>
      </c>
      <c r="I6" s="83">
        <v>7571.99</v>
      </c>
      <c r="J6" s="80">
        <f>'17收入'!E49</f>
        <v>3000</v>
      </c>
      <c r="K6" s="82">
        <v>10506.75</v>
      </c>
      <c r="L6" s="80">
        <f>'17收入'!F49</f>
        <v>6000</v>
      </c>
      <c r="M6" s="124">
        <v>7168.5</v>
      </c>
      <c r="N6" s="80">
        <f>'17收入'!G49</f>
        <v>4000</v>
      </c>
      <c r="O6" s="124">
        <v>4563.3</v>
      </c>
      <c r="P6" s="80">
        <f>'17收入'!H49</f>
        <v>4000</v>
      </c>
      <c r="Q6" s="124">
        <v>3846.2</v>
      </c>
      <c r="R6" s="80">
        <f>'17收入'!I49</f>
        <v>5000</v>
      </c>
      <c r="S6" s="140">
        <v>8594.2000000000007</v>
      </c>
      <c r="T6" s="80">
        <f>'17收入'!J49</f>
        <v>6000</v>
      </c>
      <c r="U6" s="140">
        <v>8331.85</v>
      </c>
      <c r="V6" s="80">
        <f>'17收入'!K49</f>
        <v>7000</v>
      </c>
      <c r="W6" s="140">
        <v>12282.7</v>
      </c>
      <c r="X6" s="80">
        <f>'17收入'!L49</f>
        <v>8000</v>
      </c>
      <c r="Y6" s="140">
        <v>11999.6</v>
      </c>
      <c r="Z6" s="80">
        <f>'17收入'!M49</f>
        <v>40000</v>
      </c>
      <c r="AA6" s="140">
        <v>13963.1</v>
      </c>
      <c r="AB6" s="77">
        <f t="shared" si="0"/>
        <v>148786.35</v>
      </c>
      <c r="AC6" s="154" t="s">
        <v>225</v>
      </c>
    </row>
    <row r="7" spans="1:29" s="76" customFormat="1" ht="12" x14ac:dyDescent="0.25">
      <c r="A7" s="90">
        <v>4</v>
      </c>
      <c r="B7" s="185" t="s">
        <v>152</v>
      </c>
      <c r="C7" s="185"/>
      <c r="D7" s="79">
        <f>'17收入'!B45+'17收入'!B46</f>
        <v>14332.500000000002</v>
      </c>
      <c r="E7" s="81">
        <v>17487.32</v>
      </c>
      <c r="F7" s="79">
        <f>'17收入'!C45+'17收入'!C46</f>
        <v>23992.500000000004</v>
      </c>
      <c r="G7" s="81">
        <v>32970.160000000003</v>
      </c>
      <c r="H7" s="79">
        <f>'17收入'!D45+'17收入'!D46</f>
        <v>30572.500000000004</v>
      </c>
      <c r="I7" s="81">
        <v>43513.79</v>
      </c>
      <c r="J7" s="79">
        <f>'17收入'!E45+'17收入'!E46</f>
        <v>24815</v>
      </c>
      <c r="K7" s="81">
        <v>57540.46</v>
      </c>
      <c r="L7" s="79">
        <f>'17收入'!F45+'17收入'!F46</f>
        <v>24600.415000000005</v>
      </c>
      <c r="M7" s="122">
        <v>54489.36</v>
      </c>
      <c r="N7" s="79">
        <f>'17收入'!G45+'17收入'!G46</f>
        <v>13890.415000000003</v>
      </c>
      <c r="O7" s="122">
        <v>22209.55</v>
      </c>
      <c r="P7" s="79">
        <f>'17收入'!H45+'17收入'!H46</f>
        <v>5293.6625000000004</v>
      </c>
      <c r="Q7" s="122">
        <v>4108.5600000000004</v>
      </c>
      <c r="R7" s="79">
        <f>'17收入'!I45+'17收入'!I46</f>
        <v>10184.912500000002</v>
      </c>
      <c r="S7" s="138">
        <v>10743.15</v>
      </c>
      <c r="T7" s="79">
        <f>'17收入'!J45+'17收入'!J46</f>
        <v>20698.300000000003</v>
      </c>
      <c r="U7" s="138">
        <v>16502.79</v>
      </c>
      <c r="V7" s="79">
        <f>'17收入'!K45+'17收入'!K46</f>
        <v>52803.25</v>
      </c>
      <c r="W7" s="138">
        <v>18028.95</v>
      </c>
      <c r="X7" s="79">
        <f>'17收入'!L45+'17收入'!L46</f>
        <v>9500</v>
      </c>
      <c r="Y7" s="138">
        <v>6314.36</v>
      </c>
      <c r="Z7" s="79">
        <f>'17收入'!M45+'17收入'!M46</f>
        <v>0</v>
      </c>
      <c r="AA7" s="138"/>
      <c r="AB7" s="77">
        <f t="shared" si="0"/>
        <v>363080.17499999999</v>
      </c>
      <c r="AC7" s="61" t="s">
        <v>226</v>
      </c>
    </row>
    <row r="8" spans="1:29" s="76" customFormat="1" ht="12" x14ac:dyDescent="0.25">
      <c r="A8" s="90">
        <v>5</v>
      </c>
      <c r="B8" s="185" t="s">
        <v>153</v>
      </c>
      <c r="C8" s="185"/>
      <c r="D8" s="79"/>
      <c r="E8" s="81"/>
      <c r="F8" s="61"/>
      <c r="G8" s="85"/>
      <c r="H8" s="61"/>
      <c r="I8" s="85"/>
      <c r="J8" s="61"/>
      <c r="K8" s="81"/>
      <c r="L8" s="61"/>
      <c r="M8" s="123"/>
      <c r="N8" s="61"/>
      <c r="O8" s="123"/>
      <c r="P8" s="61"/>
      <c r="Q8" s="123"/>
      <c r="R8" s="61"/>
      <c r="S8" s="139"/>
      <c r="T8" s="61"/>
      <c r="U8" s="139"/>
      <c r="V8" s="61"/>
      <c r="W8" s="139"/>
      <c r="X8" s="61"/>
      <c r="Y8" s="139"/>
      <c r="Z8" s="61"/>
      <c r="AA8" s="139">
        <v>20000</v>
      </c>
      <c r="AB8" s="77">
        <f t="shared" si="0"/>
        <v>0</v>
      </c>
      <c r="AC8" s="61"/>
    </row>
    <row r="9" spans="1:29" s="76" customFormat="1" ht="12" x14ac:dyDescent="0.25">
      <c r="A9" s="91"/>
      <c r="B9" s="182" t="s">
        <v>154</v>
      </c>
      <c r="C9" s="182"/>
      <c r="D9" s="92">
        <f>SUM(D4:D8)</f>
        <v>23862.5</v>
      </c>
      <c r="E9" s="93">
        <f t="shared" ref="E9:L9" si="1">SUM(E4:E8)</f>
        <v>32839.97</v>
      </c>
      <c r="F9" s="92">
        <f t="shared" si="1"/>
        <v>33662.5</v>
      </c>
      <c r="G9" s="93">
        <f t="shared" si="1"/>
        <v>47617.39</v>
      </c>
      <c r="H9" s="92">
        <f t="shared" si="1"/>
        <v>40522.5</v>
      </c>
      <c r="I9" s="93">
        <f t="shared" si="1"/>
        <v>65719.89</v>
      </c>
      <c r="J9" s="92">
        <f t="shared" si="1"/>
        <v>34345</v>
      </c>
      <c r="K9" s="93">
        <f t="shared" si="1"/>
        <v>82771.64</v>
      </c>
      <c r="L9" s="92">
        <f t="shared" si="1"/>
        <v>38670.415000000008</v>
      </c>
      <c r="M9" s="125">
        <v>70939.989999999991</v>
      </c>
      <c r="N9" s="92">
        <f t="shared" ref="N9:Z9" si="2">SUM(N4:N8)</f>
        <v>26380.415000000001</v>
      </c>
      <c r="O9" s="125">
        <v>34218.57</v>
      </c>
      <c r="P9" s="92">
        <f t="shared" si="2"/>
        <v>17293.662499999999</v>
      </c>
      <c r="Q9" s="125">
        <v>15322.86</v>
      </c>
      <c r="R9" s="92">
        <f t="shared" si="2"/>
        <v>22134.912500000002</v>
      </c>
      <c r="S9" s="141">
        <v>31226.260000000002</v>
      </c>
      <c r="T9" s="92">
        <f t="shared" si="2"/>
        <v>34138.300000000003</v>
      </c>
      <c r="U9" s="141">
        <v>50762.239999999998</v>
      </c>
      <c r="V9" s="92">
        <f t="shared" si="2"/>
        <v>60363.25</v>
      </c>
      <c r="W9" s="141">
        <v>36436.600000000006</v>
      </c>
      <c r="X9" s="92">
        <f t="shared" si="2"/>
        <v>19740</v>
      </c>
      <c r="Y9" s="141">
        <v>20878.27</v>
      </c>
      <c r="Z9" s="92">
        <f t="shared" si="2"/>
        <v>41400</v>
      </c>
      <c r="AA9" s="141">
        <v>35578.130000000005</v>
      </c>
      <c r="AB9" s="77">
        <f t="shared" si="0"/>
        <v>652298.245</v>
      </c>
      <c r="AC9" s="61"/>
    </row>
    <row r="10" spans="1:29" s="76" customFormat="1" ht="12" x14ac:dyDescent="0.25">
      <c r="A10" s="90">
        <v>6</v>
      </c>
      <c r="B10" s="185" t="s">
        <v>155</v>
      </c>
      <c r="C10" s="185"/>
      <c r="D10" s="79" t="e">
        <f>#REF!</f>
        <v>#REF!</v>
      </c>
      <c r="E10" s="81">
        <v>6441.6</v>
      </c>
      <c r="F10" s="79" t="e">
        <f>#REF!</f>
        <v>#REF!</v>
      </c>
      <c r="G10" s="81">
        <v>6039</v>
      </c>
      <c r="H10" s="79" t="e">
        <f>#REF!</f>
        <v>#REF!</v>
      </c>
      <c r="I10" s="81">
        <v>6200</v>
      </c>
      <c r="J10" s="79" t="e">
        <f>#REF!</f>
        <v>#REF!</v>
      </c>
      <c r="K10" s="81">
        <v>5968.9</v>
      </c>
      <c r="L10" s="79" t="e">
        <f>#REF!</f>
        <v>#REF!</v>
      </c>
      <c r="M10" s="122">
        <v>6642.9</v>
      </c>
      <c r="N10" s="79" t="e">
        <f>#REF!</f>
        <v>#REF!</v>
      </c>
      <c r="O10" s="122">
        <v>7796.6</v>
      </c>
      <c r="P10" s="79" t="e">
        <f>#REF!</f>
        <v>#REF!</v>
      </c>
      <c r="Q10" s="122">
        <v>7796.6</v>
      </c>
      <c r="R10" s="79" t="e">
        <f>#REF!</f>
        <v>#REF!</v>
      </c>
      <c r="S10" s="138">
        <v>9216.7000000000007</v>
      </c>
      <c r="T10" s="79" t="e">
        <f>#REF!</f>
        <v>#REF!</v>
      </c>
      <c r="U10" s="138">
        <v>9780.6</v>
      </c>
      <c r="V10" s="79" t="e">
        <f>#REF!</f>
        <v>#REF!</v>
      </c>
      <c r="W10" s="138">
        <v>10304.700000000001</v>
      </c>
      <c r="X10" s="79" t="e">
        <f>#REF!</f>
        <v>#REF!</v>
      </c>
      <c r="Y10" s="138">
        <v>9716.6</v>
      </c>
      <c r="Z10" s="79" t="e">
        <f>#REF!</f>
        <v>#REF!</v>
      </c>
      <c r="AA10" s="138">
        <v>9716.5499999999993</v>
      </c>
      <c r="AB10" s="77" t="e">
        <f t="shared" si="0"/>
        <v>#REF!</v>
      </c>
      <c r="AC10" s="61"/>
    </row>
    <row r="11" spans="1:29" s="76" customFormat="1" ht="12" x14ac:dyDescent="0.25">
      <c r="A11" s="90">
        <v>7</v>
      </c>
      <c r="B11" s="185" t="s">
        <v>156</v>
      </c>
      <c r="C11" s="185"/>
      <c r="D11" s="80">
        <v>30660</v>
      </c>
      <c r="E11" s="83">
        <v>30720.799999999999</v>
      </c>
      <c r="F11" s="80"/>
      <c r="G11" s="83">
        <v>10.5</v>
      </c>
      <c r="H11" s="80">
        <v>5725.73</v>
      </c>
      <c r="I11" s="83">
        <v>5725.73</v>
      </c>
      <c r="J11" s="80"/>
      <c r="K11" s="82"/>
      <c r="L11" s="80"/>
      <c r="M11" s="124"/>
      <c r="N11" s="80"/>
      <c r="O11" s="124"/>
      <c r="P11" s="80"/>
      <c r="Q11" s="124"/>
      <c r="R11" s="80"/>
      <c r="S11" s="140">
        <v>87.36</v>
      </c>
      <c r="T11" s="80"/>
      <c r="U11" s="140">
        <v>139.80000000000001</v>
      </c>
      <c r="V11" s="80"/>
      <c r="W11" s="140">
        <v>175.2</v>
      </c>
      <c r="X11" s="80"/>
      <c r="Y11" s="140">
        <v>99.25</v>
      </c>
      <c r="Z11" s="80"/>
      <c r="AA11" s="140">
        <v>118.86</v>
      </c>
      <c r="AB11" s="77">
        <f t="shared" si="0"/>
        <v>36887.339999999997</v>
      </c>
      <c r="AC11" s="61"/>
    </row>
    <row r="12" spans="1:29" s="76" customFormat="1" ht="12" x14ac:dyDescent="0.25">
      <c r="A12" s="90">
        <v>8</v>
      </c>
      <c r="B12" s="185" t="s">
        <v>157</v>
      </c>
      <c r="C12" s="185"/>
      <c r="D12" s="80">
        <v>1488</v>
      </c>
      <c r="E12" s="83">
        <v>1488</v>
      </c>
      <c r="F12" s="80">
        <v>1488</v>
      </c>
      <c r="G12" s="83">
        <v>1488</v>
      </c>
      <c r="H12" s="80">
        <v>1488</v>
      </c>
      <c r="I12" s="83">
        <v>1488</v>
      </c>
      <c r="J12" s="80">
        <v>1488</v>
      </c>
      <c r="K12" s="82">
        <v>1488</v>
      </c>
      <c r="L12" s="80">
        <v>1488</v>
      </c>
      <c r="M12" s="124">
        <v>1488</v>
      </c>
      <c r="N12" s="80">
        <v>1488</v>
      </c>
      <c r="O12" s="124">
        <v>1479</v>
      </c>
      <c r="P12" s="80">
        <v>1488</v>
      </c>
      <c r="Q12" s="124">
        <v>2263.36</v>
      </c>
      <c r="R12" s="80">
        <v>1488</v>
      </c>
      <c r="S12" s="140">
        <v>1575.64</v>
      </c>
      <c r="T12" s="80">
        <v>1488</v>
      </c>
      <c r="U12" s="140">
        <v>1599.64</v>
      </c>
      <c r="V12" s="80">
        <v>1488</v>
      </c>
      <c r="W12" s="140">
        <v>1599.64</v>
      </c>
      <c r="X12" s="80">
        <v>1488</v>
      </c>
      <c r="Y12" s="140">
        <v>1599.64</v>
      </c>
      <c r="Z12" s="80">
        <v>1488</v>
      </c>
      <c r="AA12" s="140">
        <v>1599.64</v>
      </c>
      <c r="AB12" s="77">
        <f t="shared" si="0"/>
        <v>29460.92</v>
      </c>
      <c r="AC12" s="61"/>
    </row>
    <row r="13" spans="1:29" s="76" customFormat="1" ht="12" x14ac:dyDescent="0.25">
      <c r="A13" s="91"/>
      <c r="B13" s="182" t="s">
        <v>158</v>
      </c>
      <c r="C13" s="182"/>
      <c r="D13" s="92" t="e">
        <f>SUM(D10:D12)</f>
        <v>#REF!</v>
      </c>
      <c r="E13" s="93">
        <v>38650.400000000001</v>
      </c>
      <c r="F13" s="92" t="e">
        <f t="shared" ref="F13:Z13" si="3">SUM(F10:F12)</f>
        <v>#REF!</v>
      </c>
      <c r="G13" s="93">
        <v>7537.5</v>
      </c>
      <c r="H13" s="92" t="e">
        <f t="shared" si="3"/>
        <v>#REF!</v>
      </c>
      <c r="I13" s="93">
        <v>13413.73</v>
      </c>
      <c r="J13" s="92" t="e">
        <f t="shared" si="3"/>
        <v>#REF!</v>
      </c>
      <c r="K13" s="93">
        <f t="shared" si="3"/>
        <v>7456.9</v>
      </c>
      <c r="L13" s="92" t="e">
        <f t="shared" si="3"/>
        <v>#REF!</v>
      </c>
      <c r="M13" s="125">
        <v>8130.9</v>
      </c>
      <c r="N13" s="92" t="e">
        <f t="shared" si="3"/>
        <v>#REF!</v>
      </c>
      <c r="O13" s="125">
        <v>9275.6</v>
      </c>
      <c r="P13" s="92" t="e">
        <f t="shared" si="3"/>
        <v>#REF!</v>
      </c>
      <c r="Q13" s="125">
        <v>10059.960000000001</v>
      </c>
      <c r="R13" s="92" t="e">
        <f t="shared" si="3"/>
        <v>#REF!</v>
      </c>
      <c r="S13" s="141">
        <v>10879.7</v>
      </c>
      <c r="T13" s="92" t="e">
        <f t="shared" si="3"/>
        <v>#REF!</v>
      </c>
      <c r="U13" s="141">
        <v>11520.039999999999</v>
      </c>
      <c r="V13" s="92" t="e">
        <f t="shared" si="3"/>
        <v>#REF!</v>
      </c>
      <c r="W13" s="141">
        <v>12079.54</v>
      </c>
      <c r="X13" s="92" t="e">
        <f t="shared" si="3"/>
        <v>#REF!</v>
      </c>
      <c r="Y13" s="141">
        <v>11415.49</v>
      </c>
      <c r="Z13" s="92" t="e">
        <f t="shared" si="3"/>
        <v>#REF!</v>
      </c>
      <c r="AA13" s="141">
        <v>11435.05</v>
      </c>
      <c r="AB13" s="77" t="e">
        <f t="shared" si="0"/>
        <v>#REF!</v>
      </c>
      <c r="AC13" s="61"/>
    </row>
    <row r="14" spans="1:29" s="76" customFormat="1" ht="12" x14ac:dyDescent="0.25">
      <c r="A14" s="90">
        <v>9</v>
      </c>
      <c r="B14" s="185" t="s">
        <v>159</v>
      </c>
      <c r="C14" s="185"/>
      <c r="D14" s="60"/>
      <c r="E14" s="103"/>
      <c r="F14" s="60"/>
      <c r="G14" s="103"/>
      <c r="H14" s="60"/>
      <c r="I14" s="103"/>
      <c r="J14" s="60"/>
      <c r="K14" s="82"/>
      <c r="L14" s="60"/>
      <c r="M14" s="126"/>
      <c r="N14" s="60"/>
      <c r="O14" s="126"/>
      <c r="P14" s="60"/>
      <c r="Q14" s="126">
        <v>2285.7199999999998</v>
      </c>
      <c r="R14" s="60"/>
      <c r="S14" s="142"/>
      <c r="T14" s="60"/>
      <c r="U14" s="142"/>
      <c r="V14" s="60"/>
      <c r="W14" s="142"/>
      <c r="X14" s="60"/>
      <c r="Y14" s="142"/>
      <c r="Z14" s="60"/>
      <c r="AA14" s="142"/>
      <c r="AB14" s="77">
        <f t="shared" si="0"/>
        <v>2285.7199999999998</v>
      </c>
      <c r="AC14" s="61"/>
    </row>
    <row r="15" spans="1:29" s="76" customFormat="1" ht="12" x14ac:dyDescent="0.25">
      <c r="A15" s="90">
        <v>10</v>
      </c>
      <c r="B15" s="185" t="s">
        <v>160</v>
      </c>
      <c r="C15" s="185"/>
      <c r="D15" s="79"/>
      <c r="E15" s="81"/>
      <c r="F15" s="79">
        <v>100</v>
      </c>
      <c r="G15" s="81">
        <v>100</v>
      </c>
      <c r="H15" s="79"/>
      <c r="I15" s="81"/>
      <c r="J15" s="79">
        <v>100</v>
      </c>
      <c r="K15" s="81">
        <v>100</v>
      </c>
      <c r="L15" s="79"/>
      <c r="M15" s="122"/>
      <c r="N15" s="79">
        <v>100</v>
      </c>
      <c r="O15" s="122">
        <v>100</v>
      </c>
      <c r="P15" s="79"/>
      <c r="Q15" s="122">
        <v>16.600000000000001</v>
      </c>
      <c r="R15" s="79">
        <v>100</v>
      </c>
      <c r="S15" s="138">
        <v>28.6</v>
      </c>
      <c r="T15" s="79"/>
      <c r="U15" s="138">
        <v>100</v>
      </c>
      <c r="V15" s="79">
        <v>100</v>
      </c>
      <c r="W15" s="138"/>
      <c r="X15" s="79"/>
      <c r="Y15" s="138">
        <v>42.84</v>
      </c>
      <c r="Z15" s="79">
        <v>100</v>
      </c>
      <c r="AA15" s="138">
        <v>71.45</v>
      </c>
      <c r="AB15" s="77">
        <f t="shared" si="0"/>
        <v>888.04000000000008</v>
      </c>
      <c r="AC15" s="61"/>
    </row>
    <row r="16" spans="1:29" s="76" customFormat="1" ht="12" x14ac:dyDescent="0.25">
      <c r="A16" s="90">
        <v>11</v>
      </c>
      <c r="B16" s="185" t="s">
        <v>161</v>
      </c>
      <c r="C16" s="185"/>
      <c r="D16" s="61"/>
      <c r="E16" s="95"/>
      <c r="F16" s="61"/>
      <c r="G16" s="95"/>
      <c r="H16" s="61"/>
      <c r="I16" s="95"/>
      <c r="J16" s="61"/>
      <c r="K16" s="104"/>
      <c r="L16" s="61"/>
      <c r="M16" s="123"/>
      <c r="N16" s="61"/>
      <c r="O16" s="123"/>
      <c r="P16" s="61"/>
      <c r="Q16" s="123"/>
      <c r="R16" s="61"/>
      <c r="S16" s="139"/>
      <c r="T16" s="61"/>
      <c r="U16" s="139"/>
      <c r="V16" s="61"/>
      <c r="W16" s="139"/>
      <c r="X16" s="61"/>
      <c r="Y16" s="139"/>
      <c r="Z16" s="61"/>
      <c r="AA16" s="139"/>
      <c r="AB16" s="77">
        <f t="shared" si="0"/>
        <v>0</v>
      </c>
      <c r="AC16" s="61"/>
    </row>
    <row r="17" spans="1:29" s="76" customFormat="1" ht="12" x14ac:dyDescent="0.25">
      <c r="A17" s="90">
        <v>12</v>
      </c>
      <c r="B17" s="185" t="s">
        <v>162</v>
      </c>
      <c r="C17" s="185"/>
      <c r="D17" s="94" t="e">
        <f>#REF!</f>
        <v>#REF!</v>
      </c>
      <c r="E17" s="81">
        <v>440.1</v>
      </c>
      <c r="F17" s="94" t="e">
        <f>#REF!</f>
        <v>#REF!</v>
      </c>
      <c r="G17" s="81">
        <v>3460.12</v>
      </c>
      <c r="H17" s="94" t="e">
        <f>#REF!</f>
        <v>#REF!</v>
      </c>
      <c r="I17" s="81">
        <v>1168.71</v>
      </c>
      <c r="J17" s="94" t="e">
        <f>#REF!</f>
        <v>#REF!</v>
      </c>
      <c r="K17" s="81">
        <v>1682.34</v>
      </c>
      <c r="L17" s="94" t="e">
        <f>#REF!</f>
        <v>#REF!</v>
      </c>
      <c r="M17" s="127">
        <v>1563.17</v>
      </c>
      <c r="N17" s="94" t="e">
        <f>#REF!</f>
        <v>#REF!</v>
      </c>
      <c r="O17" s="127">
        <v>1217.6099999999999</v>
      </c>
      <c r="P17" s="94" t="e">
        <f>#REF!</f>
        <v>#REF!</v>
      </c>
      <c r="Q17" s="127">
        <v>1207.83</v>
      </c>
      <c r="R17" s="94" t="e">
        <f>#REF!</f>
        <v>#REF!</v>
      </c>
      <c r="S17" s="143">
        <v>1657.71</v>
      </c>
      <c r="T17" s="94" t="e">
        <f>#REF!</f>
        <v>#REF!</v>
      </c>
      <c r="U17" s="143">
        <v>7293.63</v>
      </c>
      <c r="V17" s="94" t="e">
        <f>#REF!</f>
        <v>#REF!</v>
      </c>
      <c r="W17" s="143">
        <v>1660.7299999999996</v>
      </c>
      <c r="X17" s="94" t="e">
        <f>#REF!+7500</f>
        <v>#REF!</v>
      </c>
      <c r="Y17" s="143">
        <v>2856.27</v>
      </c>
      <c r="Z17" s="94" t="e">
        <f>#REF!</f>
        <v>#REF!</v>
      </c>
      <c r="AA17" s="143">
        <v>5708.19</v>
      </c>
      <c r="AB17" s="77" t="e">
        <f t="shared" si="0"/>
        <v>#REF!</v>
      </c>
      <c r="AC17" s="61" t="s">
        <v>222</v>
      </c>
    </row>
    <row r="18" spans="1:29" s="76" customFormat="1" ht="12" x14ac:dyDescent="0.25">
      <c r="A18" s="90">
        <v>13</v>
      </c>
      <c r="B18" s="185" t="s">
        <v>163</v>
      </c>
      <c r="C18" s="185"/>
      <c r="D18" s="79">
        <f>'17收入'!G26/0.065*0.3</f>
        <v>1384.6153846153845</v>
      </c>
      <c r="E18" s="81"/>
      <c r="F18" s="79">
        <f>'17收入'!I26/0.065*0.3</f>
        <v>1384.6153846153845</v>
      </c>
      <c r="G18" s="81">
        <v>914</v>
      </c>
      <c r="H18" s="79">
        <f>'17收入'!K26/0.065*0.3</f>
        <v>1384.6153846153845</v>
      </c>
      <c r="I18" s="81">
        <v>2104.8000000000002</v>
      </c>
      <c r="J18" s="79">
        <f>'17收入'!M26/0.065*0.3</f>
        <v>1384.6153846153845</v>
      </c>
      <c r="K18" s="81">
        <v>4500</v>
      </c>
      <c r="L18" s="79" t="e">
        <f>#REF!</f>
        <v>#REF!</v>
      </c>
      <c r="M18" s="122"/>
      <c r="N18" s="79" t="e">
        <f>#REF!</f>
        <v>#REF!</v>
      </c>
      <c r="O18" s="122">
        <v>8500</v>
      </c>
      <c r="P18" s="79" t="e">
        <f>#REF!</f>
        <v>#REF!</v>
      </c>
      <c r="Q18" s="122">
        <v>43.53</v>
      </c>
      <c r="R18" s="79" t="e">
        <f>#REF!</f>
        <v>#REF!</v>
      </c>
      <c r="S18" s="138"/>
      <c r="T18" s="79" t="e">
        <f>#REF!</f>
        <v>#REF!</v>
      </c>
      <c r="U18" s="138">
        <v>5274.9</v>
      </c>
      <c r="V18" s="79" t="e">
        <f>#REF!</f>
        <v>#REF!</v>
      </c>
      <c r="W18" s="138">
        <v>11316.56</v>
      </c>
      <c r="X18" s="79" t="e">
        <f>#REF!</f>
        <v>#REF!</v>
      </c>
      <c r="Y18" s="138">
        <v>-4126.5</v>
      </c>
      <c r="Z18" s="79" t="e">
        <f>#REF!</f>
        <v>#REF!</v>
      </c>
      <c r="AA18" s="138">
        <v>5763.1</v>
      </c>
      <c r="AB18" s="77" t="e">
        <f t="shared" si="0"/>
        <v>#REF!</v>
      </c>
      <c r="AC18" s="61" t="s">
        <v>215</v>
      </c>
    </row>
    <row r="19" spans="1:29" s="76" customFormat="1" ht="12" x14ac:dyDescent="0.25">
      <c r="A19" s="90">
        <v>14</v>
      </c>
      <c r="B19" s="185" t="s">
        <v>164</v>
      </c>
      <c r="C19" s="185"/>
      <c r="D19" s="79"/>
      <c r="E19" s="81"/>
      <c r="F19" s="79"/>
      <c r="G19" s="81"/>
      <c r="H19" s="79"/>
      <c r="I19" s="81"/>
      <c r="J19" s="79"/>
      <c r="K19" s="81"/>
      <c r="L19" s="79"/>
      <c r="M19" s="122"/>
      <c r="N19" s="79"/>
      <c r="O19" s="122"/>
      <c r="P19" s="79"/>
      <c r="Q19" s="122"/>
      <c r="R19" s="79"/>
      <c r="S19" s="138"/>
      <c r="T19" s="79"/>
      <c r="U19" s="138"/>
      <c r="V19" s="79"/>
      <c r="W19" s="138"/>
      <c r="X19" s="79"/>
      <c r="Y19" s="138"/>
      <c r="Z19" s="79"/>
      <c r="AA19" s="138"/>
      <c r="AB19" s="77">
        <f t="shared" si="0"/>
        <v>0</v>
      </c>
      <c r="AC19" s="61"/>
    </row>
    <row r="20" spans="1:29" s="76" customFormat="1" ht="12" x14ac:dyDescent="0.25">
      <c r="A20" s="90">
        <v>15</v>
      </c>
      <c r="B20" s="185" t="s">
        <v>165</v>
      </c>
      <c r="C20" s="185"/>
      <c r="D20" s="79"/>
      <c r="E20" s="81"/>
      <c r="F20" s="79"/>
      <c r="G20" s="81"/>
      <c r="H20" s="79"/>
      <c r="I20" s="81"/>
      <c r="J20" s="79"/>
      <c r="K20" s="81">
        <v>656</v>
      </c>
      <c r="L20" s="79"/>
      <c r="M20" s="122"/>
      <c r="N20" s="79"/>
      <c r="O20" s="122"/>
      <c r="P20" s="79"/>
      <c r="Q20" s="122"/>
      <c r="R20" s="79">
        <v>1000</v>
      </c>
      <c r="S20" s="138">
        <v>255</v>
      </c>
      <c r="T20" s="79"/>
      <c r="U20" s="138"/>
      <c r="V20" s="79"/>
      <c r="W20" s="138"/>
      <c r="X20" s="79"/>
      <c r="Y20" s="138"/>
      <c r="Z20" s="79">
        <v>1000</v>
      </c>
      <c r="AA20" s="138"/>
      <c r="AB20" s="77">
        <f t="shared" si="0"/>
        <v>2255</v>
      </c>
      <c r="AC20" s="61" t="s">
        <v>224</v>
      </c>
    </row>
    <row r="21" spans="1:29" s="76" customFormat="1" ht="12" x14ac:dyDescent="0.25">
      <c r="A21" s="90">
        <v>16</v>
      </c>
      <c r="B21" s="185" t="s">
        <v>166</v>
      </c>
      <c r="C21" s="185"/>
      <c r="D21" s="79"/>
      <c r="E21" s="81"/>
      <c r="F21" s="79"/>
      <c r="G21" s="81"/>
      <c r="H21" s="79"/>
      <c r="I21" s="81"/>
      <c r="J21" s="79"/>
      <c r="K21" s="81"/>
      <c r="L21" s="79"/>
      <c r="M21" s="122"/>
      <c r="N21" s="79"/>
      <c r="O21" s="122"/>
      <c r="P21" s="79"/>
      <c r="Q21" s="122"/>
      <c r="R21" s="79"/>
      <c r="S21" s="138"/>
      <c r="T21" s="79"/>
      <c r="U21" s="138"/>
      <c r="V21" s="79"/>
      <c r="W21" s="138"/>
      <c r="X21" s="79"/>
      <c r="Y21" s="138"/>
      <c r="Z21" s="79"/>
      <c r="AA21" s="138"/>
      <c r="AB21" s="77">
        <f t="shared" si="0"/>
        <v>0</v>
      </c>
      <c r="AC21" s="61"/>
    </row>
    <row r="22" spans="1:29" s="76" customFormat="1" ht="13" x14ac:dyDescent="0.25">
      <c r="A22" s="90">
        <v>17</v>
      </c>
      <c r="B22" s="185" t="s">
        <v>167</v>
      </c>
      <c r="C22" s="185"/>
      <c r="D22" s="96"/>
      <c r="E22" s="83"/>
      <c r="F22" s="96"/>
      <c r="G22" s="83"/>
      <c r="H22" s="96"/>
      <c r="I22" s="83"/>
      <c r="J22" s="96"/>
      <c r="K22" s="82"/>
      <c r="L22" s="96"/>
      <c r="M22" s="128"/>
      <c r="N22" s="96"/>
      <c r="O22" s="128"/>
      <c r="P22" s="96"/>
      <c r="Q22" s="128"/>
      <c r="R22" s="96"/>
      <c r="S22" s="144"/>
      <c r="T22" s="96"/>
      <c r="U22" s="144"/>
      <c r="V22" s="96"/>
      <c r="W22" s="144"/>
      <c r="X22" s="96"/>
      <c r="Y22" s="144"/>
      <c r="Z22" s="96"/>
      <c r="AA22" s="144"/>
      <c r="AB22" s="77">
        <f t="shared" si="0"/>
        <v>0</v>
      </c>
      <c r="AC22" s="61"/>
    </row>
    <row r="23" spans="1:29" s="76" customFormat="1" ht="13" x14ac:dyDescent="0.25">
      <c r="A23" s="90">
        <v>18</v>
      </c>
      <c r="B23" s="186" t="s">
        <v>134</v>
      </c>
      <c r="C23" s="186"/>
      <c r="D23" s="96">
        <v>72.680000000000007</v>
      </c>
      <c r="E23" s="83">
        <v>72.680000000000007</v>
      </c>
      <c r="F23" s="96">
        <v>72.680000000000007</v>
      </c>
      <c r="G23" s="83">
        <v>72.680000000000007</v>
      </c>
      <c r="H23" s="96">
        <v>72.680000000000007</v>
      </c>
      <c r="I23" s="83">
        <v>72.680000000000007</v>
      </c>
      <c r="J23" s="96">
        <v>72.680000000000007</v>
      </c>
      <c r="K23" s="82">
        <v>72.680000000000007</v>
      </c>
      <c r="L23" s="96">
        <v>72.680000000000007</v>
      </c>
      <c r="M23" s="128">
        <v>72.680000000000007</v>
      </c>
      <c r="N23" s="96">
        <v>72.680000000000007</v>
      </c>
      <c r="O23" s="128">
        <v>72.680000000000007</v>
      </c>
      <c r="P23" s="96">
        <v>72.680000000000007</v>
      </c>
      <c r="Q23" s="128">
        <v>72.680000000000007</v>
      </c>
      <c r="R23" s="96">
        <v>72.680000000000007</v>
      </c>
      <c r="S23" s="144">
        <v>72.680000000000007</v>
      </c>
      <c r="T23" s="96">
        <v>72.680000000000007</v>
      </c>
      <c r="U23" s="144">
        <v>72.680000000000007</v>
      </c>
      <c r="V23" s="96">
        <v>72.680000000000007</v>
      </c>
      <c r="W23" s="144">
        <v>132.68</v>
      </c>
      <c r="X23" s="96">
        <v>72.680000000000007</v>
      </c>
      <c r="Y23" s="144">
        <v>132.68</v>
      </c>
      <c r="Z23" s="96">
        <v>72.680000000000007</v>
      </c>
      <c r="AA23" s="144">
        <v>132.68</v>
      </c>
      <c r="AB23" s="77">
        <f t="shared" si="0"/>
        <v>1500.9200000000008</v>
      </c>
      <c r="AC23" s="61" t="s">
        <v>216</v>
      </c>
    </row>
    <row r="24" spans="1:29" s="76" customFormat="1" ht="12" x14ac:dyDescent="0.25">
      <c r="A24" s="90">
        <v>19</v>
      </c>
      <c r="B24" s="185" t="s">
        <v>168</v>
      </c>
      <c r="C24" s="185"/>
      <c r="D24" s="79"/>
      <c r="E24" s="81"/>
      <c r="F24" s="79"/>
      <c r="G24" s="81"/>
      <c r="H24" s="79"/>
      <c r="I24" s="81"/>
      <c r="J24" s="79"/>
      <c r="K24" s="81"/>
      <c r="L24" s="79"/>
      <c r="M24" s="122"/>
      <c r="N24" s="79"/>
      <c r="O24" s="122"/>
      <c r="P24" s="79"/>
      <c r="Q24" s="122"/>
      <c r="R24" s="79"/>
      <c r="S24" s="138"/>
      <c r="T24" s="79"/>
      <c r="U24" s="138">
        <v>100</v>
      </c>
      <c r="V24" s="79"/>
      <c r="W24" s="138"/>
      <c r="X24" s="79"/>
      <c r="Y24" s="138"/>
      <c r="Z24" s="79"/>
      <c r="AA24" s="138"/>
      <c r="AB24" s="77">
        <f t="shared" si="0"/>
        <v>100</v>
      </c>
      <c r="AC24" s="61"/>
    </row>
    <row r="25" spans="1:29" s="76" customFormat="1" ht="12" x14ac:dyDescent="0.25">
      <c r="A25" s="90">
        <v>20</v>
      </c>
      <c r="B25" s="185" t="s">
        <v>169</v>
      </c>
      <c r="C25" s="185"/>
      <c r="D25" s="79"/>
      <c r="E25" s="81"/>
      <c r="F25" s="79"/>
      <c r="G25" s="81"/>
      <c r="H25" s="79"/>
      <c r="I25" s="81"/>
      <c r="J25" s="79"/>
      <c r="K25" s="81"/>
      <c r="L25" s="79"/>
      <c r="M25" s="122"/>
      <c r="N25" s="79"/>
      <c r="O25" s="122"/>
      <c r="P25" s="79"/>
      <c r="Q25" s="122"/>
      <c r="R25" s="79"/>
      <c r="S25" s="138"/>
      <c r="T25" s="79"/>
      <c r="U25" s="138"/>
      <c r="V25" s="79"/>
      <c r="W25" s="138"/>
      <c r="X25" s="79"/>
      <c r="Y25" s="138"/>
      <c r="Z25" s="79"/>
      <c r="AA25" s="138"/>
      <c r="AB25" s="77">
        <f t="shared" si="0"/>
        <v>0</v>
      </c>
      <c r="AC25" s="61"/>
    </row>
    <row r="26" spans="1:29" s="76" customFormat="1" ht="12" x14ac:dyDescent="0.25">
      <c r="A26" s="90">
        <v>21</v>
      </c>
      <c r="B26" s="185" t="s">
        <v>170</v>
      </c>
      <c r="C26" s="185"/>
      <c r="D26" s="79"/>
      <c r="E26" s="81"/>
      <c r="F26" s="79"/>
      <c r="G26" s="81"/>
      <c r="H26" s="79"/>
      <c r="I26" s="81"/>
      <c r="J26" s="79"/>
      <c r="K26" s="81"/>
      <c r="L26" s="79"/>
      <c r="M26" s="122"/>
      <c r="N26" s="79"/>
      <c r="O26" s="122"/>
      <c r="P26" s="79"/>
      <c r="Q26" s="122"/>
      <c r="R26" s="79"/>
      <c r="S26" s="138"/>
      <c r="T26" s="79"/>
      <c r="U26" s="138"/>
      <c r="V26" s="79"/>
      <c r="W26" s="138"/>
      <c r="X26" s="79"/>
      <c r="Y26" s="138"/>
      <c r="Z26" s="79"/>
      <c r="AA26" s="138"/>
      <c r="AB26" s="77">
        <f t="shared" si="0"/>
        <v>0</v>
      </c>
      <c r="AC26" s="61"/>
    </row>
    <row r="27" spans="1:29" s="76" customFormat="1" ht="12" x14ac:dyDescent="0.25">
      <c r="A27" s="90">
        <v>22</v>
      </c>
      <c r="B27" s="185" t="s">
        <v>171</v>
      </c>
      <c r="C27" s="185"/>
      <c r="D27" s="79"/>
      <c r="E27" s="81">
        <v>158</v>
      </c>
      <c r="F27" s="79"/>
      <c r="G27" s="81"/>
      <c r="H27" s="79"/>
      <c r="I27" s="81">
        <v>56</v>
      </c>
      <c r="J27" s="79"/>
      <c r="K27" s="81">
        <v>-54</v>
      </c>
      <c r="L27" s="79"/>
      <c r="M27" s="122"/>
      <c r="N27" s="79"/>
      <c r="O27" s="122"/>
      <c r="P27" s="79"/>
      <c r="Q27" s="122">
        <v>51.48</v>
      </c>
      <c r="R27" s="79"/>
      <c r="S27" s="138"/>
      <c r="T27" s="79"/>
      <c r="U27" s="138">
        <v>90</v>
      </c>
      <c r="V27" s="79"/>
      <c r="W27" s="138"/>
      <c r="X27" s="79"/>
      <c r="Y27" s="138"/>
      <c r="Z27" s="79"/>
      <c r="AA27" s="138"/>
      <c r="AB27" s="77">
        <f t="shared" si="0"/>
        <v>141.47999999999999</v>
      </c>
      <c r="AC27" s="61"/>
    </row>
    <row r="28" spans="1:29" s="76" customFormat="1" ht="12" x14ac:dyDescent="0.25">
      <c r="A28" s="90">
        <v>23</v>
      </c>
      <c r="B28" s="185" t="s">
        <v>172</v>
      </c>
      <c r="C28" s="185"/>
      <c r="D28" s="62"/>
      <c r="E28" s="82">
        <v>0.9</v>
      </c>
      <c r="F28" s="62"/>
      <c r="G28" s="82">
        <v>2.2999999999999998</v>
      </c>
      <c r="H28" s="62"/>
      <c r="I28" s="82">
        <v>2.2799999999999998</v>
      </c>
      <c r="J28" s="62"/>
      <c r="K28" s="82">
        <v>4.6500000000000004</v>
      </c>
      <c r="L28" s="80">
        <v>4.6500000000000004</v>
      </c>
      <c r="M28" s="124">
        <v>4.42</v>
      </c>
      <c r="N28" s="80">
        <v>4.6500000000000004</v>
      </c>
      <c r="O28" s="124">
        <v>2.7</v>
      </c>
      <c r="P28" s="80">
        <v>4.6500000000000004</v>
      </c>
      <c r="Q28" s="124">
        <v>2.23</v>
      </c>
      <c r="R28" s="80">
        <v>4.6500000000000004</v>
      </c>
      <c r="S28" s="140">
        <v>2.21</v>
      </c>
      <c r="T28" s="80">
        <v>4.6500000000000004</v>
      </c>
      <c r="U28" s="140">
        <v>3.57</v>
      </c>
      <c r="V28" s="80">
        <v>4.6500000000000004</v>
      </c>
      <c r="W28" s="140">
        <v>7.78</v>
      </c>
      <c r="X28" s="80">
        <v>4.6500000000000004</v>
      </c>
      <c r="Y28" s="140">
        <v>1.84</v>
      </c>
      <c r="Z28" s="80">
        <v>4.6500000000000004</v>
      </c>
      <c r="AA28" s="140">
        <v>0.77</v>
      </c>
      <c r="AB28" s="77">
        <f t="shared" si="0"/>
        <v>61.95</v>
      </c>
      <c r="AC28" s="61" t="s">
        <v>223</v>
      </c>
    </row>
    <row r="29" spans="1:29" s="76" customFormat="1" ht="12" x14ac:dyDescent="0.25">
      <c r="A29" s="90">
        <v>24</v>
      </c>
      <c r="B29" s="186" t="s">
        <v>173</v>
      </c>
      <c r="C29" s="186"/>
      <c r="D29" s="62"/>
      <c r="E29" s="82"/>
      <c r="F29" s="62"/>
      <c r="G29" s="82"/>
      <c r="H29" s="62"/>
      <c r="I29" s="82"/>
      <c r="J29" s="62"/>
      <c r="K29" s="82"/>
      <c r="L29" s="62"/>
      <c r="M29" s="129"/>
      <c r="N29" s="62"/>
      <c r="O29" s="129"/>
      <c r="P29" s="62"/>
      <c r="Q29" s="129"/>
      <c r="R29" s="62"/>
      <c r="S29" s="145"/>
      <c r="T29" s="62"/>
      <c r="U29" s="145"/>
      <c r="V29" s="62"/>
      <c r="W29" s="145"/>
      <c r="X29" s="62"/>
      <c r="Y29" s="145"/>
      <c r="Z29" s="62"/>
      <c r="AA29" s="145"/>
      <c r="AB29" s="77">
        <f t="shared" si="0"/>
        <v>0</v>
      </c>
      <c r="AC29" s="61"/>
    </row>
    <row r="30" spans="1:29" s="76" customFormat="1" ht="12" x14ac:dyDescent="0.25">
      <c r="A30" s="90">
        <v>25</v>
      </c>
      <c r="B30" s="186" t="s">
        <v>174</v>
      </c>
      <c r="C30" s="186"/>
      <c r="D30" s="80" t="e">
        <f>#REF!</f>
        <v>#REF!</v>
      </c>
      <c r="E30" s="82">
        <v>5398</v>
      </c>
      <c r="F30" s="80" t="e">
        <f>#REF!</f>
        <v>#REF!</v>
      </c>
      <c r="G30" s="82">
        <v>1506.76</v>
      </c>
      <c r="H30" s="80" t="e">
        <f>#REF!</f>
        <v>#REF!</v>
      </c>
      <c r="I30" s="82">
        <v>1130</v>
      </c>
      <c r="J30" s="80" t="e">
        <f>#REF!</f>
        <v>#REF!</v>
      </c>
      <c r="K30" s="82">
        <f>570+240+151+145+110</f>
        <v>1216</v>
      </c>
      <c r="L30" s="80" t="e">
        <f>#REF!</f>
        <v>#REF!</v>
      </c>
      <c r="M30" s="124">
        <v>1087</v>
      </c>
      <c r="N30" s="80" t="e">
        <f>#REF!</f>
        <v>#REF!</v>
      </c>
      <c r="O30" s="124">
        <v>1031</v>
      </c>
      <c r="P30" s="80" t="e">
        <f>#REF!</f>
        <v>#REF!</v>
      </c>
      <c r="Q30" s="124">
        <v>1361.7</v>
      </c>
      <c r="R30" s="80" t="e">
        <f>#REF!</f>
        <v>#REF!</v>
      </c>
      <c r="S30" s="140">
        <v>1420</v>
      </c>
      <c r="T30" s="80" t="e">
        <f>#REF!</f>
        <v>#REF!</v>
      </c>
      <c r="U30" s="140">
        <v>1997.84</v>
      </c>
      <c r="V30" s="80" t="e">
        <f>#REF!</f>
        <v>#REF!</v>
      </c>
      <c r="W30" s="140">
        <v>1178</v>
      </c>
      <c r="X30" s="80" t="e">
        <f>#REF!</f>
        <v>#REF!</v>
      </c>
      <c r="Y30" s="140">
        <v>1445</v>
      </c>
      <c r="Z30" s="80" t="e">
        <f>#REF!</f>
        <v>#REF!</v>
      </c>
      <c r="AA30" s="140">
        <v>1074</v>
      </c>
      <c r="AB30" s="77" t="e">
        <f t="shared" si="0"/>
        <v>#REF!</v>
      </c>
      <c r="AC30" s="61"/>
    </row>
    <row r="31" spans="1:29" s="76" customFormat="1" ht="12" x14ac:dyDescent="0.25">
      <c r="A31" s="90">
        <v>26</v>
      </c>
      <c r="B31" s="186" t="s">
        <v>175</v>
      </c>
      <c r="C31" s="186"/>
      <c r="D31" s="79">
        <f>D9*6%</f>
        <v>1431.75</v>
      </c>
      <c r="E31" s="81">
        <v>1970.3982000000001</v>
      </c>
      <c r="F31" s="79">
        <f t="shared" ref="F31:Z31" si="4">F9*6%</f>
        <v>2019.75</v>
      </c>
      <c r="G31" s="81">
        <v>2857.0434</v>
      </c>
      <c r="H31" s="79">
        <f t="shared" si="4"/>
        <v>2431.35</v>
      </c>
      <c r="I31" s="81">
        <v>3943.1933999999997</v>
      </c>
      <c r="J31" s="79">
        <f t="shared" si="4"/>
        <v>2060.6999999999998</v>
      </c>
      <c r="K31" s="81">
        <f>K9*0.06</f>
        <v>4966.2983999999997</v>
      </c>
      <c r="L31" s="79">
        <f t="shared" si="4"/>
        <v>2320.2249000000006</v>
      </c>
      <c r="M31" s="122">
        <v>4256.3993999999993</v>
      </c>
      <c r="N31" s="79">
        <f t="shared" si="4"/>
        <v>1582.8249000000001</v>
      </c>
      <c r="O31" s="122">
        <v>2053.1142</v>
      </c>
      <c r="P31" s="79">
        <f t="shared" si="4"/>
        <v>1037.6197499999998</v>
      </c>
      <c r="Q31" s="122">
        <v>919.37160000000006</v>
      </c>
      <c r="R31" s="79">
        <f t="shared" si="4"/>
        <v>1328.09475</v>
      </c>
      <c r="S31" s="138">
        <v>1873.5756000000001</v>
      </c>
      <c r="T31" s="79">
        <f t="shared" si="4"/>
        <v>2048.2980000000002</v>
      </c>
      <c r="U31" s="138">
        <v>3045.7343999999998</v>
      </c>
      <c r="V31" s="79">
        <f t="shared" si="4"/>
        <v>3621.7950000000001</v>
      </c>
      <c r="W31" s="138">
        <v>2186.1960000000004</v>
      </c>
      <c r="X31" s="79">
        <f t="shared" si="4"/>
        <v>1184.3999999999999</v>
      </c>
      <c r="Y31" s="138">
        <v>1252.6962000000001</v>
      </c>
      <c r="Z31" s="79">
        <f t="shared" si="4"/>
        <v>2484</v>
      </c>
      <c r="AA31" s="138">
        <v>2134.6878000000002</v>
      </c>
      <c r="AB31" s="77">
        <f t="shared" si="0"/>
        <v>39137.894700000004</v>
      </c>
      <c r="AC31" s="61" t="s">
        <v>217</v>
      </c>
    </row>
    <row r="32" spans="1:29" s="76" customFormat="1" ht="12" x14ac:dyDescent="0.25">
      <c r="A32" s="90">
        <v>27</v>
      </c>
      <c r="B32" s="185" t="s">
        <v>176</v>
      </c>
      <c r="C32" s="185"/>
      <c r="D32" s="62"/>
      <c r="E32" s="82"/>
      <c r="F32" s="62"/>
      <c r="G32" s="82"/>
      <c r="H32" s="62"/>
      <c r="I32" s="82"/>
      <c r="J32" s="80">
        <v>-10000</v>
      </c>
      <c r="K32" s="83">
        <v>-10000</v>
      </c>
      <c r="L32" s="80">
        <v>-10000</v>
      </c>
      <c r="M32" s="124">
        <v>-10000</v>
      </c>
      <c r="N32" s="80">
        <v>-10000</v>
      </c>
      <c r="O32" s="124">
        <v>-6.24</v>
      </c>
      <c r="P32" s="62"/>
      <c r="Q32" s="129">
        <v>71.42</v>
      </c>
      <c r="R32" s="62"/>
      <c r="S32" s="145"/>
      <c r="T32" s="62"/>
      <c r="U32" s="145">
        <v>50</v>
      </c>
      <c r="V32" s="62"/>
      <c r="W32" s="145">
        <v>2411.6</v>
      </c>
      <c r="X32" s="62"/>
      <c r="Y32" s="145">
        <v>-14220.32</v>
      </c>
      <c r="Z32" s="62"/>
      <c r="AA32" s="145">
        <v>-8926.42</v>
      </c>
      <c r="AB32" s="77">
        <f t="shared" si="0"/>
        <v>-51693.54</v>
      </c>
      <c r="AC32" s="61"/>
    </row>
    <row r="33" spans="1:29" s="76" customFormat="1" ht="12" x14ac:dyDescent="0.25">
      <c r="A33" s="91"/>
      <c r="B33" s="182" t="s">
        <v>177</v>
      </c>
      <c r="C33" s="182"/>
      <c r="D33" s="92" t="e">
        <f>SUM(D14:D32)</f>
        <v>#REF!</v>
      </c>
      <c r="E33" s="93">
        <v>8040.0781999999999</v>
      </c>
      <c r="F33" s="92" t="e">
        <f t="shared" ref="F33:Z33" si="5">SUM(F14:F32)</f>
        <v>#REF!</v>
      </c>
      <c r="G33" s="93">
        <v>8912.9034000000011</v>
      </c>
      <c r="H33" s="92" t="e">
        <f t="shared" si="5"/>
        <v>#REF!</v>
      </c>
      <c r="I33" s="93">
        <v>8477.6633999999995</v>
      </c>
      <c r="J33" s="92" t="e">
        <f t="shared" si="5"/>
        <v>#REF!</v>
      </c>
      <c r="K33" s="93">
        <f t="shared" si="5"/>
        <v>3143.9683999999997</v>
      </c>
      <c r="L33" s="92" t="e">
        <f t="shared" si="5"/>
        <v>#REF!</v>
      </c>
      <c r="M33" s="125">
        <v>-3016.3306000000002</v>
      </c>
      <c r="N33" s="92" t="e">
        <f t="shared" si="5"/>
        <v>#REF!</v>
      </c>
      <c r="O33" s="125">
        <v>2970.8642</v>
      </c>
      <c r="P33" s="92" t="e">
        <f t="shared" si="5"/>
        <v>#REF!</v>
      </c>
      <c r="Q33" s="125">
        <v>6032.5616</v>
      </c>
      <c r="R33" s="92" t="e">
        <f t="shared" si="5"/>
        <v>#REF!</v>
      </c>
      <c r="S33" s="141">
        <v>5309.7755999999999</v>
      </c>
      <c r="T33" s="92" t="e">
        <f t="shared" si="5"/>
        <v>#REF!</v>
      </c>
      <c r="U33" s="141">
        <v>18028.3544</v>
      </c>
      <c r="V33" s="92" t="e">
        <f t="shared" si="5"/>
        <v>#REF!</v>
      </c>
      <c r="W33" s="141">
        <v>18893.545999999998</v>
      </c>
      <c r="X33" s="92" t="e">
        <f t="shared" si="5"/>
        <v>#REF!</v>
      </c>
      <c r="Y33" s="141">
        <v>-12615.4938</v>
      </c>
      <c r="Z33" s="92" t="e">
        <f t="shared" si="5"/>
        <v>#REF!</v>
      </c>
      <c r="AA33" s="141">
        <v>5958.4578000000001</v>
      </c>
      <c r="AB33" s="77" t="e">
        <f t="shared" si="0"/>
        <v>#REF!</v>
      </c>
      <c r="AC33" s="61"/>
    </row>
    <row r="34" spans="1:29" s="76" customFormat="1" ht="12" x14ac:dyDescent="0.25">
      <c r="A34" s="90">
        <v>28</v>
      </c>
      <c r="B34" s="185" t="s">
        <v>178</v>
      </c>
      <c r="C34" s="185"/>
      <c r="D34" s="63"/>
      <c r="E34" s="84"/>
      <c r="F34" s="63"/>
      <c r="G34" s="84"/>
      <c r="H34" s="63"/>
      <c r="I34" s="84"/>
      <c r="J34" s="63"/>
      <c r="K34" s="84"/>
      <c r="L34" s="63"/>
      <c r="M34" s="130"/>
      <c r="N34" s="63"/>
      <c r="O34" s="130"/>
      <c r="P34" s="63"/>
      <c r="Q34" s="130"/>
      <c r="R34" s="63"/>
      <c r="S34" s="146">
        <v>300</v>
      </c>
      <c r="T34" s="63"/>
      <c r="U34" s="146"/>
      <c r="V34" s="63"/>
      <c r="W34" s="146"/>
      <c r="X34" s="63"/>
      <c r="Y34" s="146">
        <v>1200</v>
      </c>
      <c r="Z34" s="63"/>
      <c r="AA34" s="146"/>
      <c r="AB34" s="77">
        <f t="shared" si="0"/>
        <v>1500</v>
      </c>
      <c r="AC34" s="61"/>
    </row>
    <row r="35" spans="1:29" s="76" customFormat="1" ht="13.5" customHeight="1" x14ac:dyDescent="0.25">
      <c r="A35" s="90">
        <v>29</v>
      </c>
      <c r="B35" s="187" t="s">
        <v>179</v>
      </c>
      <c r="C35" s="90" t="s">
        <v>180</v>
      </c>
      <c r="D35" s="79"/>
      <c r="E35" s="81"/>
      <c r="F35" s="79"/>
      <c r="G35" s="81"/>
      <c r="H35" s="79"/>
      <c r="I35" s="81"/>
      <c r="J35" s="79"/>
      <c r="K35" s="81"/>
      <c r="L35" s="79"/>
      <c r="M35" s="122"/>
      <c r="N35" s="79"/>
      <c r="O35" s="122"/>
      <c r="P35" s="79"/>
      <c r="Q35" s="122"/>
      <c r="R35" s="79"/>
      <c r="S35" s="138"/>
      <c r="T35" s="79"/>
      <c r="U35" s="138"/>
      <c r="V35" s="79"/>
      <c r="W35" s="138"/>
      <c r="X35" s="79"/>
      <c r="Y35" s="138"/>
      <c r="Z35" s="79"/>
      <c r="AA35" s="138"/>
      <c r="AB35" s="77">
        <f t="shared" si="0"/>
        <v>0</v>
      </c>
      <c r="AC35" s="61"/>
    </row>
    <row r="36" spans="1:29" s="76" customFormat="1" ht="12" x14ac:dyDescent="0.25">
      <c r="A36" s="90">
        <v>30</v>
      </c>
      <c r="B36" s="187"/>
      <c r="C36" s="90" t="s">
        <v>181</v>
      </c>
      <c r="D36" s="79"/>
      <c r="E36" s="81"/>
      <c r="F36" s="79"/>
      <c r="G36" s="81"/>
      <c r="H36" s="79"/>
      <c r="I36" s="81"/>
      <c r="J36" s="79"/>
      <c r="K36" s="81"/>
      <c r="L36" s="79"/>
      <c r="M36" s="122"/>
      <c r="N36" s="79"/>
      <c r="O36" s="122"/>
      <c r="P36" s="79"/>
      <c r="Q36" s="122"/>
      <c r="R36" s="79"/>
      <c r="S36" s="138"/>
      <c r="T36" s="79"/>
      <c r="U36" s="138"/>
      <c r="V36" s="79"/>
      <c r="W36" s="138"/>
      <c r="X36" s="79"/>
      <c r="Y36" s="138"/>
      <c r="Z36" s="79"/>
      <c r="AA36" s="138"/>
      <c r="AB36" s="77">
        <f t="shared" si="0"/>
        <v>0</v>
      </c>
      <c r="AC36" s="61"/>
    </row>
    <row r="37" spans="1:29" s="76" customFormat="1" ht="12" x14ac:dyDescent="0.25">
      <c r="A37" s="90">
        <v>31</v>
      </c>
      <c r="B37" s="187"/>
      <c r="C37" s="90" t="s">
        <v>182</v>
      </c>
      <c r="D37" s="79"/>
      <c r="E37" s="81"/>
      <c r="F37" s="79"/>
      <c r="G37" s="81"/>
      <c r="H37" s="79"/>
      <c r="I37" s="81"/>
      <c r="J37" s="79"/>
      <c r="K37" s="81"/>
      <c r="L37" s="79"/>
      <c r="M37" s="122"/>
      <c r="N37" s="79"/>
      <c r="O37" s="122"/>
      <c r="P37" s="79"/>
      <c r="Q37" s="122"/>
      <c r="R37" s="79"/>
      <c r="S37" s="138"/>
      <c r="T37" s="79"/>
      <c r="U37" s="138"/>
      <c r="V37" s="79"/>
      <c r="W37" s="138"/>
      <c r="X37" s="79"/>
      <c r="Y37" s="138"/>
      <c r="Z37" s="79"/>
      <c r="AA37" s="138"/>
      <c r="AB37" s="77">
        <f t="shared" si="0"/>
        <v>0</v>
      </c>
      <c r="AC37" s="61"/>
    </row>
    <row r="38" spans="1:29" s="76" customFormat="1" ht="12" x14ac:dyDescent="0.25">
      <c r="A38" s="90">
        <v>32</v>
      </c>
      <c r="B38" s="187"/>
      <c r="C38" s="90" t="s">
        <v>183</v>
      </c>
      <c r="D38" s="79"/>
      <c r="E38" s="81"/>
      <c r="F38" s="79"/>
      <c r="G38" s="81"/>
      <c r="H38" s="79"/>
      <c r="I38" s="81"/>
      <c r="J38" s="79"/>
      <c r="K38" s="81"/>
      <c r="L38" s="79"/>
      <c r="M38" s="122"/>
      <c r="N38" s="79"/>
      <c r="O38" s="122"/>
      <c r="P38" s="79"/>
      <c r="Q38" s="122"/>
      <c r="R38" s="79"/>
      <c r="S38" s="138"/>
      <c r="T38" s="79"/>
      <c r="U38" s="138"/>
      <c r="V38" s="79"/>
      <c r="W38" s="138"/>
      <c r="X38" s="79"/>
      <c r="Y38" s="138"/>
      <c r="Z38" s="79"/>
      <c r="AA38" s="138"/>
      <c r="AB38" s="77">
        <f t="shared" si="0"/>
        <v>0</v>
      </c>
      <c r="AC38" s="61"/>
    </row>
    <row r="39" spans="1:29" s="76" customFormat="1" ht="12" x14ac:dyDescent="0.25">
      <c r="A39" s="90">
        <v>33</v>
      </c>
      <c r="B39" s="187"/>
      <c r="C39" s="90" t="s">
        <v>184</v>
      </c>
      <c r="D39" s="79"/>
      <c r="E39" s="81"/>
      <c r="F39" s="79"/>
      <c r="G39" s="81"/>
      <c r="H39" s="79"/>
      <c r="I39" s="81"/>
      <c r="J39" s="79"/>
      <c r="K39" s="81"/>
      <c r="L39" s="79"/>
      <c r="M39" s="122"/>
      <c r="N39" s="79"/>
      <c r="O39" s="122"/>
      <c r="P39" s="79"/>
      <c r="Q39" s="122"/>
      <c r="R39" s="79"/>
      <c r="S39" s="138"/>
      <c r="T39" s="79"/>
      <c r="U39" s="138"/>
      <c r="V39" s="79"/>
      <c r="W39" s="138"/>
      <c r="X39" s="79"/>
      <c r="Y39" s="138"/>
      <c r="Z39" s="79"/>
      <c r="AA39" s="138"/>
      <c r="AB39" s="77">
        <f t="shared" si="0"/>
        <v>0</v>
      </c>
      <c r="AC39" s="61"/>
    </row>
    <row r="40" spans="1:29" s="76" customFormat="1" ht="12" x14ac:dyDescent="0.25">
      <c r="A40" s="90">
        <v>34</v>
      </c>
      <c r="B40" s="185" t="s">
        <v>185</v>
      </c>
      <c r="C40" s="185"/>
      <c r="D40" s="79"/>
      <c r="E40" s="81"/>
      <c r="F40" s="79"/>
      <c r="G40" s="81"/>
      <c r="H40" s="79"/>
      <c r="I40" s="81"/>
      <c r="J40" s="79"/>
      <c r="K40" s="81"/>
      <c r="L40" s="79"/>
      <c r="M40" s="122"/>
      <c r="N40" s="79"/>
      <c r="O40" s="122"/>
      <c r="P40" s="79"/>
      <c r="Q40" s="122"/>
      <c r="R40" s="79"/>
      <c r="S40" s="138">
        <v>10</v>
      </c>
      <c r="T40" s="79"/>
      <c r="U40" s="138"/>
      <c r="V40" s="79"/>
      <c r="W40" s="138"/>
      <c r="X40" s="79"/>
      <c r="Y40" s="138"/>
      <c r="Z40" s="79"/>
      <c r="AA40" s="138"/>
      <c r="AB40" s="77">
        <f t="shared" si="0"/>
        <v>10</v>
      </c>
      <c r="AC40" s="61"/>
    </row>
    <row r="41" spans="1:29" s="76" customFormat="1" ht="12" x14ac:dyDescent="0.25">
      <c r="A41" s="90">
        <v>35</v>
      </c>
      <c r="B41" s="185" t="s">
        <v>186</v>
      </c>
      <c r="C41" s="185"/>
      <c r="D41" s="79"/>
      <c r="E41" s="81"/>
      <c r="F41" s="79"/>
      <c r="G41" s="81"/>
      <c r="H41" s="79"/>
      <c r="I41" s="81"/>
      <c r="J41" s="79"/>
      <c r="K41" s="81"/>
      <c r="L41" s="79"/>
      <c r="M41" s="122"/>
      <c r="N41" s="79"/>
      <c r="O41" s="122"/>
      <c r="P41" s="79"/>
      <c r="Q41" s="122"/>
      <c r="R41" s="79"/>
      <c r="S41" s="138">
        <v>45</v>
      </c>
      <c r="T41" s="79"/>
      <c r="U41" s="138"/>
      <c r="V41" s="79"/>
      <c r="W41" s="138"/>
      <c r="X41" s="79"/>
      <c r="Y41" s="138"/>
      <c r="Z41" s="79"/>
      <c r="AA41" s="138"/>
      <c r="AB41" s="77">
        <f t="shared" si="0"/>
        <v>45</v>
      </c>
      <c r="AC41" s="61"/>
    </row>
    <row r="42" spans="1:29" s="76" customFormat="1" ht="12" x14ac:dyDescent="0.25">
      <c r="A42" s="90">
        <v>36</v>
      </c>
      <c r="B42" s="185" t="s">
        <v>187</v>
      </c>
      <c r="C42" s="185"/>
      <c r="D42" s="79"/>
      <c r="E42" s="81"/>
      <c r="F42" s="79"/>
      <c r="G42" s="81"/>
      <c r="H42" s="79"/>
      <c r="I42" s="81"/>
      <c r="J42" s="79"/>
      <c r="K42" s="81"/>
      <c r="L42" s="79"/>
      <c r="M42" s="122"/>
      <c r="N42" s="79"/>
      <c r="O42" s="122"/>
      <c r="P42" s="79"/>
      <c r="Q42" s="122"/>
      <c r="R42" s="79"/>
      <c r="S42" s="138"/>
      <c r="T42" s="79"/>
      <c r="U42" s="138"/>
      <c r="V42" s="79"/>
      <c r="W42" s="138"/>
      <c r="X42" s="79"/>
      <c r="Y42" s="138"/>
      <c r="Z42" s="79"/>
      <c r="AA42" s="138"/>
      <c r="AB42" s="77">
        <f t="shared" si="0"/>
        <v>0</v>
      </c>
      <c r="AC42" s="61"/>
    </row>
    <row r="43" spans="1:29" s="76" customFormat="1" ht="12" x14ac:dyDescent="0.25">
      <c r="A43" s="91"/>
      <c r="B43" s="182" t="s">
        <v>188</v>
      </c>
      <c r="C43" s="182"/>
      <c r="D43" s="92">
        <f>SUM(D34:D42)</f>
        <v>0</v>
      </c>
      <c r="E43" s="93">
        <v>0</v>
      </c>
      <c r="F43" s="92">
        <f t="shared" ref="F43:Z43" si="6">SUM(F34:F42)</f>
        <v>0</v>
      </c>
      <c r="G43" s="93">
        <v>0</v>
      </c>
      <c r="H43" s="92">
        <f t="shared" si="6"/>
        <v>0</v>
      </c>
      <c r="I43" s="93">
        <v>0</v>
      </c>
      <c r="J43" s="92">
        <f t="shared" si="6"/>
        <v>0</v>
      </c>
      <c r="K43" s="93">
        <f t="shared" si="6"/>
        <v>0</v>
      </c>
      <c r="L43" s="92">
        <f t="shared" si="6"/>
        <v>0</v>
      </c>
      <c r="M43" s="125">
        <v>0</v>
      </c>
      <c r="N43" s="92">
        <f t="shared" si="6"/>
        <v>0</v>
      </c>
      <c r="O43" s="125">
        <v>0</v>
      </c>
      <c r="P43" s="92">
        <f t="shared" si="6"/>
        <v>0</v>
      </c>
      <c r="Q43" s="125">
        <v>0</v>
      </c>
      <c r="R43" s="92">
        <f t="shared" si="6"/>
        <v>0</v>
      </c>
      <c r="S43" s="141">
        <v>355</v>
      </c>
      <c r="T43" s="92">
        <f t="shared" si="6"/>
        <v>0</v>
      </c>
      <c r="U43" s="141">
        <v>0</v>
      </c>
      <c r="V43" s="92">
        <f t="shared" si="6"/>
        <v>0</v>
      </c>
      <c r="W43" s="141">
        <v>0</v>
      </c>
      <c r="X43" s="92">
        <f t="shared" si="6"/>
        <v>0</v>
      </c>
      <c r="Y43" s="141">
        <v>1200</v>
      </c>
      <c r="Z43" s="92">
        <f t="shared" si="6"/>
        <v>0</v>
      </c>
      <c r="AA43" s="141">
        <v>0</v>
      </c>
      <c r="AB43" s="77">
        <f t="shared" si="0"/>
        <v>1555</v>
      </c>
      <c r="AC43" s="61"/>
    </row>
    <row r="44" spans="1:29" s="76" customFormat="1" ht="12" x14ac:dyDescent="0.25">
      <c r="A44" s="90">
        <v>37</v>
      </c>
      <c r="B44" s="185" t="s">
        <v>189</v>
      </c>
      <c r="C44" s="185"/>
      <c r="D44" s="79"/>
      <c r="E44" s="81"/>
      <c r="F44" s="79"/>
      <c r="G44" s="81"/>
      <c r="H44" s="79"/>
      <c r="I44" s="81"/>
      <c r="J44" s="79"/>
      <c r="K44" s="81"/>
      <c r="L44" s="79"/>
      <c r="M44" s="122"/>
      <c r="N44" s="79"/>
      <c r="O44" s="122"/>
      <c r="P44" s="79"/>
      <c r="Q44" s="122"/>
      <c r="R44" s="79"/>
      <c r="S44" s="138"/>
      <c r="T44" s="79"/>
      <c r="U44" s="138"/>
      <c r="V44" s="79"/>
      <c r="W44" s="138"/>
      <c r="X44" s="79"/>
      <c r="Y44" s="138"/>
      <c r="Z44" s="79"/>
      <c r="AA44" s="138"/>
      <c r="AB44" s="77">
        <f t="shared" si="0"/>
        <v>0</v>
      </c>
      <c r="AC44" s="61"/>
    </row>
    <row r="45" spans="1:29" s="76" customFormat="1" ht="12" x14ac:dyDescent="0.25">
      <c r="A45" s="90">
        <v>38</v>
      </c>
      <c r="B45" s="185" t="s">
        <v>190</v>
      </c>
      <c r="C45" s="185"/>
      <c r="D45" s="79"/>
      <c r="E45" s="81"/>
      <c r="F45" s="79"/>
      <c r="G45" s="81"/>
      <c r="H45" s="79"/>
      <c r="I45" s="81"/>
      <c r="J45" s="79"/>
      <c r="K45" s="81"/>
      <c r="L45" s="79"/>
      <c r="M45" s="122"/>
      <c r="N45" s="79"/>
      <c r="O45" s="122"/>
      <c r="P45" s="79"/>
      <c r="Q45" s="122"/>
      <c r="R45" s="79"/>
      <c r="S45" s="138"/>
      <c r="T45" s="79"/>
      <c r="U45" s="138"/>
      <c r="V45" s="79"/>
      <c r="W45" s="138"/>
      <c r="X45" s="79"/>
      <c r="Y45" s="138"/>
      <c r="Z45" s="79"/>
      <c r="AA45" s="138"/>
      <c r="AB45" s="77">
        <f t="shared" si="0"/>
        <v>0</v>
      </c>
      <c r="AC45" s="61"/>
    </row>
    <row r="46" spans="1:29" s="76" customFormat="1" ht="12" x14ac:dyDescent="0.25">
      <c r="A46" s="90">
        <v>39</v>
      </c>
      <c r="B46" s="185" t="s">
        <v>191</v>
      </c>
      <c r="C46" s="185"/>
      <c r="D46" s="63"/>
      <c r="E46" s="84"/>
      <c r="F46" s="63"/>
      <c r="G46" s="84"/>
      <c r="H46" s="63"/>
      <c r="I46" s="84"/>
      <c r="J46" s="63"/>
      <c r="K46" s="84"/>
      <c r="L46" s="63"/>
      <c r="M46" s="130"/>
      <c r="N46" s="63"/>
      <c r="O46" s="130"/>
      <c r="P46" s="63"/>
      <c r="Q46" s="130"/>
      <c r="R46" s="63"/>
      <c r="S46" s="146"/>
      <c r="T46" s="63"/>
      <c r="U46" s="146"/>
      <c r="V46" s="63"/>
      <c r="W46" s="146"/>
      <c r="X46" s="63"/>
      <c r="Y46" s="146"/>
      <c r="Z46" s="63"/>
      <c r="AA46" s="146"/>
      <c r="AB46" s="77">
        <f t="shared" si="0"/>
        <v>0</v>
      </c>
      <c r="AC46" s="61"/>
    </row>
    <row r="47" spans="1:29" s="76" customFormat="1" ht="12" x14ac:dyDescent="0.25">
      <c r="A47" s="90">
        <v>40</v>
      </c>
      <c r="B47" s="185" t="s">
        <v>192</v>
      </c>
      <c r="C47" s="185"/>
      <c r="D47" s="63"/>
      <c r="E47" s="84"/>
      <c r="F47" s="63"/>
      <c r="G47" s="84"/>
      <c r="H47" s="63"/>
      <c r="I47" s="84"/>
      <c r="J47" s="63"/>
      <c r="K47" s="84"/>
      <c r="L47" s="63"/>
      <c r="M47" s="130"/>
      <c r="N47" s="63"/>
      <c r="O47" s="130"/>
      <c r="P47" s="63"/>
      <c r="Q47" s="130"/>
      <c r="R47" s="63"/>
      <c r="S47" s="146"/>
      <c r="T47" s="63"/>
      <c r="U47" s="146"/>
      <c r="V47" s="63"/>
      <c r="W47" s="146"/>
      <c r="X47" s="63"/>
      <c r="Y47" s="146"/>
      <c r="Z47" s="63"/>
      <c r="AA47" s="146"/>
      <c r="AB47" s="77">
        <f t="shared" si="0"/>
        <v>0</v>
      </c>
      <c r="AC47" s="61"/>
    </row>
    <row r="48" spans="1:29" s="76" customFormat="1" ht="12" x14ac:dyDescent="0.25">
      <c r="A48" s="90">
        <v>41</v>
      </c>
      <c r="B48" s="186" t="s">
        <v>193</v>
      </c>
      <c r="C48" s="186"/>
      <c r="D48" s="63"/>
      <c r="E48" s="84"/>
      <c r="F48" s="63"/>
      <c r="G48" s="84"/>
      <c r="H48" s="63"/>
      <c r="I48" s="84"/>
      <c r="J48" s="63"/>
      <c r="K48" s="84"/>
      <c r="L48" s="63"/>
      <c r="M48" s="130"/>
      <c r="N48" s="63"/>
      <c r="O48" s="130"/>
      <c r="P48" s="63"/>
      <c r="Q48" s="130"/>
      <c r="R48" s="63"/>
      <c r="S48" s="146"/>
      <c r="T48" s="63"/>
      <c r="U48" s="146"/>
      <c r="V48" s="63"/>
      <c r="W48" s="146"/>
      <c r="X48" s="63"/>
      <c r="Y48" s="146"/>
      <c r="Z48" s="63"/>
      <c r="AA48" s="146"/>
      <c r="AB48" s="77">
        <f t="shared" si="0"/>
        <v>0</v>
      </c>
      <c r="AC48" s="61"/>
    </row>
    <row r="49" spans="1:29" s="76" customFormat="1" ht="12" x14ac:dyDescent="0.25">
      <c r="A49" s="91"/>
      <c r="B49" s="182" t="s">
        <v>194</v>
      </c>
      <c r="C49" s="182"/>
      <c r="D49" s="92">
        <f>SUM(D44:D48)</f>
        <v>0</v>
      </c>
      <c r="E49" s="93">
        <v>0</v>
      </c>
      <c r="F49" s="92">
        <f t="shared" ref="F49:Z49" si="7">SUM(F44:F48)</f>
        <v>0</v>
      </c>
      <c r="G49" s="93">
        <v>0</v>
      </c>
      <c r="H49" s="92">
        <f t="shared" si="7"/>
        <v>0</v>
      </c>
      <c r="I49" s="93">
        <v>0</v>
      </c>
      <c r="J49" s="92">
        <f t="shared" si="7"/>
        <v>0</v>
      </c>
      <c r="K49" s="93">
        <f>SUM(K44:K48)</f>
        <v>0</v>
      </c>
      <c r="L49" s="92">
        <f t="shared" si="7"/>
        <v>0</v>
      </c>
      <c r="M49" s="125">
        <v>0</v>
      </c>
      <c r="N49" s="92">
        <f t="shared" si="7"/>
        <v>0</v>
      </c>
      <c r="O49" s="125">
        <v>0</v>
      </c>
      <c r="P49" s="92">
        <f t="shared" si="7"/>
        <v>0</v>
      </c>
      <c r="Q49" s="125">
        <v>0</v>
      </c>
      <c r="R49" s="92">
        <f t="shared" si="7"/>
        <v>0</v>
      </c>
      <c r="S49" s="141">
        <v>0</v>
      </c>
      <c r="T49" s="92">
        <f t="shared" si="7"/>
        <v>0</v>
      </c>
      <c r="U49" s="141">
        <v>0</v>
      </c>
      <c r="V49" s="92">
        <f t="shared" si="7"/>
        <v>0</v>
      </c>
      <c r="W49" s="141">
        <v>0</v>
      </c>
      <c r="X49" s="92">
        <f t="shared" si="7"/>
        <v>0</v>
      </c>
      <c r="Y49" s="141">
        <v>0</v>
      </c>
      <c r="Z49" s="92">
        <f t="shared" si="7"/>
        <v>0</v>
      </c>
      <c r="AA49" s="141">
        <v>0</v>
      </c>
      <c r="AB49" s="92">
        <f>SUM(AB44:AB48)</f>
        <v>0</v>
      </c>
      <c r="AC49" s="61"/>
    </row>
    <row r="50" spans="1:29" s="76" customFormat="1" ht="12" x14ac:dyDescent="0.25">
      <c r="A50" s="91"/>
      <c r="B50" s="182" t="s">
        <v>195</v>
      </c>
      <c r="C50" s="182"/>
      <c r="D50" s="92" t="e">
        <f>D49+D43+D33+D13</f>
        <v>#REF!</v>
      </c>
      <c r="E50" s="93">
        <v>46690.478199999998</v>
      </c>
      <c r="F50" s="92" t="e">
        <f t="shared" ref="F50:Z50" si="8">F49+F43+F33+F13</f>
        <v>#REF!</v>
      </c>
      <c r="G50" s="93">
        <v>16450.403400000003</v>
      </c>
      <c r="H50" s="92" t="e">
        <f t="shared" si="8"/>
        <v>#REF!</v>
      </c>
      <c r="I50" s="93">
        <v>21891.393400000001</v>
      </c>
      <c r="J50" s="92" t="e">
        <f t="shared" si="8"/>
        <v>#REF!</v>
      </c>
      <c r="K50" s="93">
        <f>K49+K43+K33+K13</f>
        <v>10600.868399999999</v>
      </c>
      <c r="L50" s="92" t="e">
        <f t="shared" si="8"/>
        <v>#REF!</v>
      </c>
      <c r="M50" s="125">
        <v>5114.5693999999994</v>
      </c>
      <c r="N50" s="92" t="e">
        <f t="shared" si="8"/>
        <v>#REF!</v>
      </c>
      <c r="O50" s="125">
        <v>22246.464200000002</v>
      </c>
      <c r="P50" s="92" t="e">
        <f t="shared" si="8"/>
        <v>#REF!</v>
      </c>
      <c r="Q50" s="125">
        <v>16092.5216</v>
      </c>
      <c r="R50" s="92" t="e">
        <f t="shared" si="8"/>
        <v>#REF!</v>
      </c>
      <c r="S50" s="141">
        <v>16544.475600000002</v>
      </c>
      <c r="T50" s="92" t="e">
        <f t="shared" si="8"/>
        <v>#REF!</v>
      </c>
      <c r="U50" s="141">
        <v>29548.394399999997</v>
      </c>
      <c r="V50" s="92" t="e">
        <f t="shared" si="8"/>
        <v>#REF!</v>
      </c>
      <c r="W50" s="141">
        <v>30973.085999999999</v>
      </c>
      <c r="X50" s="92" t="e">
        <f t="shared" si="8"/>
        <v>#REF!</v>
      </c>
      <c r="Y50" s="141">
        <v>-3.800000000410364E-3</v>
      </c>
      <c r="Z50" s="92" t="e">
        <f t="shared" si="8"/>
        <v>#REF!</v>
      </c>
      <c r="AA50" s="141">
        <v>17393.507799999999</v>
      </c>
      <c r="AB50" s="92" t="e">
        <f>AB49+AB43+AB33+AB13</f>
        <v>#REF!</v>
      </c>
      <c r="AC50" s="61"/>
    </row>
    <row r="51" spans="1:29" s="76" customFormat="1" ht="12" x14ac:dyDescent="0.25">
      <c r="A51" s="91"/>
      <c r="B51" s="182" t="s">
        <v>196</v>
      </c>
      <c r="C51" s="182"/>
      <c r="D51" s="92" t="e">
        <f>D9-D50</f>
        <v>#REF!</v>
      </c>
      <c r="E51" s="93">
        <v>-13850.508199999997</v>
      </c>
      <c r="F51" s="92" t="e">
        <f t="shared" ref="F51:Z51" si="9">F9-F50</f>
        <v>#REF!</v>
      </c>
      <c r="G51" s="93">
        <v>31166.986599999997</v>
      </c>
      <c r="H51" s="92" t="e">
        <f t="shared" si="9"/>
        <v>#REF!</v>
      </c>
      <c r="I51" s="93">
        <v>43828.496599999999</v>
      </c>
      <c r="J51" s="92" t="e">
        <f t="shared" si="9"/>
        <v>#REF!</v>
      </c>
      <c r="K51" s="93">
        <f>K9-K50</f>
        <v>72170.771600000007</v>
      </c>
      <c r="L51" s="92" t="e">
        <f t="shared" si="9"/>
        <v>#REF!</v>
      </c>
      <c r="M51" s="125">
        <v>65825.420599999998</v>
      </c>
      <c r="N51" s="92" t="e">
        <f t="shared" si="9"/>
        <v>#REF!</v>
      </c>
      <c r="O51" s="125">
        <v>11972.105799999998</v>
      </c>
      <c r="P51" s="92" t="e">
        <f t="shared" si="9"/>
        <v>#REF!</v>
      </c>
      <c r="Q51" s="125">
        <v>-769.66159999999945</v>
      </c>
      <c r="R51" s="92" t="e">
        <f t="shared" si="9"/>
        <v>#REF!</v>
      </c>
      <c r="S51" s="141">
        <v>14681.7844</v>
      </c>
      <c r="T51" s="92" t="e">
        <f t="shared" si="9"/>
        <v>#REF!</v>
      </c>
      <c r="U51" s="141">
        <v>21213.845600000001</v>
      </c>
      <c r="V51" s="92" t="e">
        <f t="shared" si="9"/>
        <v>#REF!</v>
      </c>
      <c r="W51" s="141">
        <v>5463.5140000000065</v>
      </c>
      <c r="X51" s="92" t="e">
        <f t="shared" si="9"/>
        <v>#REF!</v>
      </c>
      <c r="Y51" s="141">
        <v>20878.273800000003</v>
      </c>
      <c r="Z51" s="92" t="e">
        <f t="shared" si="9"/>
        <v>#REF!</v>
      </c>
      <c r="AA51" s="141">
        <v>18184.622200000005</v>
      </c>
      <c r="AB51" s="92" t="e">
        <f>AB9-AB50</f>
        <v>#REF!</v>
      </c>
      <c r="AC51" s="61"/>
    </row>
    <row r="52" spans="1:29" s="76" customFormat="1" ht="12" x14ac:dyDescent="0.25">
      <c r="A52" s="91"/>
      <c r="B52" s="97"/>
      <c r="C52" s="97"/>
      <c r="D52" s="92"/>
      <c r="E52" s="93"/>
      <c r="F52" s="92"/>
      <c r="G52" s="93"/>
      <c r="H52" s="92"/>
      <c r="I52" s="93"/>
      <c r="J52" s="92"/>
      <c r="K52" s="93"/>
      <c r="L52" s="92"/>
      <c r="M52" s="125"/>
      <c r="N52" s="92"/>
      <c r="O52" s="125"/>
      <c r="P52" s="92"/>
      <c r="Q52" s="125"/>
      <c r="R52" s="92"/>
      <c r="S52" s="141"/>
      <c r="T52" s="92"/>
      <c r="U52" s="141"/>
      <c r="V52" s="92"/>
      <c r="W52" s="141"/>
      <c r="X52" s="92"/>
      <c r="Y52" s="141"/>
      <c r="Z52" s="92"/>
      <c r="AA52" s="141"/>
      <c r="AB52" s="92"/>
      <c r="AC52" s="61"/>
    </row>
    <row r="53" spans="1:29" s="76" customFormat="1" ht="12" x14ac:dyDescent="0.25">
      <c r="A53" s="91">
        <v>42</v>
      </c>
      <c r="B53" s="182" t="s">
        <v>197</v>
      </c>
      <c r="C53" s="182"/>
      <c r="D53" s="92"/>
      <c r="E53" s="93"/>
      <c r="F53" s="92"/>
      <c r="G53" s="93"/>
      <c r="H53" s="92"/>
      <c r="I53" s="93"/>
      <c r="J53" s="92"/>
      <c r="K53" s="93"/>
      <c r="L53" s="92"/>
      <c r="M53" s="125"/>
      <c r="N53" s="92"/>
      <c r="O53" s="125"/>
      <c r="P53" s="92"/>
      <c r="Q53" s="125"/>
      <c r="R53" s="92"/>
      <c r="S53" s="141"/>
      <c r="T53" s="92"/>
      <c r="U53" s="141"/>
      <c r="V53" s="92"/>
      <c r="W53" s="141"/>
      <c r="X53" s="92"/>
      <c r="Y53" s="141"/>
      <c r="Z53" s="92"/>
      <c r="AA53" s="141"/>
      <c r="AB53" s="92"/>
      <c r="AC53" s="61"/>
    </row>
    <row r="54" spans="1:29" s="76" customFormat="1" ht="12" x14ac:dyDescent="0.25">
      <c r="A54" s="91"/>
      <c r="B54" s="182" t="s">
        <v>198</v>
      </c>
      <c r="C54" s="182"/>
      <c r="D54" s="92"/>
      <c r="E54" s="93"/>
      <c r="F54" s="92"/>
      <c r="G54" s="93"/>
      <c r="H54" s="92"/>
      <c r="I54" s="93"/>
      <c r="J54" s="92"/>
      <c r="K54" s="93"/>
      <c r="L54" s="92"/>
      <c r="M54" s="125"/>
      <c r="N54" s="92"/>
      <c r="O54" s="125"/>
      <c r="P54" s="92"/>
      <c r="Q54" s="125"/>
      <c r="R54" s="92"/>
      <c r="S54" s="141"/>
      <c r="T54" s="92"/>
      <c r="U54" s="141"/>
      <c r="V54" s="92"/>
      <c r="W54" s="141"/>
      <c r="X54" s="92"/>
      <c r="Y54" s="141"/>
      <c r="Z54" s="92"/>
      <c r="AA54" s="141"/>
      <c r="AB54" s="92"/>
      <c r="AC54" s="61"/>
    </row>
    <row r="55" spans="1:29" s="76" customFormat="1" ht="12" x14ac:dyDescent="0.25">
      <c r="A55" s="91"/>
      <c r="B55" s="97"/>
      <c r="C55" s="97"/>
      <c r="D55" s="92"/>
      <c r="E55" s="93"/>
      <c r="F55" s="92"/>
      <c r="G55" s="93"/>
      <c r="H55" s="92"/>
      <c r="I55" s="93"/>
      <c r="J55" s="92"/>
      <c r="K55" s="93"/>
      <c r="L55" s="92"/>
      <c r="M55" s="125"/>
      <c r="N55" s="92"/>
      <c r="O55" s="125"/>
      <c r="P55" s="92"/>
      <c r="Q55" s="125"/>
      <c r="R55" s="92"/>
      <c r="S55" s="141"/>
      <c r="T55" s="92"/>
      <c r="U55" s="141"/>
      <c r="V55" s="92"/>
      <c r="W55" s="141"/>
      <c r="X55" s="92"/>
      <c r="Y55" s="141"/>
      <c r="Z55" s="92"/>
      <c r="AA55" s="141"/>
      <c r="AB55" s="92"/>
      <c r="AC55" s="61"/>
    </row>
    <row r="56" spans="1:29" s="76" customFormat="1" ht="12" x14ac:dyDescent="0.25">
      <c r="A56" s="91">
        <v>43</v>
      </c>
      <c r="B56" s="180" t="s">
        <v>199</v>
      </c>
      <c r="C56" s="180"/>
      <c r="D56" s="98" t="e">
        <f>D51+D13</f>
        <v>#REF!</v>
      </c>
      <c r="E56" s="99">
        <v>24799.891800000005</v>
      </c>
      <c r="F56" s="98" t="e">
        <f t="shared" ref="F56:Z56" si="10">F51+F13</f>
        <v>#REF!</v>
      </c>
      <c r="G56" s="99">
        <v>38704.486599999997</v>
      </c>
      <c r="H56" s="98" t="e">
        <f t="shared" si="10"/>
        <v>#REF!</v>
      </c>
      <c r="I56" s="99">
        <v>57242.226599999995</v>
      </c>
      <c r="J56" s="98" t="e">
        <f t="shared" si="10"/>
        <v>#REF!</v>
      </c>
      <c r="K56" s="99">
        <f>K51+K13</f>
        <v>79627.671600000001</v>
      </c>
      <c r="L56" s="98" t="e">
        <f t="shared" si="10"/>
        <v>#REF!</v>
      </c>
      <c r="M56" s="131">
        <v>73956.320599999992</v>
      </c>
      <c r="N56" s="98" t="e">
        <f t="shared" si="10"/>
        <v>#REF!</v>
      </c>
      <c r="O56" s="131">
        <v>21247.705799999996</v>
      </c>
      <c r="P56" s="98" t="e">
        <f t="shared" si="10"/>
        <v>#REF!</v>
      </c>
      <c r="Q56" s="131">
        <v>9290.2984000000015</v>
      </c>
      <c r="R56" s="98" t="e">
        <f t="shared" si="10"/>
        <v>#REF!</v>
      </c>
      <c r="S56" s="147">
        <v>25561.484400000001</v>
      </c>
      <c r="T56" s="98" t="e">
        <f t="shared" si="10"/>
        <v>#REF!</v>
      </c>
      <c r="U56" s="147">
        <v>32733.885600000001</v>
      </c>
      <c r="V56" s="98" t="e">
        <f t="shared" si="10"/>
        <v>#REF!</v>
      </c>
      <c r="W56" s="147">
        <v>17543.054000000007</v>
      </c>
      <c r="X56" s="98" t="e">
        <f t="shared" si="10"/>
        <v>#REF!</v>
      </c>
      <c r="Y56" s="147">
        <v>32293.763800000001</v>
      </c>
      <c r="Z56" s="98" t="e">
        <f t="shared" si="10"/>
        <v>#REF!</v>
      </c>
      <c r="AA56" s="147">
        <v>29619.672200000005</v>
      </c>
      <c r="AB56" s="98" t="e">
        <f>AB51+AB13</f>
        <v>#REF!</v>
      </c>
      <c r="AC56" s="61"/>
    </row>
    <row r="57" spans="1:29" s="76" customFormat="1" ht="12" x14ac:dyDescent="0.25">
      <c r="A57" s="91">
        <v>44</v>
      </c>
      <c r="B57" s="180" t="s">
        <v>200</v>
      </c>
      <c r="C57" s="180"/>
      <c r="D57" s="98" t="e">
        <f>D56/D13</f>
        <v>#REF!</v>
      </c>
      <c r="E57" s="99">
        <v>0.64164644609111432</v>
      </c>
      <c r="F57" s="98" t="e">
        <f t="shared" ref="F57:Z57" si="11">F56/F13</f>
        <v>#REF!</v>
      </c>
      <c r="G57" s="99">
        <v>5.1349235953565504</v>
      </c>
      <c r="H57" s="98" t="e">
        <f t="shared" si="11"/>
        <v>#REF!</v>
      </c>
      <c r="I57" s="99">
        <v>4.2674354262386371</v>
      </c>
      <c r="J57" s="98" t="e">
        <f t="shared" si="11"/>
        <v>#REF!</v>
      </c>
      <c r="K57" s="99">
        <f>K56/K13</f>
        <v>10.67838801646797</v>
      </c>
      <c r="L57" s="98" t="e">
        <f t="shared" si="11"/>
        <v>#REF!</v>
      </c>
      <c r="M57" s="131">
        <v>9.0957114956523863</v>
      </c>
      <c r="N57" s="98" t="e">
        <f t="shared" si="11"/>
        <v>#REF!</v>
      </c>
      <c r="O57" s="131">
        <v>2.2907095821294576</v>
      </c>
      <c r="P57" s="98" t="e">
        <f t="shared" si="11"/>
        <v>#REF!</v>
      </c>
      <c r="Q57" s="131">
        <v>0.9234925784993181</v>
      </c>
      <c r="R57" s="98" t="e">
        <f t="shared" si="11"/>
        <v>#REF!</v>
      </c>
      <c r="S57" s="147">
        <v>2.3494659227736059</v>
      </c>
      <c r="T57" s="98" t="e">
        <f t="shared" si="11"/>
        <v>#REF!</v>
      </c>
      <c r="U57" s="147">
        <v>2.8414732587734073</v>
      </c>
      <c r="V57" s="98" t="e">
        <f t="shared" si="11"/>
        <v>#REF!</v>
      </c>
      <c r="W57" s="147">
        <v>1.4522948721557283</v>
      </c>
      <c r="X57" s="98" t="e">
        <f t="shared" si="11"/>
        <v>#REF!</v>
      </c>
      <c r="Y57" s="147">
        <v>2.8289424107068553</v>
      </c>
      <c r="Z57" s="98" t="e">
        <f t="shared" si="11"/>
        <v>#REF!</v>
      </c>
      <c r="AA57" s="147">
        <v>2.5902529678488513</v>
      </c>
      <c r="AB57" s="98" t="e">
        <f>AB56/AB13</f>
        <v>#REF!</v>
      </c>
      <c r="AC57" s="61"/>
    </row>
    <row r="58" spans="1:29" s="76" customFormat="1" ht="12" x14ac:dyDescent="0.25">
      <c r="A58" s="91">
        <v>45</v>
      </c>
      <c r="B58" s="181" t="s">
        <v>201</v>
      </c>
      <c r="C58" s="181"/>
      <c r="D58" s="100" t="e">
        <f>D51/D9</f>
        <v>#REF!</v>
      </c>
      <c r="E58" s="101">
        <v>-0.42175763863365273</v>
      </c>
      <c r="F58" s="100" t="e">
        <f t="shared" ref="F58:Z58" si="12">F51/F9</f>
        <v>#REF!</v>
      </c>
      <c r="G58" s="101">
        <v>0.6545295027719914</v>
      </c>
      <c r="H58" s="100" t="e">
        <f t="shared" si="12"/>
        <v>#REF!</v>
      </c>
      <c r="I58" s="101">
        <v>0.66689850819896379</v>
      </c>
      <c r="J58" s="100" t="e">
        <f t="shared" si="12"/>
        <v>#REF!</v>
      </c>
      <c r="K58" s="101">
        <f>K51/K9</f>
        <v>0.87192632162416994</v>
      </c>
      <c r="L58" s="100" t="e">
        <f t="shared" si="12"/>
        <v>#REF!</v>
      </c>
      <c r="M58" s="132">
        <v>0.92790287396431836</v>
      </c>
      <c r="N58" s="100" t="e">
        <f t="shared" si="12"/>
        <v>#REF!</v>
      </c>
      <c r="O58" s="132">
        <v>0.3498715989592785</v>
      </c>
      <c r="P58" s="100" t="e">
        <f t="shared" si="12"/>
        <v>#REF!</v>
      </c>
      <c r="Q58" s="132">
        <v>-5.0229630760837037E-2</v>
      </c>
      <c r="R58" s="100" t="e">
        <f t="shared" si="12"/>
        <v>#REF!</v>
      </c>
      <c r="S58" s="148">
        <v>0.47017428279915685</v>
      </c>
      <c r="T58" s="100" t="e">
        <f t="shared" si="12"/>
        <v>#REF!</v>
      </c>
      <c r="U58" s="148">
        <v>0.41790601833173635</v>
      </c>
      <c r="V58" s="100" t="e">
        <f t="shared" si="12"/>
        <v>#REF!</v>
      </c>
      <c r="W58" s="148">
        <v>0.14994576881487312</v>
      </c>
      <c r="X58" s="100" t="e">
        <f t="shared" si="12"/>
        <v>#REF!</v>
      </c>
      <c r="Y58" s="148">
        <v>1.0000001820074174</v>
      </c>
      <c r="Z58" s="100" t="e">
        <f t="shared" si="12"/>
        <v>#REF!</v>
      </c>
      <c r="AA58" s="148">
        <v>0.51111798737033121</v>
      </c>
      <c r="AB58" s="100" t="e">
        <f>AB51/AB9</f>
        <v>#REF!</v>
      </c>
      <c r="AC58" s="61"/>
    </row>
    <row r="59" spans="1:29" s="76" customFormat="1" ht="12" x14ac:dyDescent="0.25">
      <c r="A59" s="91">
        <v>46</v>
      </c>
      <c r="B59" s="182" t="s">
        <v>202</v>
      </c>
      <c r="C59" s="182"/>
      <c r="D59" s="98" t="e">
        <f>D51+D22</f>
        <v>#REF!</v>
      </c>
      <c r="E59" s="99">
        <v>-13850.508199999997</v>
      </c>
      <c r="F59" s="98" t="e">
        <f t="shared" ref="F59:Z59" si="13">F51+F22</f>
        <v>#REF!</v>
      </c>
      <c r="G59" s="99">
        <v>31166.986599999997</v>
      </c>
      <c r="H59" s="98" t="e">
        <f t="shared" si="13"/>
        <v>#REF!</v>
      </c>
      <c r="I59" s="99">
        <v>43828.496599999999</v>
      </c>
      <c r="J59" s="98" t="e">
        <f t="shared" si="13"/>
        <v>#REF!</v>
      </c>
      <c r="K59" s="99">
        <f>K51+K22</f>
        <v>72170.771600000007</v>
      </c>
      <c r="L59" s="98" t="e">
        <f t="shared" si="13"/>
        <v>#REF!</v>
      </c>
      <c r="M59" s="131">
        <v>65825.420599999998</v>
      </c>
      <c r="N59" s="98" t="e">
        <f t="shared" si="13"/>
        <v>#REF!</v>
      </c>
      <c r="O59" s="131">
        <v>11972.105799999998</v>
      </c>
      <c r="P59" s="98" t="e">
        <f t="shared" si="13"/>
        <v>#REF!</v>
      </c>
      <c r="Q59" s="131">
        <v>-769.66159999999945</v>
      </c>
      <c r="R59" s="98" t="e">
        <f t="shared" si="13"/>
        <v>#REF!</v>
      </c>
      <c r="S59" s="147">
        <v>14681.7844</v>
      </c>
      <c r="T59" s="98" t="e">
        <f t="shared" si="13"/>
        <v>#REF!</v>
      </c>
      <c r="U59" s="147">
        <v>21213.845600000001</v>
      </c>
      <c r="V59" s="98" t="e">
        <f t="shared" si="13"/>
        <v>#REF!</v>
      </c>
      <c r="W59" s="147">
        <v>5463.5140000000065</v>
      </c>
      <c r="X59" s="98" t="e">
        <f t="shared" si="13"/>
        <v>#REF!</v>
      </c>
      <c r="Y59" s="147">
        <v>20878.273800000003</v>
      </c>
      <c r="Z59" s="98" t="e">
        <f t="shared" si="13"/>
        <v>#REF!</v>
      </c>
      <c r="AA59" s="147">
        <v>18184.622200000005</v>
      </c>
      <c r="AB59" s="98" t="e">
        <f>AB51+AB22</f>
        <v>#REF!</v>
      </c>
      <c r="AC59" s="61"/>
    </row>
    <row r="60" spans="1:29" s="76" customFormat="1" ht="12" x14ac:dyDescent="0.25">
      <c r="A60" s="91">
        <v>47</v>
      </c>
      <c r="B60" s="91"/>
      <c r="C60" s="102" t="s">
        <v>203</v>
      </c>
      <c r="D60" s="100" t="e">
        <f>D13/D9</f>
        <v>#REF!</v>
      </c>
      <c r="E60" s="101">
        <v>1.1769316476233078</v>
      </c>
      <c r="F60" s="100" t="e">
        <f t="shared" ref="F60:Z60" si="14">F13/F9</f>
        <v>#REF!</v>
      </c>
      <c r="G60" s="101">
        <v>0.15829301017968436</v>
      </c>
      <c r="H60" s="100" t="e">
        <f t="shared" si="14"/>
        <v>#REF!</v>
      </c>
      <c r="I60" s="101">
        <v>0.20410457169054907</v>
      </c>
      <c r="J60" s="100" t="e">
        <f t="shared" si="14"/>
        <v>#REF!</v>
      </c>
      <c r="K60" s="101">
        <f>K13/K9</f>
        <v>9.0090035669221968E-2</v>
      </c>
      <c r="L60" s="100" t="e">
        <f t="shared" si="14"/>
        <v>#REF!</v>
      </c>
      <c r="M60" s="132">
        <v>0.11461659354617897</v>
      </c>
      <c r="N60" s="100" t="e">
        <f t="shared" si="14"/>
        <v>#REF!</v>
      </c>
      <c r="O60" s="132">
        <v>0.27106918845527445</v>
      </c>
      <c r="P60" s="100" t="e">
        <f t="shared" si="14"/>
        <v>#REF!</v>
      </c>
      <c r="Q60" s="132">
        <v>0.65653278826537609</v>
      </c>
      <c r="R60" s="100" t="e">
        <f t="shared" si="14"/>
        <v>#REF!</v>
      </c>
      <c r="S60" s="148">
        <v>0.34841508397099108</v>
      </c>
      <c r="T60" s="100" t="e">
        <f t="shared" si="14"/>
        <v>#REF!</v>
      </c>
      <c r="U60" s="148">
        <v>0.22694112789348933</v>
      </c>
      <c r="V60" s="100" t="e">
        <f t="shared" si="14"/>
        <v>#REF!</v>
      </c>
      <c r="W60" s="148">
        <v>0.33152215080441094</v>
      </c>
      <c r="X60" s="100" t="e">
        <f t="shared" si="14"/>
        <v>#REF!</v>
      </c>
      <c r="Y60" s="148">
        <v>0.54676417155252799</v>
      </c>
      <c r="Z60" s="100" t="e">
        <f t="shared" si="14"/>
        <v>#REF!</v>
      </c>
      <c r="AA60" s="148">
        <v>0.32140671811587618</v>
      </c>
      <c r="AB60" s="100" t="e">
        <f>AB13/AB9</f>
        <v>#REF!</v>
      </c>
      <c r="AC60" s="61"/>
    </row>
    <row r="61" spans="1:29" s="76" customFormat="1" ht="12" x14ac:dyDescent="0.25">
      <c r="E61" s="86"/>
      <c r="G61" s="86"/>
      <c r="I61" s="86"/>
      <c r="K61" s="86"/>
    </row>
  </sheetData>
  <mergeCells count="53">
    <mergeCell ref="B8:C8"/>
    <mergeCell ref="B3:C3"/>
    <mergeCell ref="B4:C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8:C48"/>
    <mergeCell ref="B33:C33"/>
    <mergeCell ref="B34:C34"/>
    <mergeCell ref="B35:B39"/>
    <mergeCell ref="B40:C40"/>
    <mergeCell ref="B41:C41"/>
    <mergeCell ref="B42:C42"/>
    <mergeCell ref="B57:C57"/>
    <mergeCell ref="B58:C58"/>
    <mergeCell ref="B59:C59"/>
    <mergeCell ref="A1:AC1"/>
    <mergeCell ref="A2:AC2"/>
    <mergeCell ref="B49:C49"/>
    <mergeCell ref="B50:C50"/>
    <mergeCell ref="B51:C51"/>
    <mergeCell ref="B53:C53"/>
    <mergeCell ref="B54:C54"/>
    <mergeCell ref="B56:C56"/>
    <mergeCell ref="B43:C43"/>
    <mergeCell ref="B44:C44"/>
    <mergeCell ref="B45:C45"/>
    <mergeCell ref="B46:C46"/>
    <mergeCell ref="B47:C47"/>
  </mergeCells>
  <phoneticPr fontId="24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3"/>
  <sheetViews>
    <sheetView zoomScale="90" zoomScaleNormal="9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26" sqref="H26"/>
    </sheetView>
  </sheetViews>
  <sheetFormatPr defaultColWidth="9" defaultRowHeight="13" x14ac:dyDescent="0.25"/>
  <cols>
    <col min="1" max="1" width="10.6328125" style="1" customWidth="1"/>
    <col min="2" max="2" width="9" style="1"/>
    <col min="3" max="6" width="6.81640625" style="1" customWidth="1"/>
    <col min="7" max="7" width="8.90625" style="1" customWidth="1"/>
    <col min="8" max="8" width="7.36328125" style="9" customWidth="1"/>
    <col min="9" max="9" width="6.81640625" style="1" customWidth="1"/>
    <col min="10" max="10" width="7.36328125" style="9" customWidth="1"/>
    <col min="11" max="11" width="8.08984375" style="1" customWidth="1"/>
    <col min="12" max="12" width="7.36328125" style="9" customWidth="1"/>
    <col min="13" max="13" width="6.81640625" style="1" customWidth="1"/>
    <col min="14" max="14" width="7.36328125" style="9" customWidth="1"/>
    <col min="15" max="15" width="6.81640625" style="1" customWidth="1"/>
    <col min="16" max="16" width="7.36328125" style="9" customWidth="1"/>
    <col min="17" max="17" width="6.81640625" style="1" customWidth="1"/>
    <col min="18" max="18" width="7.36328125" style="9" customWidth="1"/>
    <col min="19" max="19" width="6.81640625" style="1" customWidth="1"/>
    <col min="20" max="20" width="7.36328125" style="9" customWidth="1"/>
    <col min="21" max="21" width="6.81640625" style="1" customWidth="1"/>
    <col min="22" max="22" width="7.36328125" style="9" customWidth="1"/>
    <col min="23" max="23" width="6.81640625" style="1" customWidth="1"/>
    <col min="24" max="24" width="7.36328125" style="9" customWidth="1"/>
    <col min="25" max="25" width="6.81640625" style="1" customWidth="1"/>
    <col min="26" max="26" width="7.36328125" style="9" customWidth="1"/>
    <col min="27" max="27" width="6.81640625" style="1" customWidth="1"/>
    <col min="28" max="28" width="7.36328125" style="9" customWidth="1"/>
    <col min="29" max="29" width="6.81640625" style="1" customWidth="1"/>
    <col min="30" max="30" width="7.36328125" style="9" customWidth="1"/>
    <col min="31" max="31" width="10.36328125" style="1" bestFit="1" customWidth="1"/>
    <col min="32" max="16384" width="9" style="1"/>
  </cols>
  <sheetData>
    <row r="1" spans="1:31" x14ac:dyDescent="0.25">
      <c r="A1" s="189" t="s">
        <v>131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</row>
    <row r="2" spans="1:31" x14ac:dyDescent="0.25">
      <c r="A2" s="44" t="s">
        <v>26</v>
      </c>
      <c r="B2" s="44" t="s">
        <v>27</v>
      </c>
      <c r="C2" s="44" t="s">
        <v>28</v>
      </c>
      <c r="D2" s="44" t="s">
        <v>29</v>
      </c>
      <c r="E2" s="44" t="s">
        <v>30</v>
      </c>
      <c r="F2" s="3" t="s">
        <v>31</v>
      </c>
      <c r="G2" s="3" t="s">
        <v>12</v>
      </c>
      <c r="H2" s="112" t="s">
        <v>228</v>
      </c>
      <c r="I2" s="3" t="s">
        <v>13</v>
      </c>
      <c r="J2" s="112" t="s">
        <v>229</v>
      </c>
      <c r="K2" s="3" t="s">
        <v>14</v>
      </c>
      <c r="L2" s="112" t="s">
        <v>230</v>
      </c>
      <c r="M2" s="3" t="s">
        <v>15</v>
      </c>
      <c r="N2" s="112" t="s">
        <v>231</v>
      </c>
      <c r="O2" s="3" t="s">
        <v>16</v>
      </c>
      <c r="P2" s="133" t="s">
        <v>233</v>
      </c>
      <c r="Q2" s="3" t="s">
        <v>17</v>
      </c>
      <c r="R2" s="116" t="s">
        <v>235</v>
      </c>
      <c r="S2" s="3" t="s">
        <v>18</v>
      </c>
      <c r="T2" s="136" t="s">
        <v>237</v>
      </c>
      <c r="U2" s="3" t="s">
        <v>19</v>
      </c>
      <c r="V2" s="149" t="s">
        <v>239</v>
      </c>
      <c r="W2" s="3" t="s">
        <v>20</v>
      </c>
      <c r="X2" s="116" t="s">
        <v>241</v>
      </c>
      <c r="Y2" s="3" t="s">
        <v>21</v>
      </c>
      <c r="Z2" s="151" t="s">
        <v>243</v>
      </c>
      <c r="AA2" s="3" t="s">
        <v>22</v>
      </c>
      <c r="AB2" s="116" t="s">
        <v>245</v>
      </c>
      <c r="AC2" s="3" t="s">
        <v>23</v>
      </c>
      <c r="AD2" s="116" t="s">
        <v>248</v>
      </c>
      <c r="AE2" s="3" t="s">
        <v>24</v>
      </c>
    </row>
    <row r="3" spans="1:31" x14ac:dyDescent="0.25">
      <c r="A3" s="44" t="s">
        <v>34</v>
      </c>
      <c r="B3" s="44" t="s">
        <v>35</v>
      </c>
      <c r="C3" s="44" t="s">
        <v>36</v>
      </c>
      <c r="D3" s="44" t="s">
        <v>33</v>
      </c>
      <c r="E3" s="44" t="s">
        <v>55</v>
      </c>
      <c r="F3" s="4">
        <v>8</v>
      </c>
      <c r="G3" s="5">
        <v>15000</v>
      </c>
      <c r="H3" s="113"/>
      <c r="I3" s="5">
        <v>15000</v>
      </c>
      <c r="J3" s="113"/>
      <c r="K3" s="5">
        <v>30000</v>
      </c>
      <c r="L3" s="113"/>
      <c r="M3" s="5">
        <v>30000</v>
      </c>
      <c r="N3" s="113"/>
      <c r="O3" s="5">
        <v>30000</v>
      </c>
      <c r="P3" s="113"/>
      <c r="Q3" s="5">
        <v>10000</v>
      </c>
      <c r="R3" s="113"/>
      <c r="S3" s="5">
        <v>1500</v>
      </c>
      <c r="T3" s="113"/>
      <c r="U3" s="5">
        <v>8000</v>
      </c>
      <c r="V3" s="113"/>
      <c r="W3" s="5">
        <v>15000</v>
      </c>
      <c r="X3" s="113"/>
      <c r="Y3" s="5">
        <v>40000</v>
      </c>
      <c r="Z3" s="113"/>
      <c r="AA3" s="5">
        <v>5000</v>
      </c>
      <c r="AB3" s="113"/>
      <c r="AC3" s="5"/>
      <c r="AD3" s="113"/>
      <c r="AE3" s="5">
        <f>SUM(G3:AC3)</f>
        <v>199500</v>
      </c>
    </row>
    <row r="4" spans="1:31" s="9" customFormat="1" x14ac:dyDescent="0.25">
      <c r="A4" s="105">
        <v>8214</v>
      </c>
      <c r="B4" s="105" t="s">
        <v>35</v>
      </c>
      <c r="C4" s="108" t="s">
        <v>227</v>
      </c>
      <c r="D4" s="105" t="s">
        <v>33</v>
      </c>
      <c r="E4" s="105" t="s">
        <v>55</v>
      </c>
      <c r="F4" s="4">
        <v>6</v>
      </c>
      <c r="G4" s="5"/>
      <c r="H4" s="113"/>
      <c r="I4" s="5"/>
      <c r="J4" s="113"/>
      <c r="K4" s="5"/>
      <c r="L4" s="113"/>
      <c r="M4" s="5"/>
      <c r="N4" s="113"/>
      <c r="O4" s="5">
        <v>6000</v>
      </c>
      <c r="P4" s="113"/>
      <c r="Q4" s="5">
        <v>3000</v>
      </c>
      <c r="R4" s="113"/>
      <c r="S4" s="5"/>
      <c r="T4" s="113"/>
      <c r="U4" s="5"/>
      <c r="V4" s="113"/>
      <c r="W4" s="5">
        <v>8000</v>
      </c>
      <c r="X4" s="113"/>
      <c r="Y4" s="5">
        <v>10000</v>
      </c>
      <c r="Z4" s="113"/>
      <c r="AA4" s="5">
        <v>5000</v>
      </c>
      <c r="AB4" s="113"/>
      <c r="AC4" s="5"/>
      <c r="AD4" s="113"/>
      <c r="AE4" s="5">
        <f>SUM(G4:AC4)</f>
        <v>32000</v>
      </c>
    </row>
    <row r="5" spans="1:31" x14ac:dyDescent="0.25">
      <c r="A5" s="44" t="s">
        <v>37</v>
      </c>
      <c r="B5" s="44" t="s">
        <v>32</v>
      </c>
      <c r="C5" s="44" t="s">
        <v>36</v>
      </c>
      <c r="D5" s="44" t="s">
        <v>33</v>
      </c>
      <c r="E5" s="44" t="s">
        <v>55</v>
      </c>
      <c r="F5" s="4">
        <v>14</v>
      </c>
      <c r="G5" s="5">
        <v>15000</v>
      </c>
      <c r="H5" s="113"/>
      <c r="I5" s="5">
        <v>30000</v>
      </c>
      <c r="J5" s="113"/>
      <c r="K5" s="5">
        <v>30000</v>
      </c>
      <c r="L5" s="113"/>
      <c r="M5" s="5">
        <v>20000</v>
      </c>
      <c r="N5" s="113"/>
      <c r="O5" s="5">
        <v>20000</v>
      </c>
      <c r="P5" s="113"/>
      <c r="Q5" s="5">
        <v>13000</v>
      </c>
      <c r="R5" s="113"/>
      <c r="S5" s="5">
        <v>1500</v>
      </c>
      <c r="T5" s="113"/>
      <c r="U5" s="5">
        <v>8000</v>
      </c>
      <c r="V5" s="113"/>
      <c r="W5" s="5">
        <v>15000</v>
      </c>
      <c r="X5" s="113"/>
      <c r="Y5" s="5">
        <v>40000</v>
      </c>
      <c r="Z5" s="113"/>
      <c r="AA5" s="5">
        <v>5000</v>
      </c>
      <c r="AB5" s="113"/>
      <c r="AC5" s="5"/>
      <c r="AD5" s="113"/>
      <c r="AE5" s="5">
        <f>SUM(G5:AC5)</f>
        <v>197500</v>
      </c>
    </row>
    <row r="6" spans="1:31" s="9" customFormat="1" x14ac:dyDescent="0.25">
      <c r="A6" s="105">
        <v>8197</v>
      </c>
      <c r="B6" s="105" t="s">
        <v>32</v>
      </c>
      <c r="C6" s="108" t="s">
        <v>227</v>
      </c>
      <c r="D6" s="105" t="s">
        <v>33</v>
      </c>
      <c r="E6" s="105" t="s">
        <v>55</v>
      </c>
      <c r="F6" s="4">
        <v>10</v>
      </c>
      <c r="G6" s="5"/>
      <c r="H6" s="113"/>
      <c r="I6" s="5"/>
      <c r="J6" s="113"/>
      <c r="K6" s="5"/>
      <c r="L6" s="113"/>
      <c r="M6" s="5"/>
      <c r="N6" s="113"/>
      <c r="O6" s="5">
        <v>6000</v>
      </c>
      <c r="P6" s="113"/>
      <c r="Q6" s="5">
        <v>3000</v>
      </c>
      <c r="R6" s="113"/>
      <c r="S6" s="5"/>
      <c r="T6" s="113"/>
      <c r="U6" s="5"/>
      <c r="V6" s="113"/>
      <c r="W6" s="5">
        <v>8000</v>
      </c>
      <c r="X6" s="113"/>
      <c r="Y6" s="5">
        <v>10000</v>
      </c>
      <c r="Z6" s="113"/>
      <c r="AA6" s="5">
        <v>5000</v>
      </c>
      <c r="AB6" s="113"/>
      <c r="AC6" s="5"/>
      <c r="AD6" s="113"/>
      <c r="AE6" s="5">
        <f>SUM(G6:AC6)</f>
        <v>32000</v>
      </c>
    </row>
    <row r="7" spans="1:31" s="9" customFormat="1" x14ac:dyDescent="0.25">
      <c r="A7" s="44">
        <v>8188</v>
      </c>
      <c r="B7" s="44" t="s">
        <v>129</v>
      </c>
      <c r="C7" s="44" t="s">
        <v>130</v>
      </c>
      <c r="D7" s="44" t="s">
        <v>33</v>
      </c>
      <c r="E7" s="44" t="s">
        <v>55</v>
      </c>
      <c r="F7" s="4">
        <v>4</v>
      </c>
      <c r="G7" s="5">
        <v>5000</v>
      </c>
      <c r="H7" s="113"/>
      <c r="I7" s="5">
        <v>5000</v>
      </c>
      <c r="J7" s="113"/>
      <c r="K7" s="5">
        <v>5000</v>
      </c>
      <c r="L7" s="113"/>
      <c r="M7" s="5">
        <v>2000</v>
      </c>
      <c r="N7" s="113"/>
      <c r="O7" s="5"/>
      <c r="P7" s="113"/>
      <c r="Q7" s="5"/>
      <c r="R7" s="113"/>
      <c r="S7" s="5"/>
      <c r="T7" s="113"/>
      <c r="U7" s="5"/>
      <c r="V7" s="113"/>
      <c r="W7" s="5"/>
      <c r="X7" s="113"/>
      <c r="Y7" s="5"/>
      <c r="Z7" s="113"/>
      <c r="AA7" s="5"/>
      <c r="AB7" s="113"/>
      <c r="AC7" s="5"/>
      <c r="AD7" s="113"/>
      <c r="AE7" s="5">
        <f>SUM(G7:AC7)</f>
        <v>17000</v>
      </c>
    </row>
    <row r="8" spans="1:31" x14ac:dyDescent="0.25">
      <c r="A8" s="199" t="s">
        <v>38</v>
      </c>
      <c r="B8" s="199"/>
      <c r="C8" s="199"/>
      <c r="D8" s="199"/>
      <c r="E8" s="199"/>
      <c r="F8" s="199"/>
      <c r="G8" s="13">
        <f>SUM(G3:G7)</f>
        <v>35000</v>
      </c>
      <c r="H8" s="114">
        <v>43976</v>
      </c>
      <c r="I8" s="107">
        <f t="shared" ref="I8:AC8" si="0">SUM(I3:I7)</f>
        <v>50000</v>
      </c>
      <c r="J8" s="114">
        <v>86848</v>
      </c>
      <c r="K8" s="107">
        <f t="shared" si="0"/>
        <v>65000</v>
      </c>
      <c r="L8" s="114">
        <v>107855</v>
      </c>
      <c r="M8" s="107">
        <f t="shared" si="0"/>
        <v>52000</v>
      </c>
      <c r="N8" s="114">
        <v>127192</v>
      </c>
      <c r="O8" s="107">
        <f t="shared" si="0"/>
        <v>62000</v>
      </c>
      <c r="P8" s="114">
        <v>115246</v>
      </c>
      <c r="Q8" s="107">
        <f t="shared" si="0"/>
        <v>29000</v>
      </c>
      <c r="R8" s="114">
        <v>38667</v>
      </c>
      <c r="S8" s="107">
        <f t="shared" si="0"/>
        <v>3000</v>
      </c>
      <c r="T8" s="114">
        <v>5846</v>
      </c>
      <c r="U8" s="107">
        <f t="shared" si="0"/>
        <v>16000</v>
      </c>
      <c r="V8" s="114">
        <v>5846</v>
      </c>
      <c r="W8" s="107">
        <f t="shared" si="0"/>
        <v>46000</v>
      </c>
      <c r="X8" s="114">
        <v>26922</v>
      </c>
      <c r="Y8" s="107">
        <f t="shared" si="0"/>
        <v>100000</v>
      </c>
      <c r="Z8" s="114">
        <v>30079</v>
      </c>
      <c r="AA8" s="107">
        <f t="shared" si="0"/>
        <v>20000</v>
      </c>
      <c r="AB8" s="114">
        <v>30079</v>
      </c>
      <c r="AC8" s="107">
        <f t="shared" si="0"/>
        <v>0</v>
      </c>
      <c r="AD8" s="114">
        <v>0</v>
      </c>
      <c r="AE8" s="13">
        <f>SUM(AE3:AE7)</f>
        <v>478000</v>
      </c>
    </row>
    <row r="9" spans="1:31" s="9" customFormat="1" x14ac:dyDescent="0.25">
      <c r="A9" s="193" t="s">
        <v>132</v>
      </c>
      <c r="B9" s="194"/>
      <c r="C9" s="194"/>
      <c r="D9" s="194"/>
      <c r="E9" s="194"/>
      <c r="F9" s="195"/>
      <c r="G9" s="46">
        <f>G3*$F$3+G4*$F$4+G5*$F$5+G6*$F$6+G7*$F$7</f>
        <v>350000</v>
      </c>
      <c r="H9" s="115">
        <v>456023.5</v>
      </c>
      <c r="I9" s="106">
        <f t="shared" ref="I9:AC9" si="1">I3*$F$3+I4*$F$4+I5*$F$5+I6*$F$6+I7*$F$7</f>
        <v>560000</v>
      </c>
      <c r="J9" s="114">
        <v>874948</v>
      </c>
      <c r="K9" s="106">
        <f t="shared" si="1"/>
        <v>680000</v>
      </c>
      <c r="L9" s="114">
        <v>1037204</v>
      </c>
      <c r="M9" s="106">
        <f t="shared" si="1"/>
        <v>528000</v>
      </c>
      <c r="N9" s="114">
        <v>1265962.5</v>
      </c>
      <c r="O9" s="106">
        <f t="shared" si="1"/>
        <v>616000</v>
      </c>
      <c r="P9" s="114">
        <v>1167514</v>
      </c>
      <c r="Q9" s="106">
        <f t="shared" si="1"/>
        <v>310000</v>
      </c>
      <c r="R9" s="114">
        <v>464762.05000000005</v>
      </c>
      <c r="S9" s="106">
        <f t="shared" si="1"/>
        <v>33000</v>
      </c>
      <c r="T9" s="114">
        <v>66520.800000000003</v>
      </c>
      <c r="U9" s="106">
        <f t="shared" si="1"/>
        <v>176000</v>
      </c>
      <c r="V9" s="114">
        <v>66520.800000000003</v>
      </c>
      <c r="W9" s="106">
        <f t="shared" si="1"/>
        <v>458000</v>
      </c>
      <c r="X9" s="114">
        <v>271061.8</v>
      </c>
      <c r="Y9" s="106">
        <f t="shared" si="1"/>
        <v>1040000</v>
      </c>
      <c r="Z9" s="114">
        <v>329039.09999999998</v>
      </c>
      <c r="AA9" s="106">
        <f t="shared" si="1"/>
        <v>190000</v>
      </c>
      <c r="AB9" s="114">
        <v>126287.29999999999</v>
      </c>
      <c r="AC9" s="106">
        <f t="shared" si="1"/>
        <v>0</v>
      </c>
      <c r="AD9" s="114">
        <v>0</v>
      </c>
      <c r="AE9" s="106">
        <f>AE3*$F$3+AE4*$F$4+AE5*$F$5+AE6*$F$6+AE7*$F$7</f>
        <v>4941000</v>
      </c>
    </row>
    <row r="10" spans="1:31" x14ac:dyDescent="0.25">
      <c r="A10" s="188" t="s">
        <v>50</v>
      </c>
      <c r="B10" s="188"/>
      <c r="C10" s="188"/>
      <c r="D10" s="188"/>
      <c r="E10" s="188"/>
      <c r="F10" s="188"/>
      <c r="G10" s="45">
        <f t="shared" ref="G10:U10" si="2">G9*3.5%</f>
        <v>12250.000000000002</v>
      </c>
      <c r="H10" s="115">
        <f t="shared" si="2"/>
        <v>15960.822500000002</v>
      </c>
      <c r="I10" s="106">
        <f t="shared" si="2"/>
        <v>19600.000000000004</v>
      </c>
      <c r="J10" s="115">
        <f t="shared" si="2"/>
        <v>30623.180000000004</v>
      </c>
      <c r="K10" s="106">
        <f t="shared" si="2"/>
        <v>23800.000000000004</v>
      </c>
      <c r="L10" s="115">
        <f t="shared" si="2"/>
        <v>36302.140000000007</v>
      </c>
      <c r="M10" s="106">
        <f t="shared" si="2"/>
        <v>18480</v>
      </c>
      <c r="N10" s="115">
        <f t="shared" si="2"/>
        <v>44308.687500000007</v>
      </c>
      <c r="O10" s="106">
        <f t="shared" si="2"/>
        <v>21560.000000000004</v>
      </c>
      <c r="P10" s="115">
        <f t="shared" si="2"/>
        <v>40862.990000000005</v>
      </c>
      <c r="Q10" s="106">
        <f t="shared" si="2"/>
        <v>10850.000000000002</v>
      </c>
      <c r="R10" s="115">
        <f t="shared" si="2"/>
        <v>16266.671750000003</v>
      </c>
      <c r="S10" s="106">
        <f t="shared" si="2"/>
        <v>1155</v>
      </c>
      <c r="T10" s="115">
        <f t="shared" si="2"/>
        <v>2328.2280000000005</v>
      </c>
      <c r="U10" s="106">
        <f t="shared" si="2"/>
        <v>6160.0000000000009</v>
      </c>
      <c r="V10" s="115">
        <f>V9*3.5%</f>
        <v>2328.2280000000005</v>
      </c>
      <c r="W10" s="106">
        <f>W9*3.5%</f>
        <v>16030.000000000002</v>
      </c>
      <c r="X10" s="115">
        <f>X9*3.5%</f>
        <v>9487.1630000000005</v>
      </c>
      <c r="Y10" s="135">
        <f t="shared" ref="Y10:AD10" si="3">Y9*5%</f>
        <v>52000</v>
      </c>
      <c r="Z10" s="115">
        <f t="shared" si="3"/>
        <v>16451.954999999998</v>
      </c>
      <c r="AA10" s="135">
        <f t="shared" si="3"/>
        <v>9500</v>
      </c>
      <c r="AB10" s="115">
        <f t="shared" si="3"/>
        <v>6314.3649999999998</v>
      </c>
      <c r="AC10" s="135">
        <f t="shared" si="3"/>
        <v>0</v>
      </c>
      <c r="AD10" s="115">
        <f t="shared" si="3"/>
        <v>0</v>
      </c>
      <c r="AE10" s="106">
        <f>AE9*3.5%</f>
        <v>172935.00000000003</v>
      </c>
    </row>
    <row r="11" spans="1:31" x14ac:dyDescent="0.25">
      <c r="I11" s="9"/>
      <c r="K11" s="9"/>
      <c r="M11" s="9"/>
      <c r="O11" s="9"/>
      <c r="Q11" s="9"/>
      <c r="S11" s="9"/>
      <c r="U11" s="9"/>
      <c r="W11" s="9"/>
    </row>
    <row r="12" spans="1:31" x14ac:dyDescent="0.25">
      <c r="A12" s="189" t="s">
        <v>53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</row>
    <row r="13" spans="1:31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3" t="s">
        <v>31</v>
      </c>
      <c r="G13" s="3" t="s">
        <v>12</v>
      </c>
      <c r="H13" s="112" t="s">
        <v>228</v>
      </c>
      <c r="I13" s="3" t="s">
        <v>13</v>
      </c>
      <c r="J13" s="112" t="s">
        <v>229</v>
      </c>
      <c r="K13" s="3" t="s">
        <v>14</v>
      </c>
      <c r="L13" s="112" t="s">
        <v>230</v>
      </c>
      <c r="M13" s="3" t="s">
        <v>15</v>
      </c>
      <c r="N13" s="112" t="s">
        <v>231</v>
      </c>
      <c r="O13" s="3" t="s">
        <v>16</v>
      </c>
      <c r="P13" s="133" t="s">
        <v>233</v>
      </c>
      <c r="Q13" s="3" t="s">
        <v>17</v>
      </c>
      <c r="R13" s="116" t="s">
        <v>235</v>
      </c>
      <c r="S13" s="3" t="s">
        <v>18</v>
      </c>
      <c r="T13" s="136" t="s">
        <v>237</v>
      </c>
      <c r="U13" s="3" t="s">
        <v>19</v>
      </c>
      <c r="V13" s="149" t="s">
        <v>239</v>
      </c>
      <c r="W13" s="3" t="s">
        <v>20</v>
      </c>
      <c r="X13" s="116" t="s">
        <v>241</v>
      </c>
      <c r="Y13" s="3" t="s">
        <v>21</v>
      </c>
      <c r="Z13" s="151" t="s">
        <v>243</v>
      </c>
      <c r="AA13" s="3" t="s">
        <v>22</v>
      </c>
      <c r="AB13" s="116" t="s">
        <v>245</v>
      </c>
      <c r="AC13" s="3" t="s">
        <v>23</v>
      </c>
      <c r="AD13" s="116" t="s">
        <v>248</v>
      </c>
      <c r="AE13" s="3" t="s">
        <v>24</v>
      </c>
    </row>
    <row r="14" spans="1:31" x14ac:dyDescent="0.25">
      <c r="A14" s="189" t="s">
        <v>51</v>
      </c>
      <c r="B14" s="189"/>
      <c r="C14" s="189" t="s">
        <v>92</v>
      </c>
      <c r="D14" s="189" t="s">
        <v>39</v>
      </c>
      <c r="E14" s="44" t="s">
        <v>49</v>
      </c>
      <c r="F14" s="3">
        <v>9.5</v>
      </c>
      <c r="G14" s="3">
        <v>3000</v>
      </c>
      <c r="H14" s="116"/>
      <c r="I14" s="3">
        <v>7000</v>
      </c>
      <c r="J14" s="116"/>
      <c r="K14" s="3">
        <v>8000</v>
      </c>
      <c r="L14" s="116"/>
      <c r="M14" s="3">
        <v>8000</v>
      </c>
      <c r="N14" s="116"/>
      <c r="O14" s="3">
        <f>9780*35%</f>
        <v>3423</v>
      </c>
      <c r="P14" s="116"/>
      <c r="Q14" s="3">
        <f>9780*35%</f>
        <v>3423</v>
      </c>
      <c r="R14" s="116"/>
      <c r="S14" s="121">
        <f>13450*35%</f>
        <v>4707.5</v>
      </c>
      <c r="T14" s="116"/>
      <c r="U14" s="121">
        <f>13450*35%</f>
        <v>4707.5</v>
      </c>
      <c r="V14" s="116"/>
      <c r="W14" s="3">
        <f>15600*35%</f>
        <v>5460</v>
      </c>
      <c r="X14" s="116"/>
      <c r="Y14" s="3">
        <v>900</v>
      </c>
      <c r="Z14" s="116"/>
      <c r="AA14" s="3"/>
      <c r="AB14" s="116"/>
      <c r="AC14" s="3"/>
      <c r="AD14" s="116"/>
      <c r="AE14" s="3">
        <f>SUM(G14:AC14)</f>
        <v>48621</v>
      </c>
    </row>
    <row r="15" spans="1:31" x14ac:dyDescent="0.25">
      <c r="A15" s="189"/>
      <c r="B15" s="189"/>
      <c r="C15" s="189"/>
      <c r="D15" s="189"/>
      <c r="E15" s="44" t="s">
        <v>40</v>
      </c>
      <c r="F15" s="3">
        <v>8.5</v>
      </c>
      <c r="G15" s="3">
        <v>2000</v>
      </c>
      <c r="H15" s="116"/>
      <c r="I15" s="3">
        <v>4000</v>
      </c>
      <c r="J15" s="116"/>
      <c r="K15" s="3">
        <v>8000</v>
      </c>
      <c r="L15" s="116"/>
      <c r="M15" s="3">
        <v>7000</v>
      </c>
      <c r="N15" s="116"/>
      <c r="O15" s="3">
        <f>9780*35%</f>
        <v>3423</v>
      </c>
      <c r="P15" s="116"/>
      <c r="Q15" s="3">
        <f>9780*35%</f>
        <v>3423</v>
      </c>
      <c r="R15" s="116"/>
      <c r="S15" s="121">
        <f>13450*35%</f>
        <v>4707.5</v>
      </c>
      <c r="T15" s="116"/>
      <c r="U15" s="121">
        <f>13450*35%</f>
        <v>4707.5</v>
      </c>
      <c r="V15" s="116"/>
      <c r="W15" s="3">
        <f>15600*35%</f>
        <v>5460</v>
      </c>
      <c r="X15" s="116"/>
      <c r="Y15" s="3">
        <v>900</v>
      </c>
      <c r="Z15" s="116"/>
      <c r="AA15" s="3"/>
      <c r="AB15" s="116"/>
      <c r="AC15" s="3"/>
      <c r="AD15" s="116"/>
      <c r="AE15" s="3">
        <f>SUM(G15:AC15)</f>
        <v>43621</v>
      </c>
    </row>
    <row r="16" spans="1:31" x14ac:dyDescent="0.25">
      <c r="A16" s="189"/>
      <c r="B16" s="189"/>
      <c r="C16" s="189"/>
      <c r="D16" s="189"/>
      <c r="E16" s="44" t="s">
        <v>52</v>
      </c>
      <c r="F16" s="3">
        <v>7.5</v>
      </c>
      <c r="G16" s="3">
        <v>1000</v>
      </c>
      <c r="H16" s="116"/>
      <c r="I16" s="3">
        <v>2000</v>
      </c>
      <c r="J16" s="116"/>
      <c r="K16" s="3">
        <v>4000</v>
      </c>
      <c r="L16" s="116"/>
      <c r="M16" s="3">
        <v>3000</v>
      </c>
      <c r="N16" s="116"/>
      <c r="O16" s="3">
        <f>9780*30%</f>
        <v>2934</v>
      </c>
      <c r="P16" s="116"/>
      <c r="Q16" s="3">
        <f>9780*30%</f>
        <v>2934</v>
      </c>
      <c r="R16" s="116"/>
      <c r="S16" s="3">
        <f>13450*30%</f>
        <v>4035</v>
      </c>
      <c r="T16" s="116"/>
      <c r="U16" s="3">
        <f>13450*30%</f>
        <v>4035</v>
      </c>
      <c r="V16" s="116"/>
      <c r="W16" s="3">
        <f>15600*30%</f>
        <v>4680</v>
      </c>
      <c r="X16" s="116"/>
      <c r="Y16" s="3">
        <v>900</v>
      </c>
      <c r="Z16" s="116"/>
      <c r="AA16" s="3"/>
      <c r="AB16" s="116"/>
      <c r="AC16" s="3"/>
      <c r="AD16" s="116"/>
      <c r="AE16" s="3">
        <f>SUM(G16:AC16)</f>
        <v>29518</v>
      </c>
    </row>
    <row r="17" spans="1:31" s="9" customFormat="1" x14ac:dyDescent="0.25">
      <c r="A17" s="189"/>
      <c r="B17" s="189"/>
      <c r="C17" s="189" t="s">
        <v>128</v>
      </c>
      <c r="D17" s="189"/>
      <c r="E17" s="44" t="s">
        <v>49</v>
      </c>
      <c r="F17" s="3">
        <v>3.5</v>
      </c>
      <c r="G17" s="3">
        <v>1000</v>
      </c>
      <c r="H17" s="116"/>
      <c r="I17" s="3">
        <v>2000</v>
      </c>
      <c r="J17" s="116"/>
      <c r="K17" s="3">
        <v>3000</v>
      </c>
      <c r="L17" s="116"/>
      <c r="M17" s="3">
        <v>4000</v>
      </c>
      <c r="N17" s="116"/>
      <c r="O17" s="3">
        <v>500</v>
      </c>
      <c r="P17" s="116"/>
      <c r="Q17" s="3">
        <v>500</v>
      </c>
      <c r="R17" s="116"/>
      <c r="S17" s="3">
        <v>500</v>
      </c>
      <c r="T17" s="116"/>
      <c r="U17" s="3"/>
      <c r="V17" s="116"/>
      <c r="W17" s="3"/>
      <c r="X17" s="116"/>
      <c r="Y17" s="3"/>
      <c r="Z17" s="116"/>
      <c r="AA17" s="3"/>
      <c r="AB17" s="116"/>
      <c r="AC17" s="3"/>
      <c r="AD17" s="116"/>
      <c r="AE17" s="3">
        <f>SUM(G17:AC17)</f>
        <v>11500</v>
      </c>
    </row>
    <row r="18" spans="1:31" s="9" customFormat="1" x14ac:dyDescent="0.25">
      <c r="A18" s="189"/>
      <c r="B18" s="189"/>
      <c r="C18" s="189"/>
      <c r="D18" s="189"/>
      <c r="E18" s="44" t="s">
        <v>40</v>
      </c>
      <c r="F18" s="3">
        <v>3</v>
      </c>
      <c r="G18" s="3">
        <v>1000</v>
      </c>
      <c r="H18" s="116"/>
      <c r="I18" s="3">
        <v>1000</v>
      </c>
      <c r="J18" s="116"/>
      <c r="K18" s="3">
        <v>3000</v>
      </c>
      <c r="L18" s="116"/>
      <c r="M18" s="3">
        <v>3000</v>
      </c>
      <c r="N18" s="116"/>
      <c r="O18" s="3">
        <v>500</v>
      </c>
      <c r="P18" s="116"/>
      <c r="Q18" s="3">
        <v>500</v>
      </c>
      <c r="R18" s="116"/>
      <c r="S18" s="3">
        <v>500</v>
      </c>
      <c r="T18" s="116"/>
      <c r="U18" s="3"/>
      <c r="V18" s="116"/>
      <c r="W18" s="3"/>
      <c r="X18" s="116"/>
      <c r="Y18" s="3"/>
      <c r="Z18" s="116"/>
      <c r="AA18" s="3"/>
      <c r="AB18" s="116"/>
      <c r="AC18" s="3"/>
      <c r="AD18" s="116"/>
      <c r="AE18" s="3">
        <f>SUM(G18:AC18)</f>
        <v>9500</v>
      </c>
    </row>
    <row r="19" spans="1:31" x14ac:dyDescent="0.25">
      <c r="A19" s="196" t="s">
        <v>38</v>
      </c>
      <c r="B19" s="197"/>
      <c r="C19" s="197"/>
      <c r="D19" s="197"/>
      <c r="E19" s="197"/>
      <c r="F19" s="198"/>
      <c r="G19" s="6">
        <f>SUM(G14:G18)</f>
        <v>8000</v>
      </c>
      <c r="H19" s="114">
        <v>5715</v>
      </c>
      <c r="I19" s="13">
        <f t="shared" ref="I19:AE19" si="4">SUM(I14:I18)</f>
        <v>16000</v>
      </c>
      <c r="J19" s="114">
        <v>7883</v>
      </c>
      <c r="K19" s="13">
        <f t="shared" si="4"/>
        <v>26000</v>
      </c>
      <c r="L19" s="114">
        <v>31600</v>
      </c>
      <c r="M19" s="13">
        <f t="shared" si="4"/>
        <v>25000</v>
      </c>
      <c r="N19" s="114">
        <v>48207</v>
      </c>
      <c r="O19" s="13">
        <f t="shared" si="4"/>
        <v>10780</v>
      </c>
      <c r="P19" s="114">
        <v>45952</v>
      </c>
      <c r="Q19" s="13">
        <f t="shared" si="4"/>
        <v>10780</v>
      </c>
      <c r="R19" s="114">
        <v>21316</v>
      </c>
      <c r="S19" s="13">
        <f t="shared" si="4"/>
        <v>14450</v>
      </c>
      <c r="T19" s="114">
        <v>5984</v>
      </c>
      <c r="U19" s="13">
        <f t="shared" si="4"/>
        <v>13450</v>
      </c>
      <c r="V19" s="114">
        <v>13789</v>
      </c>
      <c r="W19" s="13">
        <f t="shared" si="4"/>
        <v>15600</v>
      </c>
      <c r="X19" s="114">
        <v>23110</v>
      </c>
      <c r="Y19" s="13">
        <f t="shared" si="4"/>
        <v>2700</v>
      </c>
      <c r="Z19" s="114">
        <v>2795</v>
      </c>
      <c r="AA19" s="13">
        <f t="shared" si="4"/>
        <v>0</v>
      </c>
      <c r="AB19" s="114"/>
      <c r="AC19" s="13">
        <f t="shared" si="4"/>
        <v>0</v>
      </c>
      <c r="AD19" s="114">
        <v>0</v>
      </c>
      <c r="AE19" s="13">
        <f t="shared" si="4"/>
        <v>142760</v>
      </c>
    </row>
    <row r="20" spans="1:31" s="9" customFormat="1" x14ac:dyDescent="0.25">
      <c r="A20" s="193" t="s">
        <v>132</v>
      </c>
      <c r="B20" s="194"/>
      <c r="C20" s="194"/>
      <c r="D20" s="194"/>
      <c r="E20" s="194"/>
      <c r="F20" s="195"/>
      <c r="G20" s="48">
        <f>G14*$F14+G15*$F15+G16*$F16+G17*$F17+G18*$F18</f>
        <v>59500</v>
      </c>
      <c r="H20" s="114">
        <v>43614.5</v>
      </c>
      <c r="I20" s="48">
        <f t="shared" ref="I20:AE20" si="5">I14*$F14+I15*$F15+I16*$F16+I17*$F17+I18*$F18</f>
        <v>125500</v>
      </c>
      <c r="J20" s="114">
        <v>67056.5</v>
      </c>
      <c r="K20" s="48">
        <f t="shared" si="5"/>
        <v>193500</v>
      </c>
      <c r="L20" s="114">
        <v>206047</v>
      </c>
      <c r="M20" s="48">
        <f t="shared" si="5"/>
        <v>181000</v>
      </c>
      <c r="N20" s="114">
        <v>378050.5</v>
      </c>
      <c r="O20" s="48">
        <f t="shared" si="5"/>
        <v>86869</v>
      </c>
      <c r="P20" s="114">
        <v>389324.94</v>
      </c>
      <c r="Q20" s="48">
        <f t="shared" si="5"/>
        <v>86869</v>
      </c>
      <c r="R20" s="114">
        <v>169796.53</v>
      </c>
      <c r="S20" s="48">
        <f t="shared" si="5"/>
        <v>118247.5</v>
      </c>
      <c r="T20" s="114">
        <v>50866.7</v>
      </c>
      <c r="U20" s="48">
        <f t="shared" si="5"/>
        <v>114997.5</v>
      </c>
      <c r="V20" s="114">
        <v>128758.59999999999</v>
      </c>
      <c r="W20" s="48">
        <f t="shared" si="5"/>
        <v>133380</v>
      </c>
      <c r="X20" s="114">
        <v>190614.66</v>
      </c>
      <c r="Y20" s="48">
        <f t="shared" si="5"/>
        <v>22950</v>
      </c>
      <c r="Z20" s="114">
        <v>24146.7</v>
      </c>
      <c r="AA20" s="48">
        <f t="shared" si="5"/>
        <v>0</v>
      </c>
      <c r="AB20" s="114"/>
      <c r="AC20" s="48">
        <f t="shared" si="5"/>
        <v>0</v>
      </c>
      <c r="AD20" s="114">
        <v>0</v>
      </c>
      <c r="AE20" s="48">
        <f t="shared" si="5"/>
        <v>1122813</v>
      </c>
    </row>
    <row r="21" spans="1:31" x14ac:dyDescent="0.25">
      <c r="A21" s="193" t="s">
        <v>50</v>
      </c>
      <c r="B21" s="194"/>
      <c r="C21" s="194"/>
      <c r="D21" s="194"/>
      <c r="E21" s="194"/>
      <c r="F21" s="195"/>
      <c r="G21" s="7">
        <f>G20*3.5%</f>
        <v>2082.5</v>
      </c>
      <c r="H21" s="115">
        <f>H20*3.5%</f>
        <v>1526.5075000000002</v>
      </c>
      <c r="I21" s="47">
        <f t="shared" ref="I21:AE21" si="6">I20*3.5%</f>
        <v>4392.5</v>
      </c>
      <c r="J21" s="115">
        <f>J20*3.5%</f>
        <v>2346.9775000000004</v>
      </c>
      <c r="K21" s="47">
        <f t="shared" si="6"/>
        <v>6772.5000000000009</v>
      </c>
      <c r="L21" s="115">
        <f>L20*3.5%</f>
        <v>7211.6450000000004</v>
      </c>
      <c r="M21" s="47">
        <f t="shared" si="6"/>
        <v>6335.0000000000009</v>
      </c>
      <c r="N21" s="115">
        <f>N20*3.5%</f>
        <v>13231.767500000002</v>
      </c>
      <c r="O21" s="47">
        <f t="shared" si="6"/>
        <v>3040.4150000000004</v>
      </c>
      <c r="P21" s="115">
        <f>P20*3.5%</f>
        <v>13626.372900000002</v>
      </c>
      <c r="Q21" s="47">
        <f t="shared" si="6"/>
        <v>3040.4150000000004</v>
      </c>
      <c r="R21" s="115">
        <f>R20*3.5%</f>
        <v>5942.8785500000004</v>
      </c>
      <c r="S21" s="47">
        <f t="shared" si="6"/>
        <v>4138.6625000000004</v>
      </c>
      <c r="T21" s="115">
        <f>T20*3.5%</f>
        <v>1780.3345000000002</v>
      </c>
      <c r="U21" s="47">
        <f t="shared" si="6"/>
        <v>4024.9125000000004</v>
      </c>
      <c r="V21" s="115">
        <f>V20*3.5%</f>
        <v>4506.5510000000004</v>
      </c>
      <c r="W21" s="47">
        <f t="shared" si="6"/>
        <v>4668.3</v>
      </c>
      <c r="X21" s="115">
        <f>X20*3.5%</f>
        <v>6671.513100000001</v>
      </c>
      <c r="Y21" s="47">
        <f t="shared" si="6"/>
        <v>803.25000000000011</v>
      </c>
      <c r="Z21" s="115">
        <f>Z20*5%</f>
        <v>1207.335</v>
      </c>
      <c r="AA21" s="47">
        <f t="shared" si="6"/>
        <v>0</v>
      </c>
      <c r="AB21" s="115"/>
      <c r="AC21" s="47">
        <f t="shared" si="6"/>
        <v>0</v>
      </c>
      <c r="AD21" s="115">
        <f>AD20*5%</f>
        <v>0</v>
      </c>
      <c r="AE21" s="47">
        <f t="shared" si="6"/>
        <v>39298.455000000002</v>
      </c>
    </row>
    <row r="23" spans="1:31" x14ac:dyDescent="0.25">
      <c r="A23" s="189" t="s">
        <v>54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</row>
    <row r="24" spans="1:31" x14ac:dyDescent="0.25">
      <c r="A24" s="190" t="s">
        <v>41</v>
      </c>
      <c r="B24" s="191"/>
      <c r="C24" s="191"/>
      <c r="D24" s="191"/>
      <c r="E24" s="192"/>
      <c r="F24" s="3" t="s">
        <v>47</v>
      </c>
      <c r="G24" s="3" t="s">
        <v>12</v>
      </c>
      <c r="H24" s="112" t="s">
        <v>228</v>
      </c>
      <c r="I24" s="3" t="s">
        <v>13</v>
      </c>
      <c r="J24" s="112" t="s">
        <v>229</v>
      </c>
      <c r="K24" s="3" t="s">
        <v>14</v>
      </c>
      <c r="L24" s="112" t="s">
        <v>230</v>
      </c>
      <c r="M24" s="3" t="s">
        <v>15</v>
      </c>
      <c r="N24" s="112" t="s">
        <v>231</v>
      </c>
      <c r="O24" s="3" t="s">
        <v>16</v>
      </c>
      <c r="P24" s="133" t="s">
        <v>233</v>
      </c>
      <c r="Q24" s="3" t="s">
        <v>17</v>
      </c>
      <c r="R24" s="116" t="s">
        <v>235</v>
      </c>
      <c r="S24" s="3" t="s">
        <v>18</v>
      </c>
      <c r="T24" s="136" t="s">
        <v>237</v>
      </c>
      <c r="U24" s="3" t="s">
        <v>19</v>
      </c>
      <c r="V24" s="149" t="s">
        <v>239</v>
      </c>
      <c r="W24" s="3" t="s">
        <v>20</v>
      </c>
      <c r="X24" s="116" t="s">
        <v>241</v>
      </c>
      <c r="Y24" s="3" t="s">
        <v>21</v>
      </c>
      <c r="Z24" s="151" t="s">
        <v>243</v>
      </c>
      <c r="AA24" s="3" t="s">
        <v>22</v>
      </c>
      <c r="AB24" s="116" t="s">
        <v>245</v>
      </c>
      <c r="AC24" s="3" t="s">
        <v>23</v>
      </c>
      <c r="AD24" s="116" t="s">
        <v>248</v>
      </c>
      <c r="AE24" s="3" t="s">
        <v>24</v>
      </c>
    </row>
    <row r="25" spans="1:31" x14ac:dyDescent="0.25">
      <c r="A25" s="190" t="s">
        <v>91</v>
      </c>
      <c r="B25" s="191"/>
      <c r="C25" s="191"/>
      <c r="D25" s="191"/>
      <c r="E25" s="192"/>
      <c r="F25" s="4">
        <v>10</v>
      </c>
      <c r="G25" s="5">
        <v>300</v>
      </c>
      <c r="H25" s="113"/>
      <c r="I25" s="5">
        <v>300</v>
      </c>
      <c r="J25" s="113"/>
      <c r="K25" s="5">
        <v>300</v>
      </c>
      <c r="L25" s="113"/>
      <c r="M25" s="5">
        <v>300</v>
      </c>
      <c r="N25" s="113"/>
      <c r="O25" s="5">
        <v>600</v>
      </c>
      <c r="P25" s="113"/>
      <c r="Q25" s="5">
        <v>400</v>
      </c>
      <c r="R25" s="113"/>
      <c r="S25" s="5">
        <v>400</v>
      </c>
      <c r="T25" s="113"/>
      <c r="U25" s="5">
        <v>500</v>
      </c>
      <c r="V25" s="113"/>
      <c r="W25" s="5">
        <v>600</v>
      </c>
      <c r="X25" s="113"/>
      <c r="Y25" s="5">
        <v>700</v>
      </c>
      <c r="Z25" s="113"/>
      <c r="AA25" s="5">
        <v>800</v>
      </c>
      <c r="AB25" s="113"/>
      <c r="AC25" s="5">
        <v>800</v>
      </c>
      <c r="AD25" s="113"/>
      <c r="AE25" s="5">
        <f>SUM(G25:AC25)</f>
        <v>6000</v>
      </c>
    </row>
    <row r="26" spans="1:31" x14ac:dyDescent="0.25">
      <c r="A26" s="196" t="s">
        <v>89</v>
      </c>
      <c r="B26" s="197"/>
      <c r="C26" s="197"/>
      <c r="D26" s="197"/>
      <c r="E26" s="197"/>
      <c r="F26" s="198"/>
      <c r="G26" s="13">
        <f t="shared" ref="G26:AE26" si="7">SUM(G25:G25)</f>
        <v>300</v>
      </c>
      <c r="H26" s="119">
        <f>H27/15</f>
        <v>556.11066666666682</v>
      </c>
      <c r="I26" s="13">
        <f t="shared" si="7"/>
        <v>300</v>
      </c>
      <c r="J26" s="119">
        <f>J27/15</f>
        <v>489.64999999999992</v>
      </c>
      <c r="K26" s="13">
        <f t="shared" si="7"/>
        <v>300</v>
      </c>
      <c r="L26" s="119">
        <f>L27/15</f>
        <v>504.79960000000005</v>
      </c>
      <c r="M26" s="13">
        <f t="shared" si="7"/>
        <v>300</v>
      </c>
      <c r="N26" s="119">
        <f>N27/15</f>
        <v>700.45000000000016</v>
      </c>
      <c r="O26" s="13">
        <f t="shared" si="7"/>
        <v>600</v>
      </c>
      <c r="P26" s="119">
        <f>P27/15</f>
        <v>477.9</v>
      </c>
      <c r="Q26" s="13">
        <f t="shared" si="7"/>
        <v>400</v>
      </c>
      <c r="R26" s="119">
        <f>R27/15</f>
        <v>304.21999999999997</v>
      </c>
      <c r="S26" s="13">
        <f t="shared" si="7"/>
        <v>400</v>
      </c>
      <c r="T26" s="119">
        <f>T27/15</f>
        <v>256.4133333333333</v>
      </c>
      <c r="U26" s="13">
        <f t="shared" si="7"/>
        <v>500</v>
      </c>
      <c r="V26" s="119">
        <f>V27/10</f>
        <v>859.42000000000007</v>
      </c>
      <c r="W26" s="13">
        <f t="shared" si="7"/>
        <v>600</v>
      </c>
      <c r="X26" s="119">
        <f>X27/10</f>
        <v>833.18500000000006</v>
      </c>
      <c r="Y26" s="13">
        <f t="shared" si="7"/>
        <v>700</v>
      </c>
      <c r="Z26" s="119">
        <f>Z27/10</f>
        <v>1228.27</v>
      </c>
      <c r="AA26" s="13">
        <f t="shared" si="7"/>
        <v>800</v>
      </c>
      <c r="AB26" s="119">
        <f>AB27/10</f>
        <v>1199.96</v>
      </c>
      <c r="AC26" s="13">
        <f t="shared" si="7"/>
        <v>800</v>
      </c>
      <c r="AD26" s="119">
        <f>AD27/10</f>
        <v>1396.31</v>
      </c>
      <c r="AE26" s="13">
        <f t="shared" si="7"/>
        <v>6000</v>
      </c>
    </row>
    <row r="27" spans="1:31" x14ac:dyDescent="0.25">
      <c r="A27" s="193" t="s">
        <v>90</v>
      </c>
      <c r="B27" s="194"/>
      <c r="C27" s="194"/>
      <c r="D27" s="194"/>
      <c r="E27" s="194"/>
      <c r="F27" s="195"/>
      <c r="G27" s="14">
        <f>G25*$F$25</f>
        <v>3000</v>
      </c>
      <c r="H27" s="119">
        <v>8341.6600000000017</v>
      </c>
      <c r="I27" s="14">
        <f t="shared" ref="I27:AA27" si="8">I25*$F$25</f>
        <v>3000</v>
      </c>
      <c r="J27" s="119">
        <v>7344.7499999999991</v>
      </c>
      <c r="K27" s="14">
        <f t="shared" si="8"/>
        <v>3000</v>
      </c>
      <c r="L27" s="119">
        <v>7571.9940000000006</v>
      </c>
      <c r="M27" s="14">
        <f t="shared" si="8"/>
        <v>3000</v>
      </c>
      <c r="N27" s="119">
        <v>10506.750000000002</v>
      </c>
      <c r="O27" s="14">
        <f t="shared" si="8"/>
        <v>6000</v>
      </c>
      <c r="P27" s="119">
        <v>7168.5</v>
      </c>
      <c r="Q27" s="14">
        <f t="shared" si="8"/>
        <v>4000</v>
      </c>
      <c r="R27" s="119">
        <v>4563.2999999999993</v>
      </c>
      <c r="S27" s="14">
        <f t="shared" si="8"/>
        <v>4000</v>
      </c>
      <c r="T27" s="119">
        <v>3846.2</v>
      </c>
      <c r="U27" s="14">
        <f t="shared" si="8"/>
        <v>5000</v>
      </c>
      <c r="V27" s="119">
        <v>8594.2000000000007</v>
      </c>
      <c r="W27" s="14">
        <f t="shared" si="8"/>
        <v>6000</v>
      </c>
      <c r="X27" s="119">
        <v>8331.85</v>
      </c>
      <c r="Y27" s="14">
        <f t="shared" si="8"/>
        <v>7000</v>
      </c>
      <c r="Z27" s="119">
        <v>12282.7</v>
      </c>
      <c r="AA27" s="14">
        <f t="shared" si="8"/>
        <v>8000</v>
      </c>
      <c r="AB27" s="119">
        <v>11999.6</v>
      </c>
      <c r="AC27" s="14">
        <v>40000</v>
      </c>
      <c r="AD27" s="119">
        <v>13963.1</v>
      </c>
      <c r="AE27" s="120">
        <f>SUM(G27:AC27)</f>
        <v>182551.50399999999</v>
      </c>
    </row>
    <row r="28" spans="1:31" x14ac:dyDescent="0.25">
      <c r="A28" s="9"/>
      <c r="B28" s="9"/>
      <c r="C28" s="9"/>
      <c r="D28" s="9"/>
      <c r="E28" s="9"/>
      <c r="F28" s="9"/>
      <c r="G28" s="9"/>
      <c r="I28" s="9"/>
      <c r="K28" s="9"/>
      <c r="M28" s="9"/>
      <c r="O28" s="9"/>
      <c r="Q28" s="9"/>
      <c r="S28" s="9"/>
      <c r="U28" s="9"/>
      <c r="W28" s="9"/>
      <c r="Y28" s="9"/>
      <c r="AA28" s="9"/>
      <c r="AC28" s="9"/>
      <c r="AE28" s="9"/>
    </row>
    <row r="29" spans="1:31" s="9" customFormat="1" x14ac:dyDescent="0.25">
      <c r="A29" s="190" t="s">
        <v>93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2"/>
    </row>
    <row r="30" spans="1:31" s="9" customFormat="1" x14ac:dyDescent="0.25">
      <c r="A30" s="190" t="s">
        <v>41</v>
      </c>
      <c r="B30" s="191"/>
      <c r="C30" s="191"/>
      <c r="D30" s="191"/>
      <c r="E30" s="192"/>
      <c r="F30" s="3" t="s">
        <v>47</v>
      </c>
      <c r="G30" s="3" t="s">
        <v>12</v>
      </c>
      <c r="H30" s="112" t="s">
        <v>228</v>
      </c>
      <c r="I30" s="3" t="s">
        <v>13</v>
      </c>
      <c r="J30" s="112" t="s">
        <v>229</v>
      </c>
      <c r="K30" s="3" t="s">
        <v>14</v>
      </c>
      <c r="L30" s="112" t="s">
        <v>230</v>
      </c>
      <c r="M30" s="3" t="s">
        <v>15</v>
      </c>
      <c r="N30" s="112" t="s">
        <v>231</v>
      </c>
      <c r="O30" s="3" t="s">
        <v>16</v>
      </c>
      <c r="P30" s="133" t="s">
        <v>233</v>
      </c>
      <c r="Q30" s="3" t="s">
        <v>17</v>
      </c>
      <c r="R30" s="116" t="s">
        <v>235</v>
      </c>
      <c r="S30" s="3" t="s">
        <v>18</v>
      </c>
      <c r="T30" s="136" t="s">
        <v>237</v>
      </c>
      <c r="U30" s="3" t="s">
        <v>19</v>
      </c>
      <c r="V30" s="149" t="s">
        <v>239</v>
      </c>
      <c r="W30" s="3" t="s">
        <v>20</v>
      </c>
      <c r="X30" s="116" t="s">
        <v>241</v>
      </c>
      <c r="Y30" s="3" t="s">
        <v>21</v>
      </c>
      <c r="Z30" s="151" t="s">
        <v>243</v>
      </c>
      <c r="AA30" s="3" t="s">
        <v>22</v>
      </c>
      <c r="AB30" s="116" t="s">
        <v>245</v>
      </c>
      <c r="AC30" s="3" t="s">
        <v>23</v>
      </c>
      <c r="AD30" s="116" t="s">
        <v>248</v>
      </c>
      <c r="AE30" s="3" t="s">
        <v>24</v>
      </c>
    </row>
    <row r="31" spans="1:31" s="9" customFormat="1" x14ac:dyDescent="0.25">
      <c r="A31" s="190" t="s">
        <v>94</v>
      </c>
      <c r="B31" s="191"/>
      <c r="C31" s="191"/>
      <c r="D31" s="191"/>
      <c r="E31" s="192"/>
      <c r="F31" s="4">
        <f>0.7*4%</f>
        <v>2.7999999999999997E-2</v>
      </c>
      <c r="G31" s="5">
        <v>10000</v>
      </c>
      <c r="H31" s="113"/>
      <c r="I31" s="5">
        <f>5000+10000</f>
        <v>15000</v>
      </c>
      <c r="J31" s="113"/>
      <c r="K31" s="5">
        <f>5000+20000</f>
        <v>25000</v>
      </c>
      <c r="L31" s="113"/>
      <c r="M31" s="5">
        <v>10000</v>
      </c>
      <c r="N31" s="113"/>
      <c r="O31" s="5">
        <v>65000</v>
      </c>
      <c r="P31" s="113"/>
      <c r="Q31" s="5">
        <v>80000</v>
      </c>
      <c r="R31" s="113"/>
      <c r="S31" s="5">
        <v>62500</v>
      </c>
      <c r="T31" s="113"/>
      <c r="U31" s="5">
        <v>25000</v>
      </c>
      <c r="V31" s="113"/>
      <c r="W31" s="5">
        <v>42500</v>
      </c>
      <c r="X31" s="113"/>
      <c r="Y31" s="5">
        <v>20000</v>
      </c>
      <c r="Z31" s="113"/>
      <c r="AA31" s="5">
        <v>80000</v>
      </c>
      <c r="AB31" s="113"/>
      <c r="AC31" s="5">
        <v>50000</v>
      </c>
      <c r="AD31" s="113"/>
      <c r="AE31" s="5">
        <f>SUM(G31:AC31)</f>
        <v>485000</v>
      </c>
    </row>
    <row r="32" spans="1:31" s="9" customFormat="1" x14ac:dyDescent="0.25">
      <c r="A32" s="196" t="s">
        <v>89</v>
      </c>
      <c r="B32" s="197"/>
      <c r="C32" s="197"/>
      <c r="D32" s="197"/>
      <c r="E32" s="197"/>
      <c r="F32" s="198"/>
      <c r="G32" s="13">
        <f t="shared" ref="G32:AE32" si="9">SUM(G31:G31)</f>
        <v>10000</v>
      </c>
      <c r="H32" s="114">
        <f>G32</f>
        <v>10000</v>
      </c>
      <c r="I32" s="13">
        <f t="shared" si="9"/>
        <v>15000</v>
      </c>
      <c r="J32" s="114">
        <f>I32</f>
        <v>15000</v>
      </c>
      <c r="K32" s="13">
        <f t="shared" si="9"/>
        <v>25000</v>
      </c>
      <c r="L32" s="114">
        <f>K32</f>
        <v>25000</v>
      </c>
      <c r="M32" s="13">
        <f t="shared" si="9"/>
        <v>10000</v>
      </c>
      <c r="N32" s="114">
        <f>M32</f>
        <v>10000</v>
      </c>
      <c r="O32" s="13">
        <f t="shared" si="9"/>
        <v>65000</v>
      </c>
      <c r="P32" s="114">
        <f>O32</f>
        <v>65000</v>
      </c>
      <c r="Q32" s="13">
        <f t="shared" si="9"/>
        <v>80000</v>
      </c>
      <c r="R32" s="114">
        <f>Q32</f>
        <v>80000</v>
      </c>
      <c r="S32" s="13">
        <f t="shared" si="9"/>
        <v>62500</v>
      </c>
      <c r="T32" s="114">
        <f>S32</f>
        <v>62500</v>
      </c>
      <c r="U32" s="13">
        <f t="shared" si="9"/>
        <v>25000</v>
      </c>
      <c r="V32" s="114">
        <f>U32</f>
        <v>25000</v>
      </c>
      <c r="W32" s="13">
        <f t="shared" si="9"/>
        <v>42500</v>
      </c>
      <c r="X32" s="114">
        <f>W32</f>
        <v>42500</v>
      </c>
      <c r="Y32" s="13">
        <f t="shared" si="9"/>
        <v>20000</v>
      </c>
      <c r="Z32" s="114">
        <f>Y32</f>
        <v>20000</v>
      </c>
      <c r="AA32" s="13">
        <f t="shared" si="9"/>
        <v>80000</v>
      </c>
      <c r="AB32" s="114">
        <f>AA32</f>
        <v>80000</v>
      </c>
      <c r="AC32" s="13">
        <f t="shared" si="9"/>
        <v>50000</v>
      </c>
      <c r="AD32" s="114">
        <f>AC32</f>
        <v>50000</v>
      </c>
      <c r="AE32" s="13">
        <f t="shared" si="9"/>
        <v>485000</v>
      </c>
    </row>
    <row r="33" spans="1:31" s="9" customFormat="1" x14ac:dyDescent="0.25">
      <c r="A33" s="193" t="s">
        <v>90</v>
      </c>
      <c r="B33" s="194"/>
      <c r="C33" s="194"/>
      <c r="D33" s="194"/>
      <c r="E33" s="194"/>
      <c r="F33" s="195"/>
      <c r="G33" s="14">
        <f>G31*$F$31</f>
        <v>279.99999999999994</v>
      </c>
      <c r="H33" s="114">
        <f>G33</f>
        <v>279.99999999999994</v>
      </c>
      <c r="I33" s="14">
        <f t="shared" ref="I33:AC33" si="10">I31*$F$31</f>
        <v>419.99999999999994</v>
      </c>
      <c r="J33" s="114">
        <f>I33</f>
        <v>419.99999999999994</v>
      </c>
      <c r="K33" s="14">
        <f t="shared" si="10"/>
        <v>699.99999999999989</v>
      </c>
      <c r="L33" s="114">
        <f>K33</f>
        <v>699.99999999999989</v>
      </c>
      <c r="M33" s="14">
        <f t="shared" si="10"/>
        <v>279.99999999999994</v>
      </c>
      <c r="N33" s="114">
        <f>M33</f>
        <v>279.99999999999994</v>
      </c>
      <c r="O33" s="14">
        <f t="shared" si="10"/>
        <v>1819.9999999999998</v>
      </c>
      <c r="P33" s="114">
        <f>O33</f>
        <v>1819.9999999999998</v>
      </c>
      <c r="Q33" s="14">
        <f t="shared" si="10"/>
        <v>2239.9999999999995</v>
      </c>
      <c r="R33" s="114">
        <f>Q33</f>
        <v>2239.9999999999995</v>
      </c>
      <c r="S33" s="14">
        <f t="shared" si="10"/>
        <v>1749.9999999999998</v>
      </c>
      <c r="T33" s="114">
        <f>S33</f>
        <v>1749.9999999999998</v>
      </c>
      <c r="U33" s="14">
        <f t="shared" si="10"/>
        <v>699.99999999999989</v>
      </c>
      <c r="V33" s="114">
        <f>U33</f>
        <v>699.99999999999989</v>
      </c>
      <c r="W33" s="14">
        <f t="shared" si="10"/>
        <v>1189.9999999999998</v>
      </c>
      <c r="X33" s="114">
        <f>W33</f>
        <v>1189.9999999999998</v>
      </c>
      <c r="Y33" s="14">
        <f t="shared" si="10"/>
        <v>559.99999999999989</v>
      </c>
      <c r="Z33" s="114">
        <v>6124.95</v>
      </c>
      <c r="AA33" s="14">
        <f t="shared" si="10"/>
        <v>2239.9999999999995</v>
      </c>
      <c r="AB33" s="114">
        <v>2564.31</v>
      </c>
      <c r="AC33" s="14">
        <f t="shared" si="10"/>
        <v>1399.9999999999998</v>
      </c>
      <c r="AD33" s="114">
        <v>1615.03</v>
      </c>
      <c r="AE33" s="14">
        <f>SUM(G33:AC33)</f>
        <v>31649.26</v>
      </c>
    </row>
    <row r="34" spans="1:31" s="36" customForma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s="36" customFormat="1" x14ac:dyDescent="0.25">
      <c r="A35" s="189" t="s">
        <v>104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</row>
    <row r="36" spans="1:31" s="36" customFormat="1" x14ac:dyDescent="0.25">
      <c r="A36" s="189" t="s">
        <v>41</v>
      </c>
      <c r="B36" s="189"/>
      <c r="C36" s="189"/>
      <c r="D36" s="189"/>
      <c r="E36" s="189"/>
      <c r="F36" s="3" t="s">
        <v>105</v>
      </c>
      <c r="G36" s="3" t="s">
        <v>12</v>
      </c>
      <c r="H36" s="112" t="s">
        <v>228</v>
      </c>
      <c r="I36" s="3" t="s">
        <v>13</v>
      </c>
      <c r="J36" s="112" t="s">
        <v>229</v>
      </c>
      <c r="K36" s="3" t="s">
        <v>14</v>
      </c>
      <c r="L36" s="112" t="s">
        <v>230</v>
      </c>
      <c r="M36" s="3" t="s">
        <v>15</v>
      </c>
      <c r="N36" s="112" t="s">
        <v>231</v>
      </c>
      <c r="O36" s="3" t="s">
        <v>16</v>
      </c>
      <c r="P36" s="133" t="s">
        <v>233</v>
      </c>
      <c r="Q36" s="3" t="s">
        <v>17</v>
      </c>
      <c r="R36" s="116" t="s">
        <v>235</v>
      </c>
      <c r="S36" s="3" t="s">
        <v>18</v>
      </c>
      <c r="T36" s="136" t="s">
        <v>237</v>
      </c>
      <c r="U36" s="3" t="s">
        <v>19</v>
      </c>
      <c r="V36" s="149" t="s">
        <v>239</v>
      </c>
      <c r="W36" s="3" t="s">
        <v>20</v>
      </c>
      <c r="X36" s="116" t="s">
        <v>241</v>
      </c>
      <c r="Y36" s="3" t="s">
        <v>21</v>
      </c>
      <c r="Z36" s="151" t="s">
        <v>243</v>
      </c>
      <c r="AA36" s="3" t="s">
        <v>22</v>
      </c>
      <c r="AB36" s="116" t="s">
        <v>245</v>
      </c>
      <c r="AC36" s="3" t="s">
        <v>23</v>
      </c>
      <c r="AD36" s="116" t="s">
        <v>248</v>
      </c>
      <c r="AE36" s="3" t="s">
        <v>24</v>
      </c>
    </row>
    <row r="37" spans="1:31" s="36" customFormat="1" x14ac:dyDescent="0.25">
      <c r="A37" s="189" t="s">
        <v>125</v>
      </c>
      <c r="B37" s="189"/>
      <c r="C37" s="189"/>
      <c r="D37" s="189"/>
      <c r="E37" s="189"/>
      <c r="F37" s="3">
        <v>6</v>
      </c>
      <c r="G37" s="42">
        <f>$AE$37/12</f>
        <v>2083333.3333333333</v>
      </c>
      <c r="H37" s="117"/>
      <c r="I37" s="42">
        <f>$AE$37/12</f>
        <v>2083333.3333333333</v>
      </c>
      <c r="J37" s="117"/>
      <c r="K37" s="42">
        <f>$AE$37/12</f>
        <v>2083333.3333333333</v>
      </c>
      <c r="L37" s="117"/>
      <c r="M37" s="42">
        <f>$AE$37/12</f>
        <v>2083333.3333333333</v>
      </c>
      <c r="N37" s="117"/>
      <c r="O37" s="42">
        <f>$AE$37/12</f>
        <v>2083333.3333333333</v>
      </c>
      <c r="P37" s="117"/>
      <c r="Q37" s="42">
        <f>$AE$37/12</f>
        <v>2083333.3333333333</v>
      </c>
      <c r="R37" s="117"/>
      <c r="S37" s="42">
        <f>$AE$37/12</f>
        <v>2083333.3333333333</v>
      </c>
      <c r="T37" s="117"/>
      <c r="U37" s="42">
        <f>$AE$37/12</f>
        <v>2083333.3333333333</v>
      </c>
      <c r="V37" s="117"/>
      <c r="W37" s="42">
        <f>$AE$37/12</f>
        <v>2083333.3333333333</v>
      </c>
      <c r="X37" s="117"/>
      <c r="Y37" s="42"/>
      <c r="Z37" s="117"/>
      <c r="AA37" s="42"/>
      <c r="AB37" s="117"/>
      <c r="AC37" s="42"/>
      <c r="AD37" s="117"/>
      <c r="AE37" s="3">
        <v>25000000</v>
      </c>
    </row>
    <row r="38" spans="1:31" s="36" customFormat="1" x14ac:dyDescent="0.25">
      <c r="A38" s="189" t="s">
        <v>126</v>
      </c>
      <c r="B38" s="189"/>
      <c r="C38" s="189"/>
      <c r="D38" s="189"/>
      <c r="E38" s="189"/>
      <c r="F38" s="3"/>
      <c r="G38" s="37">
        <f>G37/$F$37</f>
        <v>347222.22222222219</v>
      </c>
      <c r="H38" s="118"/>
      <c r="I38" s="37">
        <f t="shared" ref="I38:W38" si="11">I37/$F$37</f>
        <v>347222.22222222219</v>
      </c>
      <c r="J38" s="118"/>
      <c r="K38" s="37">
        <f t="shared" si="11"/>
        <v>347222.22222222219</v>
      </c>
      <c r="L38" s="118"/>
      <c r="M38" s="37">
        <f t="shared" si="11"/>
        <v>347222.22222222219</v>
      </c>
      <c r="N38" s="118"/>
      <c r="O38" s="37">
        <f t="shared" si="11"/>
        <v>347222.22222222219</v>
      </c>
      <c r="P38" s="118"/>
      <c r="Q38" s="37">
        <f t="shared" si="11"/>
        <v>347222.22222222219</v>
      </c>
      <c r="R38" s="118"/>
      <c r="S38" s="37">
        <f t="shared" si="11"/>
        <v>347222.22222222219</v>
      </c>
      <c r="T38" s="118"/>
      <c r="U38" s="37">
        <f t="shared" si="11"/>
        <v>347222.22222222219</v>
      </c>
      <c r="V38" s="118"/>
      <c r="W38" s="37">
        <f t="shared" si="11"/>
        <v>347222.22222222219</v>
      </c>
      <c r="X38" s="118"/>
      <c r="Y38" s="37"/>
      <c r="Z38" s="118"/>
      <c r="AA38" s="37"/>
      <c r="AB38" s="118"/>
      <c r="AC38" s="37"/>
      <c r="AD38" s="118"/>
      <c r="AE38" s="37">
        <f>SUM(G38:AC38)</f>
        <v>3124999.9999999995</v>
      </c>
    </row>
    <row r="39" spans="1:31" s="36" customFormat="1" x14ac:dyDescent="0.25">
      <c r="A39" s="189" t="s">
        <v>108</v>
      </c>
      <c r="B39" s="189"/>
      <c r="C39" s="189"/>
      <c r="D39" s="189"/>
      <c r="E39" s="189"/>
      <c r="F39" s="38">
        <v>0.15</v>
      </c>
      <c r="G39" s="37">
        <f>G38*$F$39</f>
        <v>52083.333333333328</v>
      </c>
      <c r="H39" s="118"/>
      <c r="I39" s="37">
        <f t="shared" ref="I39:W39" si="12">I38*$F$39</f>
        <v>52083.333333333328</v>
      </c>
      <c r="J39" s="118"/>
      <c r="K39" s="37">
        <f t="shared" si="12"/>
        <v>52083.333333333328</v>
      </c>
      <c r="L39" s="118"/>
      <c r="M39" s="37">
        <f t="shared" si="12"/>
        <v>52083.333333333328</v>
      </c>
      <c r="N39" s="118"/>
      <c r="O39" s="37">
        <f t="shared" si="12"/>
        <v>52083.333333333328</v>
      </c>
      <c r="P39" s="118"/>
      <c r="Q39" s="37">
        <f t="shared" si="12"/>
        <v>52083.333333333328</v>
      </c>
      <c r="R39" s="118"/>
      <c r="S39" s="37">
        <f t="shared" si="12"/>
        <v>52083.333333333328</v>
      </c>
      <c r="T39" s="118"/>
      <c r="U39" s="37">
        <f t="shared" si="12"/>
        <v>52083.333333333328</v>
      </c>
      <c r="V39" s="118"/>
      <c r="W39" s="37">
        <f t="shared" si="12"/>
        <v>52083.333333333328</v>
      </c>
      <c r="X39" s="118"/>
      <c r="Y39" s="37"/>
      <c r="Z39" s="118"/>
      <c r="AA39" s="37"/>
      <c r="AB39" s="118"/>
      <c r="AC39" s="37"/>
      <c r="AD39" s="118"/>
      <c r="AE39" s="37">
        <f>SUM(G39:AC39)</f>
        <v>468749.99999999988</v>
      </c>
    </row>
    <row r="40" spans="1:31" s="36" customFormat="1" x14ac:dyDescent="0.25">
      <c r="A40" s="189" t="s">
        <v>107</v>
      </c>
      <c r="B40" s="189"/>
      <c r="C40" s="189"/>
      <c r="D40" s="189"/>
      <c r="E40" s="189"/>
      <c r="F40" s="3"/>
      <c r="G40" s="3">
        <f>G39*$F$37</f>
        <v>312500</v>
      </c>
      <c r="H40" s="116"/>
      <c r="I40" s="3">
        <f t="shared" ref="I40:W40" si="13">I39*$F$37</f>
        <v>312500</v>
      </c>
      <c r="J40" s="116"/>
      <c r="K40" s="3">
        <f t="shared" si="13"/>
        <v>312500</v>
      </c>
      <c r="L40" s="116"/>
      <c r="M40" s="3">
        <f t="shared" si="13"/>
        <v>312500</v>
      </c>
      <c r="N40" s="116"/>
      <c r="O40" s="3">
        <f t="shared" si="13"/>
        <v>312500</v>
      </c>
      <c r="P40" s="116"/>
      <c r="Q40" s="3">
        <f t="shared" si="13"/>
        <v>312500</v>
      </c>
      <c r="R40" s="116"/>
      <c r="S40" s="3">
        <f t="shared" si="13"/>
        <v>312500</v>
      </c>
      <c r="T40" s="116"/>
      <c r="U40" s="3">
        <f t="shared" si="13"/>
        <v>312500</v>
      </c>
      <c r="V40" s="116"/>
      <c r="W40" s="3">
        <f t="shared" si="13"/>
        <v>312500</v>
      </c>
      <c r="X40" s="116"/>
      <c r="Y40" s="3"/>
      <c r="Z40" s="116"/>
      <c r="AA40" s="3"/>
      <c r="AB40" s="116"/>
      <c r="AC40" s="3"/>
      <c r="AD40" s="116"/>
      <c r="AE40" s="37">
        <f>SUM(G40:AC40)</f>
        <v>2812500</v>
      </c>
    </row>
    <row r="41" spans="1:31" s="36" customFormat="1" x14ac:dyDescent="0.25">
      <c r="A41" s="188" t="s">
        <v>106</v>
      </c>
      <c r="B41" s="188"/>
      <c r="C41" s="188"/>
      <c r="D41" s="188"/>
      <c r="E41" s="188"/>
      <c r="F41" s="39">
        <v>0.02</v>
      </c>
      <c r="G41" s="40">
        <f>G40*$F$41</f>
        <v>6250</v>
      </c>
      <c r="H41" s="116">
        <v>7011.99</v>
      </c>
      <c r="I41" s="40">
        <f t="shared" ref="I41:AC41" si="14">I40*$F$41</f>
        <v>6250</v>
      </c>
      <c r="J41" s="116">
        <v>7306.48</v>
      </c>
      <c r="K41" s="40">
        <f t="shared" si="14"/>
        <v>6250</v>
      </c>
      <c r="L41" s="116">
        <v>14634.11</v>
      </c>
      <c r="M41" s="40">
        <f t="shared" si="14"/>
        <v>6250</v>
      </c>
      <c r="N41" s="116">
        <v>14724.43</v>
      </c>
      <c r="O41" s="40">
        <f t="shared" si="14"/>
        <v>6250</v>
      </c>
      <c r="P41" s="116">
        <v>9282.1299999999992</v>
      </c>
      <c r="Q41" s="40">
        <f t="shared" si="14"/>
        <v>6250</v>
      </c>
      <c r="R41" s="116">
        <v>7445.72</v>
      </c>
      <c r="S41" s="40">
        <f t="shared" si="14"/>
        <v>6250</v>
      </c>
      <c r="T41" s="116">
        <v>7368.1</v>
      </c>
      <c r="U41" s="40">
        <f t="shared" si="14"/>
        <v>6250</v>
      </c>
      <c r="V41" s="116">
        <v>11888.91</v>
      </c>
      <c r="W41" s="40">
        <f t="shared" si="14"/>
        <v>6250</v>
      </c>
      <c r="X41" s="116">
        <v>25927.599999999999</v>
      </c>
      <c r="Y41" s="40">
        <f t="shared" si="14"/>
        <v>0</v>
      </c>
      <c r="Z41" s="116">
        <v>0</v>
      </c>
      <c r="AA41" s="40">
        <f t="shared" si="14"/>
        <v>0</v>
      </c>
      <c r="AB41" s="116">
        <v>0</v>
      </c>
      <c r="AC41" s="40">
        <f t="shared" si="14"/>
        <v>0</v>
      </c>
      <c r="AD41" s="116">
        <v>0</v>
      </c>
      <c r="AE41" s="41">
        <f>SUM(G41:AC41)</f>
        <v>161839.47000000003</v>
      </c>
    </row>
    <row r="42" spans="1:31" s="9" customFormat="1" x14ac:dyDescent="0.25"/>
    <row r="43" spans="1:31" ht="14" x14ac:dyDescent="0.25">
      <c r="A43" s="109" t="s">
        <v>136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9"/>
      <c r="Q43" s="9"/>
      <c r="S43" s="9"/>
      <c r="U43" s="9"/>
    </row>
    <row r="44" spans="1:31" x14ac:dyDescent="0.25">
      <c r="A44" s="10" t="s">
        <v>43</v>
      </c>
      <c r="B44" s="10" t="s">
        <v>44</v>
      </c>
      <c r="C44" s="10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20</v>
      </c>
      <c r="K44" s="10" t="s">
        <v>21</v>
      </c>
      <c r="L44" s="10" t="s">
        <v>22</v>
      </c>
      <c r="M44" s="10" t="s">
        <v>23</v>
      </c>
      <c r="N44" s="10" t="s">
        <v>45</v>
      </c>
      <c r="O44" s="9"/>
      <c r="Q44" s="9"/>
      <c r="S44" s="9"/>
      <c r="U44" s="9"/>
    </row>
    <row r="45" spans="1:31" x14ac:dyDescent="0.25">
      <c r="A45" s="12" t="s">
        <v>48</v>
      </c>
      <c r="B45" s="11">
        <f>G10</f>
        <v>12250.000000000002</v>
      </c>
      <c r="C45" s="11">
        <f>I10</f>
        <v>19600.000000000004</v>
      </c>
      <c r="D45" s="11">
        <f>K10</f>
        <v>23800.000000000004</v>
      </c>
      <c r="E45" s="11">
        <f>M10</f>
        <v>18480</v>
      </c>
      <c r="F45" s="11">
        <f>O10</f>
        <v>21560.000000000004</v>
      </c>
      <c r="G45" s="11">
        <f>Q10</f>
        <v>10850.000000000002</v>
      </c>
      <c r="H45" s="11">
        <f>S10</f>
        <v>1155</v>
      </c>
      <c r="I45" s="11">
        <f>U10</f>
        <v>6160.0000000000009</v>
      </c>
      <c r="J45" s="11">
        <f>W10</f>
        <v>16030.000000000002</v>
      </c>
      <c r="K45" s="11">
        <f>Y10</f>
        <v>52000</v>
      </c>
      <c r="L45" s="11">
        <f>AA10</f>
        <v>9500</v>
      </c>
      <c r="M45" s="11">
        <f>AC10</f>
        <v>0</v>
      </c>
      <c r="N45" s="11">
        <f>SUM(B45:M45)</f>
        <v>191385</v>
      </c>
      <c r="O45" s="9"/>
      <c r="Q45" s="9"/>
      <c r="S45" s="9"/>
      <c r="U45" s="9"/>
    </row>
    <row r="46" spans="1:31" x14ac:dyDescent="0.25">
      <c r="A46" s="2" t="s">
        <v>42</v>
      </c>
      <c r="B46" s="11">
        <f>G21</f>
        <v>2082.5</v>
      </c>
      <c r="C46" s="11">
        <f>I21</f>
        <v>4392.5</v>
      </c>
      <c r="D46" s="11">
        <f>K21</f>
        <v>6772.5000000000009</v>
      </c>
      <c r="E46" s="11">
        <f>M21</f>
        <v>6335.0000000000009</v>
      </c>
      <c r="F46" s="11">
        <f>O21</f>
        <v>3040.4150000000004</v>
      </c>
      <c r="G46" s="11">
        <f>Q21</f>
        <v>3040.4150000000004</v>
      </c>
      <c r="H46" s="11">
        <f>S21</f>
        <v>4138.6625000000004</v>
      </c>
      <c r="I46" s="11">
        <f>U21</f>
        <v>4024.9125000000004</v>
      </c>
      <c r="J46" s="11">
        <f>W21</f>
        <v>4668.3</v>
      </c>
      <c r="K46" s="11">
        <f>Y21</f>
        <v>803.25000000000011</v>
      </c>
      <c r="L46" s="11">
        <f>AA21</f>
        <v>0</v>
      </c>
      <c r="M46" s="11">
        <f>AC21</f>
        <v>0</v>
      </c>
      <c r="N46" s="11">
        <f>SUM(B46:M46)</f>
        <v>39298.455000000002</v>
      </c>
      <c r="P46" s="1"/>
    </row>
    <row r="47" spans="1:31" s="9" customFormat="1" x14ac:dyDescent="0.25">
      <c r="A47" s="28" t="s">
        <v>95</v>
      </c>
      <c r="B47" s="11">
        <f>G33</f>
        <v>279.99999999999994</v>
      </c>
      <c r="C47" s="11">
        <f>I33</f>
        <v>419.99999999999994</v>
      </c>
      <c r="D47" s="11">
        <f>K33</f>
        <v>699.99999999999989</v>
      </c>
      <c r="E47" s="11">
        <f>M33</f>
        <v>279.99999999999994</v>
      </c>
      <c r="F47" s="11">
        <f>O33</f>
        <v>1819.9999999999998</v>
      </c>
      <c r="G47" s="11">
        <f>Q33</f>
        <v>2239.9999999999995</v>
      </c>
      <c r="H47" s="11">
        <f>S33</f>
        <v>1749.9999999999998</v>
      </c>
      <c r="I47" s="11">
        <f>U33</f>
        <v>699.99999999999989</v>
      </c>
      <c r="J47" s="11">
        <f>W33</f>
        <v>1189.9999999999998</v>
      </c>
      <c r="K47" s="11">
        <f>Y33</f>
        <v>559.99999999999989</v>
      </c>
      <c r="L47" s="11">
        <f>AA33</f>
        <v>2239.9999999999995</v>
      </c>
      <c r="M47" s="11">
        <f>AC33</f>
        <v>1399.9999999999998</v>
      </c>
      <c r="N47" s="11">
        <f>SUM(B47:M47)</f>
        <v>13579.999999999998</v>
      </c>
    </row>
    <row r="48" spans="1:31" s="9" customFormat="1" x14ac:dyDescent="0.25">
      <c r="A48" s="34" t="s">
        <v>109</v>
      </c>
      <c r="B48" s="11">
        <f>G41</f>
        <v>6250</v>
      </c>
      <c r="C48" s="11">
        <f>I41</f>
        <v>6250</v>
      </c>
      <c r="D48" s="11">
        <f>K41</f>
        <v>6250</v>
      </c>
      <c r="E48" s="11">
        <f>M41</f>
        <v>6250</v>
      </c>
      <c r="F48" s="11">
        <f>O41</f>
        <v>6250</v>
      </c>
      <c r="G48" s="11">
        <f>Q41</f>
        <v>6250</v>
      </c>
      <c r="H48" s="11">
        <f>S41</f>
        <v>6250</v>
      </c>
      <c r="I48" s="11">
        <f>U41</f>
        <v>6250</v>
      </c>
      <c r="J48" s="11">
        <f>W41</f>
        <v>6250</v>
      </c>
      <c r="K48" s="11">
        <f>Y41</f>
        <v>0</v>
      </c>
      <c r="L48" s="11">
        <f>AA41</f>
        <v>0</v>
      </c>
      <c r="M48" s="11">
        <f>AC41</f>
        <v>0</v>
      </c>
      <c r="N48" s="11">
        <f>SUM(B48:M48)</f>
        <v>56250</v>
      </c>
    </row>
    <row r="49" spans="1:16" x14ac:dyDescent="0.25">
      <c r="A49" s="43" t="s">
        <v>127</v>
      </c>
      <c r="B49" s="11">
        <f>G27</f>
        <v>3000</v>
      </c>
      <c r="C49" s="11">
        <f>I27</f>
        <v>3000</v>
      </c>
      <c r="D49" s="11">
        <f>K27</f>
        <v>3000</v>
      </c>
      <c r="E49" s="11">
        <f>M27</f>
        <v>3000</v>
      </c>
      <c r="F49" s="11">
        <f>O27</f>
        <v>6000</v>
      </c>
      <c r="G49" s="11">
        <f>Q27</f>
        <v>4000</v>
      </c>
      <c r="H49" s="11">
        <f>S27</f>
        <v>4000</v>
      </c>
      <c r="I49" s="11">
        <f>U27</f>
        <v>5000</v>
      </c>
      <c r="J49" s="11">
        <f>W27</f>
        <v>6000</v>
      </c>
      <c r="K49" s="11">
        <f>Y27</f>
        <v>7000</v>
      </c>
      <c r="L49" s="11">
        <f>AA27</f>
        <v>8000</v>
      </c>
      <c r="M49" s="11">
        <f>AC27</f>
        <v>40000</v>
      </c>
      <c r="N49" s="11">
        <f>SUM(B49:M49)</f>
        <v>92000</v>
      </c>
      <c r="P49" s="1"/>
    </row>
    <row r="50" spans="1:16" x14ac:dyDescent="0.25">
      <c r="A50" s="2" t="s">
        <v>45</v>
      </c>
      <c r="B50" s="11">
        <f t="shared" ref="B50:N50" si="15">SUM(B45:B49)</f>
        <v>23862.5</v>
      </c>
      <c r="C50" s="11">
        <f t="shared" si="15"/>
        <v>33662.5</v>
      </c>
      <c r="D50" s="11">
        <f t="shared" si="15"/>
        <v>40522.5</v>
      </c>
      <c r="E50" s="11">
        <f t="shared" si="15"/>
        <v>34345</v>
      </c>
      <c r="F50" s="11">
        <f t="shared" si="15"/>
        <v>38670.415000000008</v>
      </c>
      <c r="G50" s="11">
        <f t="shared" si="15"/>
        <v>26380.415000000001</v>
      </c>
      <c r="H50" s="11">
        <f t="shared" si="15"/>
        <v>17293.662499999999</v>
      </c>
      <c r="I50" s="11">
        <f t="shared" si="15"/>
        <v>22134.912500000002</v>
      </c>
      <c r="J50" s="11">
        <f t="shared" si="15"/>
        <v>34138.300000000003</v>
      </c>
      <c r="K50" s="11">
        <f t="shared" si="15"/>
        <v>60363.25</v>
      </c>
      <c r="L50" s="11">
        <f t="shared" si="15"/>
        <v>19740</v>
      </c>
      <c r="M50" s="11">
        <f t="shared" si="15"/>
        <v>41400</v>
      </c>
      <c r="N50" s="11">
        <f t="shared" si="15"/>
        <v>392513.45500000002</v>
      </c>
      <c r="P50" s="1"/>
    </row>
    <row r="51" spans="1:16" x14ac:dyDescent="0.25">
      <c r="F51" s="9"/>
      <c r="H51" s="1"/>
      <c r="J51" s="1"/>
      <c r="L51" s="1"/>
      <c r="N51" s="1"/>
      <c r="P51" s="1"/>
    </row>
    <row r="52" spans="1:16" x14ac:dyDescent="0.25">
      <c r="F52" s="9"/>
      <c r="H52" s="1"/>
      <c r="J52" s="1"/>
      <c r="L52" s="1"/>
      <c r="N52" s="1"/>
      <c r="P52" s="1"/>
    </row>
    <row r="53" spans="1:16" x14ac:dyDescent="0.25">
      <c r="F53" s="9"/>
      <c r="P53" s="1"/>
    </row>
  </sheetData>
  <mergeCells count="29">
    <mergeCell ref="A41:E41"/>
    <mergeCell ref="A1:AE1"/>
    <mergeCell ref="A12:AE12"/>
    <mergeCell ref="A24:E24"/>
    <mergeCell ref="A23:AE23"/>
    <mergeCell ref="A27:F27"/>
    <mergeCell ref="A26:F26"/>
    <mergeCell ref="A8:F8"/>
    <mergeCell ref="A25:E25"/>
    <mergeCell ref="A9:F9"/>
    <mergeCell ref="A39:E39"/>
    <mergeCell ref="A40:E40"/>
    <mergeCell ref="C14:C16"/>
    <mergeCell ref="A36:E36"/>
    <mergeCell ref="A37:E37"/>
    <mergeCell ref="A33:F33"/>
    <mergeCell ref="A10:F10"/>
    <mergeCell ref="A38:E38"/>
    <mergeCell ref="A29:AE29"/>
    <mergeCell ref="A31:E31"/>
    <mergeCell ref="A20:F20"/>
    <mergeCell ref="A21:F21"/>
    <mergeCell ref="A35:AE35"/>
    <mergeCell ref="C17:C18"/>
    <mergeCell ref="A19:F19"/>
    <mergeCell ref="A30:E30"/>
    <mergeCell ref="A32:F32"/>
    <mergeCell ref="A14:B18"/>
    <mergeCell ref="D14:D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="85" zoomScaleNormal="85" workbookViewId="0">
      <selection activeCell="I16" sqref="I16:I17"/>
    </sheetView>
  </sheetViews>
  <sheetFormatPr defaultColWidth="9" defaultRowHeight="14" x14ac:dyDescent="0.25"/>
  <cols>
    <col min="1" max="1" width="9" style="8"/>
    <col min="2" max="19" width="7.81640625" style="8" customWidth="1"/>
    <col min="20" max="20" width="12.90625" style="8" bestFit="1" customWidth="1"/>
    <col min="21" max="21" width="10.453125" style="8" bestFit="1" customWidth="1"/>
    <col min="22" max="22" width="12.90625" style="8" bestFit="1" customWidth="1"/>
    <col min="23" max="16384" width="9" style="8"/>
  </cols>
  <sheetData>
    <row r="1" spans="1:22" ht="23" x14ac:dyDescent="0.25">
      <c r="A1" s="200" t="s">
        <v>141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</row>
    <row r="2" spans="1:22" x14ac:dyDescent="0.25">
      <c r="A2" s="66" t="s">
        <v>144</v>
      </c>
      <c r="B2" s="64">
        <v>1601</v>
      </c>
      <c r="C2" s="64">
        <v>1701</v>
      </c>
      <c r="D2" s="65" t="s">
        <v>142</v>
      </c>
      <c r="E2" s="64">
        <v>1602</v>
      </c>
      <c r="F2" s="64">
        <v>1702</v>
      </c>
      <c r="G2" s="65" t="s">
        <v>142</v>
      </c>
      <c r="H2" s="64">
        <v>1603</v>
      </c>
      <c r="I2" s="64">
        <v>1703</v>
      </c>
      <c r="J2" s="65" t="s">
        <v>142</v>
      </c>
      <c r="K2" s="64">
        <v>1604</v>
      </c>
      <c r="L2" s="64">
        <v>1704</v>
      </c>
      <c r="M2" s="65" t="s">
        <v>142</v>
      </c>
      <c r="N2" s="64">
        <v>1605</v>
      </c>
      <c r="O2" s="64">
        <v>1705</v>
      </c>
      <c r="P2" s="65" t="s">
        <v>142</v>
      </c>
      <c r="Q2" s="64">
        <v>1606</v>
      </c>
      <c r="R2" s="64">
        <v>1706</v>
      </c>
      <c r="S2" s="65" t="s">
        <v>142</v>
      </c>
    </row>
    <row r="3" spans="1:22" x14ac:dyDescent="0.25">
      <c r="A3" s="66" t="s">
        <v>137</v>
      </c>
      <c r="B3" s="64"/>
      <c r="C3" s="64">
        <v>43976</v>
      </c>
      <c r="D3" s="67">
        <f>B3-C3</f>
        <v>-43976</v>
      </c>
      <c r="E3" s="64">
        <v>12566</v>
      </c>
      <c r="F3" s="64">
        <v>86848</v>
      </c>
      <c r="G3" s="67">
        <f>E3-F3</f>
        <v>-74282</v>
      </c>
      <c r="H3" s="64">
        <v>40511</v>
      </c>
      <c r="I3" s="64">
        <v>107855</v>
      </c>
      <c r="J3" s="67">
        <f>H3-I3</f>
        <v>-67344</v>
      </c>
      <c r="K3" s="64">
        <v>72037</v>
      </c>
      <c r="L3" s="64"/>
      <c r="M3" s="67">
        <f>K3-L3</f>
        <v>72037</v>
      </c>
      <c r="N3" s="64">
        <v>25359</v>
      </c>
      <c r="O3" s="64"/>
      <c r="P3" s="67">
        <f>N3-O3</f>
        <v>25359</v>
      </c>
      <c r="Q3" s="64">
        <v>18486</v>
      </c>
      <c r="R3" s="64"/>
      <c r="S3" s="67">
        <f>Q3-R3</f>
        <v>18486</v>
      </c>
    </row>
    <row r="4" spans="1:22" x14ac:dyDescent="0.25">
      <c r="A4" s="66" t="s">
        <v>138</v>
      </c>
      <c r="B4" s="72"/>
      <c r="C4" s="72">
        <v>456023.5</v>
      </c>
      <c r="D4" s="73">
        <f>B4-C4</f>
        <v>-456023.5</v>
      </c>
      <c r="E4" s="72">
        <v>143176.5</v>
      </c>
      <c r="F4" s="72">
        <v>874948</v>
      </c>
      <c r="G4" s="73">
        <f>E4-F4</f>
        <v>-731771.5</v>
      </c>
      <c r="H4" s="72">
        <v>441029</v>
      </c>
      <c r="I4" s="72">
        <v>1037204</v>
      </c>
      <c r="J4" s="73">
        <f>H4-I4</f>
        <v>-596175</v>
      </c>
      <c r="K4" s="72">
        <v>731823.5</v>
      </c>
      <c r="L4" s="72"/>
      <c r="M4" s="73">
        <f>K4-L4</f>
        <v>731823.5</v>
      </c>
      <c r="N4" s="72">
        <v>301290.5</v>
      </c>
      <c r="O4" s="72"/>
      <c r="P4" s="73">
        <f>N4-O4</f>
        <v>301290.5</v>
      </c>
      <c r="Q4" s="72">
        <v>180704.75</v>
      </c>
      <c r="R4" s="72"/>
      <c r="S4" s="73">
        <f>Q4-R4</f>
        <v>180704.75</v>
      </c>
    </row>
    <row r="5" spans="1:22" x14ac:dyDescent="0.25">
      <c r="A5" s="66" t="s">
        <v>140</v>
      </c>
      <c r="B5" s="72" t="str">
        <f>IF(B3="","",B4/B3)</f>
        <v/>
      </c>
      <c r="C5" s="72">
        <f>IF(C3="","",C4/C3)</f>
        <v>10.369826723667455</v>
      </c>
      <c r="D5" s="73" t="str">
        <f>IF(ISERROR(B5-C5),"",VALUE((B5-C5)))</f>
        <v/>
      </c>
      <c r="E5" s="72">
        <f>IF(E3="","",E4/E3)</f>
        <v>11.393959891771447</v>
      </c>
      <c r="F5" s="72">
        <f>IF(F3="","",F4/F3)</f>
        <v>10.074474944731024</v>
      </c>
      <c r="G5" s="73">
        <f>IF(ISERROR(E5-F5),"",VALUE((E5-F5)))</f>
        <v>1.3194849470404222</v>
      </c>
      <c r="H5" s="72">
        <f>IF(H3="","",H4/H3)</f>
        <v>10.886648070894324</v>
      </c>
      <c r="I5" s="72">
        <f>IF(I3="","",I4/I3)</f>
        <v>9.6166519864633067</v>
      </c>
      <c r="J5" s="73">
        <f>IF(ISERROR(H5-I5),"",VALUE((H5-I5)))</f>
        <v>1.2699960844310176</v>
      </c>
      <c r="K5" s="72">
        <f>IF(K3="","",K4/K3)</f>
        <v>10.158994683287755</v>
      </c>
      <c r="L5" s="72" t="str">
        <f>IF(L3="","",L4/L3)</f>
        <v/>
      </c>
      <c r="M5" s="73" t="str">
        <f>IF(ISERROR(K5-L5),"",VALUE((K5-L5)))</f>
        <v/>
      </c>
      <c r="N5" s="72">
        <f>IF(N3="","",N4/N3)</f>
        <v>11.881008714854687</v>
      </c>
      <c r="O5" s="72" t="str">
        <f>IF(O3="","",O4/O3)</f>
        <v/>
      </c>
      <c r="P5" s="73" t="str">
        <f>IF(ISERROR(N5-O5),"",VALUE((N5-O5)))</f>
        <v/>
      </c>
      <c r="Q5" s="72">
        <f>IF(Q3="","",Q4/Q3)</f>
        <v>9.7752217894622966</v>
      </c>
      <c r="R5" s="72" t="str">
        <f>IF(R3="","",R4/R3)</f>
        <v/>
      </c>
      <c r="S5" s="73" t="str">
        <f>IF(ISERROR(Q5-R5),"",VALUE((Q5-R5)))</f>
        <v/>
      </c>
    </row>
    <row r="6" spans="1:22" x14ac:dyDescent="0.25">
      <c r="A6" s="66" t="s">
        <v>139</v>
      </c>
      <c r="B6" s="72">
        <f>B4*4%</f>
        <v>0</v>
      </c>
      <c r="C6" s="72">
        <f>C4*3.5%</f>
        <v>15960.822500000002</v>
      </c>
      <c r="D6" s="73">
        <f>B6-C6</f>
        <v>-15960.822500000002</v>
      </c>
      <c r="E6" s="72">
        <f>E4*4%</f>
        <v>5727.06</v>
      </c>
      <c r="F6" s="72">
        <f>F4*3.5%</f>
        <v>30623.180000000004</v>
      </c>
      <c r="G6" s="73">
        <f>E6-F6</f>
        <v>-24896.120000000003</v>
      </c>
      <c r="H6" s="72">
        <f>H4*4%</f>
        <v>17641.16</v>
      </c>
      <c r="I6" s="72">
        <f>I4*3.5%</f>
        <v>36302.140000000007</v>
      </c>
      <c r="J6" s="73">
        <f>H6-I6</f>
        <v>-18660.980000000007</v>
      </c>
      <c r="K6" s="72">
        <f>K4*4%</f>
        <v>29272.940000000002</v>
      </c>
      <c r="L6" s="72">
        <f>L4*3.5%</f>
        <v>0</v>
      </c>
      <c r="M6" s="73">
        <f>K6-L6</f>
        <v>29272.940000000002</v>
      </c>
      <c r="N6" s="72">
        <f>N4*4%</f>
        <v>12051.62</v>
      </c>
      <c r="O6" s="72">
        <f>O4*3.5%</f>
        <v>0</v>
      </c>
      <c r="P6" s="73">
        <f>N6-O6</f>
        <v>12051.62</v>
      </c>
      <c r="Q6" s="72">
        <f>Q4*4%</f>
        <v>7228.1900000000005</v>
      </c>
      <c r="R6" s="72">
        <f>R4*3.5%</f>
        <v>0</v>
      </c>
      <c r="S6" s="73">
        <f>Q6-R6</f>
        <v>7228.1900000000005</v>
      </c>
    </row>
    <row r="8" spans="1:22" x14ac:dyDescent="0.25">
      <c r="A8" s="66" t="s">
        <v>144</v>
      </c>
      <c r="B8" s="64">
        <v>1607</v>
      </c>
      <c r="C8" s="64">
        <v>1707</v>
      </c>
      <c r="D8" s="65" t="s">
        <v>142</v>
      </c>
      <c r="E8" s="64">
        <v>1608</v>
      </c>
      <c r="F8" s="64">
        <v>1708</v>
      </c>
      <c r="G8" s="65" t="s">
        <v>142</v>
      </c>
      <c r="H8" s="64">
        <v>1609</v>
      </c>
      <c r="I8" s="64">
        <v>1709</v>
      </c>
      <c r="J8" s="65" t="s">
        <v>142</v>
      </c>
      <c r="K8" s="64">
        <v>1610</v>
      </c>
      <c r="L8" s="64">
        <v>1710</v>
      </c>
      <c r="M8" s="65" t="s">
        <v>142</v>
      </c>
      <c r="N8" s="64">
        <v>1611</v>
      </c>
      <c r="O8" s="64">
        <v>1711</v>
      </c>
      <c r="P8" s="65" t="s">
        <v>142</v>
      </c>
      <c r="Q8" s="64">
        <v>1612</v>
      </c>
      <c r="R8" s="64">
        <v>1712</v>
      </c>
      <c r="S8" s="65" t="s">
        <v>142</v>
      </c>
      <c r="T8" s="68" t="s">
        <v>145</v>
      </c>
      <c r="U8" s="68" t="s">
        <v>146</v>
      </c>
      <c r="V8" s="68" t="s">
        <v>142</v>
      </c>
    </row>
    <row r="9" spans="1:22" x14ac:dyDescent="0.25">
      <c r="A9" s="66" t="s">
        <v>137</v>
      </c>
      <c r="B9" s="69">
        <v>7151</v>
      </c>
      <c r="C9" s="69"/>
      <c r="D9" s="70">
        <f>B9-C9</f>
        <v>7151</v>
      </c>
      <c r="E9" s="69">
        <v>20300</v>
      </c>
      <c r="F9" s="69"/>
      <c r="G9" s="70">
        <f>E9-F9</f>
        <v>20300</v>
      </c>
      <c r="H9" s="69">
        <v>46640</v>
      </c>
      <c r="I9" s="69"/>
      <c r="J9" s="70">
        <f>H9-I9</f>
        <v>46640</v>
      </c>
      <c r="K9" s="69">
        <v>41618</v>
      </c>
      <c r="L9" s="69"/>
      <c r="M9" s="70">
        <f>K9-L9</f>
        <v>41618</v>
      </c>
      <c r="N9" s="69">
        <v>28067</v>
      </c>
      <c r="O9" s="69"/>
      <c r="P9" s="70">
        <f>N9-O9</f>
        <v>28067</v>
      </c>
      <c r="Q9" s="69">
        <v>41544</v>
      </c>
      <c r="R9" s="69"/>
      <c r="S9" s="70">
        <f>Q9-R9</f>
        <v>41544</v>
      </c>
      <c r="T9" s="71">
        <f>SUM(B3,E3,H3,K3,N3,Q3,B9,E9,H9,K9,N9,Q9)</f>
        <v>354279</v>
      </c>
      <c r="U9" s="71">
        <f>SUM(C3,F3,I3,L3,O3,R3,C9,F9,I9,L9,O9,R9)</f>
        <v>238679</v>
      </c>
      <c r="V9" s="71">
        <f>T9-U9</f>
        <v>115600</v>
      </c>
    </row>
    <row r="10" spans="1:22" x14ac:dyDescent="0.25">
      <c r="A10" s="66" t="s">
        <v>138</v>
      </c>
      <c r="B10" s="69">
        <v>57769.100000000006</v>
      </c>
      <c r="C10" s="69"/>
      <c r="D10" s="70">
        <f>B10-C10</f>
        <v>57769.100000000006</v>
      </c>
      <c r="E10" s="69">
        <v>219392.5</v>
      </c>
      <c r="F10" s="69"/>
      <c r="G10" s="70">
        <f>E10-F10</f>
        <v>219392.5</v>
      </c>
      <c r="H10" s="69">
        <v>468941.5</v>
      </c>
      <c r="I10" s="69"/>
      <c r="J10" s="70">
        <f>H10-I10</f>
        <v>468941.5</v>
      </c>
      <c r="K10" s="69">
        <v>377224.5</v>
      </c>
      <c r="L10" s="69"/>
      <c r="M10" s="70">
        <f>K10-L10</f>
        <v>377224.5</v>
      </c>
      <c r="N10" s="69">
        <v>279499</v>
      </c>
      <c r="O10" s="69"/>
      <c r="P10" s="70">
        <f>N10-O10</f>
        <v>279499</v>
      </c>
      <c r="Q10" s="69">
        <v>433752.5</v>
      </c>
      <c r="R10" s="69"/>
      <c r="S10" s="70">
        <f>Q10-R10</f>
        <v>433752.5</v>
      </c>
      <c r="T10" s="71">
        <f>SUM(B4,E4,H4,K4,N4,Q4,B10,E10,H10,K10,N10,Q10)</f>
        <v>3634603.35</v>
      </c>
      <c r="U10" s="71">
        <f>SUM(C4,F4,I4,L4,O4,R4,C10,F10,I10,L10,O10,R10)</f>
        <v>2368175.5</v>
      </c>
      <c r="V10" s="71">
        <f>T10-U10</f>
        <v>1266427.8500000001</v>
      </c>
    </row>
    <row r="11" spans="1:22" x14ac:dyDescent="0.25">
      <c r="A11" s="66" t="s">
        <v>140</v>
      </c>
      <c r="B11" s="69">
        <f>IF(B9="","",B10/B9)</f>
        <v>8.0784645504125301</v>
      </c>
      <c r="C11" s="69" t="str">
        <f>IF(C9="","",C10/C9)</f>
        <v/>
      </c>
      <c r="D11" s="74" t="str">
        <f>IF(ISERROR(B11-C11),"",VALUE((B11-C11)))</f>
        <v/>
      </c>
      <c r="E11" s="69">
        <f>IF(E9="","",E10/E9)</f>
        <v>10.807512315270936</v>
      </c>
      <c r="F11" s="69" t="str">
        <f>IF(F9="","",F10/F9)</f>
        <v/>
      </c>
      <c r="G11" s="74" t="str">
        <f>IF(ISERROR(E11-F11),"",VALUE((E11-F11)))</f>
        <v/>
      </c>
      <c r="H11" s="69">
        <f>IF(H9="","",H10/H9)</f>
        <v>10.054491852487136</v>
      </c>
      <c r="I11" s="69" t="str">
        <f>IF(I9="","",I10/I9)</f>
        <v/>
      </c>
      <c r="J11" s="74" t="str">
        <f>IF(ISERROR(H11-I11),"",VALUE((H11-I11)))</f>
        <v/>
      </c>
      <c r="K11" s="69">
        <f>IF(K9="","",K10/K9)</f>
        <v>9.0639747224758516</v>
      </c>
      <c r="L11" s="69" t="str">
        <f>IF(L9="","",L10/L9)</f>
        <v/>
      </c>
      <c r="M11" s="74" t="str">
        <f>IF(ISERROR(K11-L11),"",VALUE((K11-L11)))</f>
        <v/>
      </c>
      <c r="N11" s="69">
        <f>IF(N9="","",N10/N9)</f>
        <v>9.9582784052445934</v>
      </c>
      <c r="O11" s="69" t="str">
        <f>IF(O9="","",O10/O9)</f>
        <v/>
      </c>
      <c r="P11" s="74" t="str">
        <f>IF(ISERROR(N11-O11),"",VALUE((N11-O11)))</f>
        <v/>
      </c>
      <c r="Q11" s="69">
        <f>IF(Q9="","",Q10/Q9)</f>
        <v>10.440797708453688</v>
      </c>
      <c r="R11" s="69" t="str">
        <f>IF(R9="","",R10/R9)</f>
        <v/>
      </c>
      <c r="S11" s="74" t="str">
        <f>IF(ISERROR(Q11-R11),"",VALUE((Q11-R11)))</f>
        <v/>
      </c>
      <c r="T11" s="71">
        <f>T10/T9</f>
        <v>10.259155496092063</v>
      </c>
      <c r="U11" s="71">
        <f>U10/U9</f>
        <v>9.9220103151094143</v>
      </c>
      <c r="V11" s="71">
        <f>T11-U11</f>
        <v>0.3371451809826489</v>
      </c>
    </row>
    <row r="12" spans="1:22" x14ac:dyDescent="0.25">
      <c r="A12" s="66" t="s">
        <v>139</v>
      </c>
      <c r="B12" s="69">
        <f>B10*4%</f>
        <v>2310.7640000000001</v>
      </c>
      <c r="C12" s="69">
        <f>C10*3.5%</f>
        <v>0</v>
      </c>
      <c r="D12" s="70">
        <f>B12-C12</f>
        <v>2310.7640000000001</v>
      </c>
      <c r="E12" s="69">
        <f>E10*3.5%</f>
        <v>7678.7375000000011</v>
      </c>
      <c r="F12" s="69">
        <f>F10*3.5%</f>
        <v>0</v>
      </c>
      <c r="G12" s="70">
        <f>E12-F12</f>
        <v>7678.7375000000011</v>
      </c>
      <c r="H12" s="69">
        <f>H10*3.5%</f>
        <v>16412.952500000003</v>
      </c>
      <c r="I12" s="69">
        <f>I10*3.5%</f>
        <v>0</v>
      </c>
      <c r="J12" s="70">
        <f>H12-I12</f>
        <v>16412.952500000003</v>
      </c>
      <c r="K12" s="69">
        <f>K10*3.5%</f>
        <v>13202.857500000002</v>
      </c>
      <c r="L12" s="69">
        <f>L10*3.5%</f>
        <v>0</v>
      </c>
      <c r="M12" s="70">
        <f>K12-L12</f>
        <v>13202.857500000002</v>
      </c>
      <c r="N12" s="69">
        <f>N10*3.5%</f>
        <v>9782.4650000000001</v>
      </c>
      <c r="O12" s="69">
        <f>O10*3.5%</f>
        <v>0</v>
      </c>
      <c r="P12" s="70">
        <f>N12-O12</f>
        <v>9782.4650000000001</v>
      </c>
      <c r="Q12" s="69">
        <f>Q10*3.5%</f>
        <v>15181.337500000001</v>
      </c>
      <c r="R12" s="69">
        <f>R10*3.5%</f>
        <v>0</v>
      </c>
      <c r="S12" s="70">
        <f>Q12-R12</f>
        <v>15181.337500000001</v>
      </c>
      <c r="T12" s="71">
        <f>SUM(B6,E6,H6,K6,N6,Q6,B12,E12,H12,K12,N12,Q12)</f>
        <v>136490.084</v>
      </c>
      <c r="U12" s="71">
        <f>SUM(C6,F6,I6,L6,O6,R6,C12,F12,I12,L12,O12,R12)</f>
        <v>82886.142500000016</v>
      </c>
      <c r="V12" s="71">
        <f>T12-U12</f>
        <v>53603.941499999986</v>
      </c>
    </row>
    <row r="14" spans="1:22" ht="23" x14ac:dyDescent="0.25">
      <c r="A14" s="200" t="s">
        <v>143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</row>
    <row r="15" spans="1:22" x14ac:dyDescent="0.25">
      <c r="A15" s="66" t="s">
        <v>144</v>
      </c>
      <c r="B15" s="64">
        <v>1601</v>
      </c>
      <c r="C15" s="64">
        <v>1701</v>
      </c>
      <c r="D15" s="65" t="s">
        <v>142</v>
      </c>
      <c r="E15" s="64">
        <v>1602</v>
      </c>
      <c r="F15" s="64">
        <v>1702</v>
      </c>
      <c r="G15" s="65" t="s">
        <v>142</v>
      </c>
      <c r="H15" s="64">
        <v>1603</v>
      </c>
      <c r="I15" s="64">
        <v>1703</v>
      </c>
      <c r="J15" s="65" t="s">
        <v>142</v>
      </c>
      <c r="K15" s="64">
        <v>1604</v>
      </c>
      <c r="L15" s="64">
        <v>1704</v>
      </c>
      <c r="M15" s="65" t="s">
        <v>142</v>
      </c>
      <c r="N15" s="64">
        <v>1605</v>
      </c>
      <c r="O15" s="64">
        <v>1705</v>
      </c>
      <c r="P15" s="65" t="s">
        <v>142</v>
      </c>
      <c r="Q15" s="64">
        <v>1606</v>
      </c>
      <c r="R15" s="64">
        <v>1706</v>
      </c>
      <c r="S15" s="65" t="s">
        <v>142</v>
      </c>
    </row>
    <row r="16" spans="1:22" x14ac:dyDescent="0.25">
      <c r="A16" s="66" t="s">
        <v>137</v>
      </c>
      <c r="B16" s="64">
        <v>15044</v>
      </c>
      <c r="C16" s="64">
        <v>5715</v>
      </c>
      <c r="D16" s="67">
        <f>B16-C16</f>
        <v>9329</v>
      </c>
      <c r="E16" s="64">
        <v>89</v>
      </c>
      <c r="F16" s="64">
        <v>7883</v>
      </c>
      <c r="G16" s="67">
        <f>E16-F16</f>
        <v>-7794</v>
      </c>
      <c r="H16" s="64">
        <v>8309</v>
      </c>
      <c r="I16" s="64">
        <v>31600</v>
      </c>
      <c r="J16" s="67">
        <f>H16-I16</f>
        <v>-23291</v>
      </c>
      <c r="K16" s="64">
        <v>13664</v>
      </c>
      <c r="L16" s="64"/>
      <c r="M16" s="67">
        <f>K16-L16</f>
        <v>13664</v>
      </c>
      <c r="N16" s="64">
        <v>21370</v>
      </c>
      <c r="O16" s="64"/>
      <c r="P16" s="67">
        <f>N16-O16</f>
        <v>21370</v>
      </c>
      <c r="Q16" s="64">
        <v>16419</v>
      </c>
      <c r="R16" s="64"/>
      <c r="S16" s="67">
        <f>Q16-R16</f>
        <v>16419</v>
      </c>
    </row>
    <row r="17" spans="1:22" x14ac:dyDescent="0.25">
      <c r="A17" s="66" t="s">
        <v>138</v>
      </c>
      <c r="B17" s="72">
        <v>178291.5</v>
      </c>
      <c r="C17" s="72">
        <v>43614.5</v>
      </c>
      <c r="D17" s="73">
        <f>B17-C17</f>
        <v>134677</v>
      </c>
      <c r="E17" s="72">
        <v>923</v>
      </c>
      <c r="F17" s="72">
        <v>67056.5</v>
      </c>
      <c r="G17" s="73">
        <f>E17-F17</f>
        <v>-66133.5</v>
      </c>
      <c r="H17" s="72">
        <v>99410</v>
      </c>
      <c r="I17" s="72">
        <v>206047</v>
      </c>
      <c r="J17" s="73">
        <f>H17-I17</f>
        <v>-106637</v>
      </c>
      <c r="K17" s="72">
        <v>138017</v>
      </c>
      <c r="L17" s="72"/>
      <c r="M17" s="73">
        <f>K17-L17</f>
        <v>138017</v>
      </c>
      <c r="N17" s="72">
        <v>213481.3</v>
      </c>
      <c r="O17" s="72"/>
      <c r="P17" s="73">
        <f>N17-O17</f>
        <v>213481.3</v>
      </c>
      <c r="Q17" s="72">
        <v>161348.6</v>
      </c>
      <c r="R17" s="72"/>
      <c r="S17" s="73">
        <f>Q17-R17</f>
        <v>161348.6</v>
      </c>
    </row>
    <row r="18" spans="1:22" x14ac:dyDescent="0.25">
      <c r="A18" s="66" t="s">
        <v>140</v>
      </c>
      <c r="B18" s="72">
        <f>IF(B16="","",B17/B16)</f>
        <v>11.851336080829567</v>
      </c>
      <c r="C18" s="72">
        <f>IF(C16="","",C17/C16)</f>
        <v>7.6315835520559929</v>
      </c>
      <c r="D18" s="73">
        <f>IF(ISERROR(B18-C18),"",VALUE((B18-C18)))</f>
        <v>4.219752528773574</v>
      </c>
      <c r="E18" s="72">
        <f>IF(E16="","",E17/E16)</f>
        <v>10.370786516853933</v>
      </c>
      <c r="F18" s="72">
        <f>IF(F16="","",F17/F16)</f>
        <v>8.5064696181656725</v>
      </c>
      <c r="G18" s="73">
        <f>IF(ISERROR(E18-F18),"",VALUE((E18-F18)))</f>
        <v>1.8643168986882603</v>
      </c>
      <c r="H18" s="72">
        <f>IF(H16="","",H17/H16)</f>
        <v>11.964135275003009</v>
      </c>
      <c r="I18" s="72">
        <f>IF(I16="","",I17/I16)</f>
        <v>6.5204746835443039</v>
      </c>
      <c r="J18" s="73">
        <f>IF(ISERROR(H18-I18),"",VALUE((H18-I18)))</f>
        <v>5.4436605914587055</v>
      </c>
      <c r="K18" s="72">
        <f>IF(K16="","",K17/K16)</f>
        <v>10.100775761124122</v>
      </c>
      <c r="L18" s="72" t="str">
        <f>IF(L16="","",L17/L16)</f>
        <v/>
      </c>
      <c r="M18" s="73" t="str">
        <f>IF(ISERROR(K18-L18),"",VALUE((K18-L18)))</f>
        <v/>
      </c>
      <c r="N18" s="72">
        <f>IF(N16="","",N17/N16)</f>
        <v>9.9897660271408508</v>
      </c>
      <c r="O18" s="72" t="str">
        <f>IF(O16="","",O17/O16)</f>
        <v/>
      </c>
      <c r="P18" s="73" t="str">
        <f>IF(ISERROR(N18-O18),"",VALUE((N18-O18)))</f>
        <v/>
      </c>
      <c r="Q18" s="72">
        <f>IF(Q16="","",Q17/Q16)</f>
        <v>9.826944393690237</v>
      </c>
      <c r="R18" s="72" t="str">
        <f>IF(R16="","",R17/R16)</f>
        <v/>
      </c>
      <c r="S18" s="73" t="str">
        <f>IF(ISERROR(Q18-R18),"",VALUE((Q18-R18)))</f>
        <v/>
      </c>
    </row>
    <row r="19" spans="1:22" x14ac:dyDescent="0.25">
      <c r="A19" s="66" t="s">
        <v>139</v>
      </c>
      <c r="B19" s="72">
        <f>B17*4%</f>
        <v>7131.66</v>
      </c>
      <c r="C19" s="72">
        <f>C17*3.5%</f>
        <v>1526.5075000000002</v>
      </c>
      <c r="D19" s="73">
        <f>B19-C19</f>
        <v>5605.1525000000001</v>
      </c>
      <c r="E19" s="72">
        <f>E17*4%</f>
        <v>36.92</v>
      </c>
      <c r="F19" s="72">
        <f>F17*3.5%</f>
        <v>2346.9775000000004</v>
      </c>
      <c r="G19" s="73">
        <f>E19-F19</f>
        <v>-2310.0575000000003</v>
      </c>
      <c r="H19" s="72">
        <f>H17*4%</f>
        <v>3976.4</v>
      </c>
      <c r="I19" s="72">
        <f>I17*3.5%</f>
        <v>7211.6450000000004</v>
      </c>
      <c r="J19" s="73">
        <f>H19-I19</f>
        <v>-3235.2450000000003</v>
      </c>
      <c r="K19" s="72">
        <f>K17*4%</f>
        <v>5520.68</v>
      </c>
      <c r="L19" s="72">
        <f>L17*3.5%</f>
        <v>0</v>
      </c>
      <c r="M19" s="73">
        <f>K19-L19</f>
        <v>5520.68</v>
      </c>
      <c r="N19" s="72">
        <f>N17*4%</f>
        <v>8539.2520000000004</v>
      </c>
      <c r="O19" s="72">
        <f>O17*3.5%</f>
        <v>0</v>
      </c>
      <c r="P19" s="73">
        <f>N19-O19</f>
        <v>8539.2520000000004</v>
      </c>
      <c r="Q19" s="72">
        <f>Q17*4%</f>
        <v>6453.9440000000004</v>
      </c>
      <c r="R19" s="72">
        <f>R17*3.5%</f>
        <v>0</v>
      </c>
      <c r="S19" s="73">
        <f>Q19-R19</f>
        <v>6453.9440000000004</v>
      </c>
    </row>
    <row r="21" spans="1:22" x14ac:dyDescent="0.25">
      <c r="A21" s="66" t="s">
        <v>144</v>
      </c>
      <c r="B21" s="64">
        <v>1607</v>
      </c>
      <c r="C21" s="64">
        <v>1707</v>
      </c>
      <c r="D21" s="65" t="s">
        <v>142</v>
      </c>
      <c r="E21" s="64">
        <v>1608</v>
      </c>
      <c r="F21" s="64">
        <v>1708</v>
      </c>
      <c r="G21" s="65" t="s">
        <v>142</v>
      </c>
      <c r="H21" s="64">
        <v>1609</v>
      </c>
      <c r="I21" s="64">
        <v>1709</v>
      </c>
      <c r="J21" s="65" t="s">
        <v>142</v>
      </c>
      <c r="K21" s="64">
        <v>1610</v>
      </c>
      <c r="L21" s="64">
        <v>1710</v>
      </c>
      <c r="M21" s="65" t="s">
        <v>142</v>
      </c>
      <c r="N21" s="64">
        <v>1611</v>
      </c>
      <c r="O21" s="64">
        <v>1711</v>
      </c>
      <c r="P21" s="65" t="s">
        <v>142</v>
      </c>
      <c r="Q21" s="64">
        <v>1612</v>
      </c>
      <c r="R21" s="64">
        <v>1712</v>
      </c>
      <c r="S21" s="65" t="s">
        <v>142</v>
      </c>
      <c r="T21" s="68" t="s">
        <v>145</v>
      </c>
      <c r="U21" s="68" t="s">
        <v>146</v>
      </c>
      <c r="V21" s="68" t="s">
        <v>142</v>
      </c>
    </row>
    <row r="22" spans="1:22" x14ac:dyDescent="0.25">
      <c r="A22" s="66" t="s">
        <v>137</v>
      </c>
      <c r="B22" s="64">
        <v>29395</v>
      </c>
      <c r="C22" s="64"/>
      <c r="D22" s="70">
        <f>B22-C22</f>
        <v>29395</v>
      </c>
      <c r="E22" s="64">
        <v>28953</v>
      </c>
      <c r="F22" s="64"/>
      <c r="G22" s="70">
        <f>E22-F22</f>
        <v>28953</v>
      </c>
      <c r="H22" s="64">
        <v>19332</v>
      </c>
      <c r="I22" s="64"/>
      <c r="J22" s="70">
        <f>H22-I22</f>
        <v>19332</v>
      </c>
      <c r="K22" s="64">
        <v>30224</v>
      </c>
      <c r="L22" s="64"/>
      <c r="M22" s="70">
        <f>K22-L22</f>
        <v>30224</v>
      </c>
      <c r="N22" s="64">
        <v>26265</v>
      </c>
      <c r="O22" s="64"/>
      <c r="P22" s="70">
        <f>N22-O22</f>
        <v>26265</v>
      </c>
      <c r="Q22" s="64">
        <v>15488</v>
      </c>
      <c r="R22" s="64"/>
      <c r="S22" s="70">
        <f>Q22-R22</f>
        <v>15488</v>
      </c>
      <c r="T22" s="71">
        <f>SUM(B16,E16,H16,K16,N16,Q16,B22,E22,H22,K22,N22,Q22)</f>
        <v>224552</v>
      </c>
      <c r="U22" s="71">
        <f>SUM(C16,F16,I16,L16,O16,R16,C22,F22,I22,L22,O22,R22)</f>
        <v>45198</v>
      </c>
      <c r="V22" s="71">
        <f>T22-U22</f>
        <v>179354</v>
      </c>
    </row>
    <row r="23" spans="1:22" x14ac:dyDescent="0.25">
      <c r="A23" s="66" t="s">
        <v>138</v>
      </c>
      <c r="B23" s="72">
        <v>272190.5</v>
      </c>
      <c r="C23" s="72"/>
      <c r="D23" s="70">
        <f>B23-C23</f>
        <v>272190.5</v>
      </c>
      <c r="E23" s="72">
        <v>281557.8</v>
      </c>
      <c r="F23" s="72"/>
      <c r="G23" s="70">
        <f>E23-F23</f>
        <v>281557.8</v>
      </c>
      <c r="H23" s="72">
        <v>209550.5</v>
      </c>
      <c r="I23" s="72"/>
      <c r="J23" s="70">
        <f>H23-I23</f>
        <v>209550.5</v>
      </c>
      <c r="K23" s="72">
        <v>341306.5</v>
      </c>
      <c r="L23" s="72"/>
      <c r="M23" s="70">
        <f>K23-L23</f>
        <v>341306.5</v>
      </c>
      <c r="N23" s="72">
        <v>281849.5</v>
      </c>
      <c r="O23" s="72"/>
      <c r="P23" s="70">
        <f>N23-O23</f>
        <v>281849.5</v>
      </c>
      <c r="Q23" s="72">
        <v>139635</v>
      </c>
      <c r="R23" s="72"/>
      <c r="S23" s="70">
        <f>Q23-R23</f>
        <v>139635</v>
      </c>
      <c r="T23" s="71">
        <f>SUM(B17,E17,H17,K17,N17,Q17,B23,E23,H23,K23,N23,Q23)</f>
        <v>2317561.2000000002</v>
      </c>
      <c r="U23" s="71">
        <f>SUM(C17,F17,I17,L17,O17,R17,C23,F23,I23,L23,O23,R23)</f>
        <v>316718</v>
      </c>
      <c r="V23" s="71">
        <f>T23-U23</f>
        <v>2000843.2000000002</v>
      </c>
    </row>
    <row r="24" spans="1:22" x14ac:dyDescent="0.25">
      <c r="A24" s="66" t="s">
        <v>140</v>
      </c>
      <c r="B24" s="69">
        <f>IF(B22="","",B23/B22)</f>
        <v>9.2597550603844194</v>
      </c>
      <c r="C24" s="69" t="str">
        <f>IF(C22="","",C23/C22)</f>
        <v/>
      </c>
      <c r="D24" s="70" t="str">
        <f>IF(ISERROR(B24-C24),"",VALUE((B24-C24)))</f>
        <v/>
      </c>
      <c r="E24" s="69">
        <f>IF(E22="","",E23/E22)</f>
        <v>9.7246502953061853</v>
      </c>
      <c r="F24" s="69" t="str">
        <f>IF(F22="","",F23/F22)</f>
        <v/>
      </c>
      <c r="G24" s="70" t="str">
        <f>IF(ISERROR(E24-F24),"",VALUE((E24-F24)))</f>
        <v/>
      </c>
      <c r="H24" s="69">
        <f>IF(H22="","",H23/H22)</f>
        <v>10.839566521829092</v>
      </c>
      <c r="I24" s="69" t="str">
        <f>IF(I22="","",I23/I22)</f>
        <v/>
      </c>
      <c r="J24" s="70" t="str">
        <f>IF(ISERROR(H24-I24),"",VALUE((H24-I24)))</f>
        <v/>
      </c>
      <c r="K24" s="69">
        <f>IF(K22="","",K23/K22)</f>
        <v>11.292565510852302</v>
      </c>
      <c r="L24" s="69" t="str">
        <f>IF(L22="","",L23/L22)</f>
        <v/>
      </c>
      <c r="M24" s="70" t="str">
        <f>IF(ISERROR(K24-L24),"",VALUE((K24-L24)))</f>
        <v/>
      </c>
      <c r="N24" s="69">
        <f>IF(N22="","",N23/N22)</f>
        <v>10.730991814201408</v>
      </c>
      <c r="O24" s="69" t="str">
        <f>IF(O22="","",O23/O22)</f>
        <v/>
      </c>
      <c r="P24" s="70" t="str">
        <f>IF(ISERROR(N24-O24),"",VALUE((N24-O24)))</f>
        <v/>
      </c>
      <c r="Q24" s="69">
        <f>IF(Q22="","",Q23/Q22)</f>
        <v>9.0156895661157019</v>
      </c>
      <c r="R24" s="69" t="str">
        <f>IF(R22="","",R23/R22)</f>
        <v/>
      </c>
      <c r="S24" s="70" t="str">
        <f>IF(ISERROR(Q24-R24),"",VALUE((Q24-R24)))</f>
        <v/>
      </c>
      <c r="T24" s="71">
        <f>T23/T22</f>
        <v>10.320821903167197</v>
      </c>
      <c r="U24" s="71">
        <f>U23/U22</f>
        <v>7.0073454577636181</v>
      </c>
      <c r="V24" s="71">
        <f>T24-U24</f>
        <v>3.3134764454035786</v>
      </c>
    </row>
    <row r="25" spans="1:22" x14ac:dyDescent="0.25">
      <c r="A25" s="66" t="s">
        <v>139</v>
      </c>
      <c r="B25" s="69">
        <f>B23*4%</f>
        <v>10887.62</v>
      </c>
      <c r="C25" s="69">
        <f>C23*3.5%</f>
        <v>0</v>
      </c>
      <c r="D25" s="70">
        <f>B25-C25</f>
        <v>10887.62</v>
      </c>
      <c r="E25" s="69">
        <f>E23*3.5%</f>
        <v>9854.523000000001</v>
      </c>
      <c r="F25" s="69">
        <f>F23*3.5%</f>
        <v>0</v>
      </c>
      <c r="G25" s="70">
        <f>E25-F25</f>
        <v>9854.523000000001</v>
      </c>
      <c r="H25" s="69">
        <f>H23*3.5%</f>
        <v>7334.2675000000008</v>
      </c>
      <c r="I25" s="69">
        <f>I23*3.5%</f>
        <v>0</v>
      </c>
      <c r="J25" s="70">
        <f>H25-I25</f>
        <v>7334.2675000000008</v>
      </c>
      <c r="K25" s="69">
        <f>K23*3.5%</f>
        <v>11945.727500000001</v>
      </c>
      <c r="L25" s="69">
        <f>L23*3.5%</f>
        <v>0</v>
      </c>
      <c r="M25" s="70">
        <f>K25-L25</f>
        <v>11945.727500000001</v>
      </c>
      <c r="N25" s="69">
        <f>N23*3.5%</f>
        <v>9864.7325000000001</v>
      </c>
      <c r="O25" s="69">
        <f>O23*3.5%</f>
        <v>0</v>
      </c>
      <c r="P25" s="70">
        <f>N25-O25</f>
        <v>9864.7325000000001</v>
      </c>
      <c r="Q25" s="69">
        <f>Q23*3.5%</f>
        <v>4887.2250000000004</v>
      </c>
      <c r="R25" s="69">
        <f>R23*3.5%</f>
        <v>0</v>
      </c>
      <c r="S25" s="70">
        <f>Q25-R25</f>
        <v>4887.2250000000004</v>
      </c>
      <c r="T25" s="71">
        <f>SUM(B19,E19,H19,K19,N19,Q19,B25,E25,H25,K25,N25,Q25)</f>
        <v>86432.95150000001</v>
      </c>
      <c r="U25" s="71">
        <f>SUM(C19,F19,I19,L19,O19,R19,C25,F25,I25,L25,O25,R25)</f>
        <v>11085.130000000001</v>
      </c>
      <c r="V25" s="71">
        <f>T25-U25</f>
        <v>75347.821500000005</v>
      </c>
    </row>
  </sheetData>
  <mergeCells count="2">
    <mergeCell ref="A1:V1"/>
    <mergeCell ref="A14:V1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zoomScale="85" zoomScaleNormal="85" workbookViewId="0">
      <selection activeCell="F19" sqref="F18:F19"/>
    </sheetView>
  </sheetViews>
  <sheetFormatPr defaultColWidth="9" defaultRowHeight="25.5" x14ac:dyDescent="0.45"/>
  <cols>
    <col min="1" max="1" width="5.1796875" style="19" customWidth="1"/>
    <col min="2" max="2" width="21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30.75" customHeight="1" x14ac:dyDescent="0.45">
      <c r="A1" s="15"/>
      <c r="B1" s="16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27" t="s">
        <v>87</v>
      </c>
      <c r="H1" s="15" t="s">
        <v>62</v>
      </c>
      <c r="I1" s="58"/>
      <c r="J1" s="27" t="s">
        <v>88</v>
      </c>
      <c r="K1" s="15" t="s">
        <v>62</v>
      </c>
      <c r="L1" s="58"/>
      <c r="M1" s="15" t="s">
        <v>63</v>
      </c>
      <c r="N1" s="18"/>
    </row>
    <row r="2" spans="1:14" ht="17.25" customHeight="1" x14ac:dyDescent="0.45">
      <c r="A2" s="75" t="s">
        <v>64</v>
      </c>
      <c r="B2" s="20">
        <v>9934.92</v>
      </c>
      <c r="C2" s="20">
        <v>-13850.508199999997</v>
      </c>
      <c r="D2" s="20">
        <v>-13850.508199999997</v>
      </c>
      <c r="E2" s="75" t="s">
        <v>65</v>
      </c>
      <c r="F2" s="20">
        <f>B14+B17</f>
        <v>191767.92137500001</v>
      </c>
      <c r="G2" s="20">
        <f>B14-B2+C2</f>
        <v>158143.2133</v>
      </c>
      <c r="H2" s="20">
        <f>G2-F2</f>
        <v>-33624.708075000002</v>
      </c>
      <c r="I2" s="54" t="str">
        <f>IF(H2&gt;=0,"☻","☹☹")</f>
        <v>☹☹</v>
      </c>
      <c r="J2" s="20">
        <f>B14-B2+D2</f>
        <v>158143.2133</v>
      </c>
      <c r="K2" s="20">
        <f>J2-F2</f>
        <v>-33624.708075000002</v>
      </c>
      <c r="L2" s="54" t="str">
        <f>IF(K2&gt;=0,"☻","☹☹")</f>
        <v>☹☹</v>
      </c>
      <c r="M2" s="75"/>
      <c r="N2" s="75" t="s">
        <v>64</v>
      </c>
    </row>
    <row r="3" spans="1:14" ht="17.25" customHeight="1" x14ac:dyDescent="0.45">
      <c r="A3" s="75" t="s">
        <v>66</v>
      </c>
      <c r="B3" s="20">
        <v>2321.4958999999999</v>
      </c>
      <c r="C3" s="20">
        <v>31166.986599999997</v>
      </c>
      <c r="D3" s="20">
        <v>31166.986599999997</v>
      </c>
      <c r="E3" s="75" t="s">
        <v>67</v>
      </c>
      <c r="F3" s="20">
        <f>F2+B17</f>
        <v>201607.20125000001</v>
      </c>
      <c r="G3" s="20">
        <f t="shared" ref="G3:G13" si="0">G2-B3+C3</f>
        <v>186988.704</v>
      </c>
      <c r="H3" s="20">
        <f t="shared" ref="H3:H13" si="1">G3-F3</f>
        <v>-14618.497250000015</v>
      </c>
      <c r="I3" s="54" t="str">
        <f t="shared" ref="I3:I13" si="2">IF(H3&gt;=0,"☻",(IF(H3-H2&gt;=0,"☹","☹☹")))</f>
        <v>☹</v>
      </c>
      <c r="J3" s="20">
        <f t="shared" ref="J3:J13" si="3">J2-B3+D3</f>
        <v>186988.704</v>
      </c>
      <c r="K3" s="20">
        <f t="shared" ref="K3:K13" si="4">J3-F3</f>
        <v>-14618.497250000015</v>
      </c>
      <c r="L3" s="54" t="str">
        <f t="shared" ref="L3:L13" si="5">IF(K3&gt;=0,"☻",(IF(K3-K2&gt;=0,"☹","☹☹")))</f>
        <v>☹</v>
      </c>
      <c r="M3" s="75"/>
      <c r="N3" s="75" t="s">
        <v>66</v>
      </c>
    </row>
    <row r="4" spans="1:14" ht="17.25" customHeight="1" x14ac:dyDescent="0.45">
      <c r="A4" s="75" t="s">
        <v>0</v>
      </c>
      <c r="B4" s="20">
        <v>34211.292000000001</v>
      </c>
      <c r="C4" s="20">
        <v>43828.496599999999</v>
      </c>
      <c r="D4" s="20">
        <v>43828.496599999999</v>
      </c>
      <c r="E4" s="75" t="s">
        <v>68</v>
      </c>
      <c r="F4" s="20">
        <f>F3+B17</f>
        <v>211446.48112500002</v>
      </c>
      <c r="G4" s="20">
        <f t="shared" si="0"/>
        <v>196605.90860000002</v>
      </c>
      <c r="H4" s="20">
        <f t="shared" si="1"/>
        <v>-14840.572524999996</v>
      </c>
      <c r="I4" s="54" t="str">
        <f t="shared" si="2"/>
        <v>☹☹</v>
      </c>
      <c r="J4" s="20">
        <f t="shared" si="3"/>
        <v>196605.90860000002</v>
      </c>
      <c r="K4" s="20">
        <f>J4-F4</f>
        <v>-14840.572524999996</v>
      </c>
      <c r="L4" s="54" t="str">
        <f t="shared" si="5"/>
        <v>☹☹</v>
      </c>
      <c r="M4" s="75"/>
      <c r="N4" s="75" t="s">
        <v>0</v>
      </c>
    </row>
    <row r="5" spans="1:14" ht="17.25" customHeight="1" x14ac:dyDescent="0.45">
      <c r="A5" s="75" t="s">
        <v>1</v>
      </c>
      <c r="B5" s="20">
        <v>31030.266200000002</v>
      </c>
      <c r="C5" s="20">
        <v>72170.771600000007</v>
      </c>
      <c r="D5" s="20">
        <v>72170.771600000007</v>
      </c>
      <c r="E5" s="75" t="s">
        <v>69</v>
      </c>
      <c r="F5" s="20">
        <f>F4+B17</f>
        <v>221285.76100000003</v>
      </c>
      <c r="G5" s="20">
        <f t="shared" si="0"/>
        <v>237746.41400000002</v>
      </c>
      <c r="H5" s="20">
        <f t="shared" si="1"/>
        <v>16460.652999999991</v>
      </c>
      <c r="I5" s="54" t="str">
        <f t="shared" si="2"/>
        <v>☻</v>
      </c>
      <c r="J5" s="20">
        <f t="shared" si="3"/>
        <v>237746.41400000002</v>
      </c>
      <c r="K5" s="20">
        <f t="shared" si="4"/>
        <v>16460.652999999991</v>
      </c>
      <c r="L5" s="54" t="str">
        <f t="shared" si="5"/>
        <v>☻</v>
      </c>
      <c r="M5" s="75"/>
      <c r="N5" s="75" t="s">
        <v>1</v>
      </c>
    </row>
    <row r="6" spans="1:14" ht="17.25" customHeight="1" x14ac:dyDescent="0.45">
      <c r="A6" s="75" t="s">
        <v>2</v>
      </c>
      <c r="B6" s="20">
        <v>16511.4853</v>
      </c>
      <c r="C6" s="20">
        <v>65825.420599999998</v>
      </c>
      <c r="D6" s="20">
        <v>65825.420599999998</v>
      </c>
      <c r="E6" s="75" t="s">
        <v>70</v>
      </c>
      <c r="F6" s="20">
        <f>F5+B17</f>
        <v>231125.04087500004</v>
      </c>
      <c r="G6" s="20">
        <f t="shared" si="0"/>
        <v>287060.3493</v>
      </c>
      <c r="H6" s="20">
        <f t="shared" si="1"/>
        <v>55935.308424999967</v>
      </c>
      <c r="I6" s="54" t="str">
        <f t="shared" si="2"/>
        <v>☻</v>
      </c>
      <c r="J6" s="20">
        <f t="shared" si="3"/>
        <v>287060.3493</v>
      </c>
      <c r="K6" s="20">
        <f t="shared" si="4"/>
        <v>55935.308424999967</v>
      </c>
      <c r="L6" s="54" t="str">
        <f t="shared" si="5"/>
        <v>☻</v>
      </c>
      <c r="M6" s="75"/>
      <c r="N6" s="75" t="s">
        <v>2</v>
      </c>
    </row>
    <row r="7" spans="1:14" ht="17.25" customHeight="1" x14ac:dyDescent="0.45">
      <c r="A7" s="75" t="s">
        <v>3</v>
      </c>
      <c r="B7" s="20">
        <v>11597.757999999998</v>
      </c>
      <c r="C7" s="20">
        <v>21972.105800000001</v>
      </c>
      <c r="D7" s="20">
        <v>21972.105800000001</v>
      </c>
      <c r="E7" s="75" t="s">
        <v>71</v>
      </c>
      <c r="F7" s="20">
        <f>F6+B17</f>
        <v>240964.32075000004</v>
      </c>
      <c r="G7" s="20">
        <f t="shared" si="0"/>
        <v>297434.69710000005</v>
      </c>
      <c r="H7" s="20">
        <f t="shared" si="1"/>
        <v>56470.376350000006</v>
      </c>
      <c r="I7" s="134" t="str">
        <f t="shared" si="2"/>
        <v>☻</v>
      </c>
      <c r="J7" s="20">
        <f t="shared" si="3"/>
        <v>297434.69710000005</v>
      </c>
      <c r="K7" s="20">
        <f t="shared" si="4"/>
        <v>56470.376350000006</v>
      </c>
      <c r="L7" s="134" t="str">
        <f t="shared" si="5"/>
        <v>☻</v>
      </c>
      <c r="M7" s="75"/>
      <c r="N7" s="75" t="s">
        <v>3</v>
      </c>
    </row>
    <row r="8" spans="1:14" ht="17.25" customHeight="1" x14ac:dyDescent="0.45">
      <c r="A8" s="75" t="s">
        <v>4</v>
      </c>
      <c r="B8" s="20">
        <v>7723.46</v>
      </c>
      <c r="C8" s="20">
        <v>-769.66159999999945</v>
      </c>
      <c r="D8" s="20">
        <v>-769.66159999999945</v>
      </c>
      <c r="E8" s="75" t="s">
        <v>72</v>
      </c>
      <c r="F8" s="20">
        <f>F7+B17</f>
        <v>250803.60062500005</v>
      </c>
      <c r="G8" s="20">
        <f t="shared" si="0"/>
        <v>288941.57550000004</v>
      </c>
      <c r="H8" s="20">
        <f t="shared" si="1"/>
        <v>38137.974874999985</v>
      </c>
      <c r="I8" s="134" t="str">
        <f t="shared" si="2"/>
        <v>☻</v>
      </c>
      <c r="J8" s="20">
        <f t="shared" si="3"/>
        <v>288941.57550000004</v>
      </c>
      <c r="K8" s="20">
        <f t="shared" si="4"/>
        <v>38137.974874999985</v>
      </c>
      <c r="L8" s="134" t="str">
        <f t="shared" si="5"/>
        <v>☻</v>
      </c>
      <c r="M8" s="75"/>
      <c r="N8" s="75" t="s">
        <v>4</v>
      </c>
    </row>
    <row r="9" spans="1:14" ht="17.25" customHeight="1" x14ac:dyDescent="0.45">
      <c r="A9" s="75" t="s">
        <v>5</v>
      </c>
      <c r="B9" s="20">
        <v>18234.9879</v>
      </c>
      <c r="C9" s="20">
        <v>14681.7844</v>
      </c>
      <c r="D9" s="20">
        <v>14681.7844</v>
      </c>
      <c r="E9" s="75" t="s">
        <v>73</v>
      </c>
      <c r="F9" s="20">
        <f>F8+B17</f>
        <v>260642.88050000006</v>
      </c>
      <c r="G9" s="20">
        <f t="shared" si="0"/>
        <v>285388.37200000003</v>
      </c>
      <c r="H9" s="20">
        <f t="shared" si="1"/>
        <v>24745.491499999975</v>
      </c>
      <c r="I9" s="134" t="str">
        <f t="shared" si="2"/>
        <v>☻</v>
      </c>
      <c r="J9" s="20">
        <f t="shared" si="3"/>
        <v>285388.37200000003</v>
      </c>
      <c r="K9" s="20">
        <f t="shared" si="4"/>
        <v>24745.491499999975</v>
      </c>
      <c r="L9" s="134" t="str">
        <f t="shared" si="5"/>
        <v>☻</v>
      </c>
      <c r="M9" s="75"/>
      <c r="N9" s="75" t="s">
        <v>5</v>
      </c>
    </row>
    <row r="10" spans="1:14" ht="17.25" customHeight="1" x14ac:dyDescent="0.45">
      <c r="A10" s="75" t="s">
        <v>6</v>
      </c>
      <c r="B10" s="20">
        <v>23126.213600000003</v>
      </c>
      <c r="C10" s="20">
        <v>21213.845600000001</v>
      </c>
      <c r="D10" s="20">
        <v>21213.845600000001</v>
      </c>
      <c r="E10" s="75" t="s">
        <v>74</v>
      </c>
      <c r="F10" s="20">
        <f>F9+B17</f>
        <v>270482.16037500004</v>
      </c>
      <c r="G10" s="20">
        <f t="shared" si="0"/>
        <v>283476.00400000002</v>
      </c>
      <c r="H10" s="20">
        <f t="shared" si="1"/>
        <v>12993.84362499998</v>
      </c>
      <c r="I10" s="134" t="str">
        <f t="shared" si="2"/>
        <v>☻</v>
      </c>
      <c r="J10" s="20">
        <f t="shared" si="3"/>
        <v>283476.00400000002</v>
      </c>
      <c r="K10" s="20">
        <f t="shared" si="4"/>
        <v>12993.84362499998</v>
      </c>
      <c r="L10" s="134" t="str">
        <f t="shared" si="5"/>
        <v>☻</v>
      </c>
      <c r="M10" s="75"/>
      <c r="N10" s="75" t="s">
        <v>6</v>
      </c>
    </row>
    <row r="11" spans="1:14" ht="17.25" customHeight="1" x14ac:dyDescent="0.45">
      <c r="A11" s="75" t="s">
        <v>7</v>
      </c>
      <c r="B11" s="20">
        <v>24678.662899999999</v>
      </c>
      <c r="C11" s="20">
        <v>5463.5140000000065</v>
      </c>
      <c r="D11" s="20">
        <v>5463.5140000000065</v>
      </c>
      <c r="E11" s="75" t="s">
        <v>75</v>
      </c>
      <c r="F11" s="20">
        <f>F10+B17</f>
        <v>280321.44025000004</v>
      </c>
      <c r="G11" s="20">
        <f t="shared" si="0"/>
        <v>264260.85510000004</v>
      </c>
      <c r="H11" s="20">
        <f t="shared" si="1"/>
        <v>-16060.585149999999</v>
      </c>
      <c r="I11" s="134" t="str">
        <f t="shared" si="2"/>
        <v>☹☹</v>
      </c>
      <c r="J11" s="20">
        <f t="shared" si="3"/>
        <v>264260.85510000004</v>
      </c>
      <c r="K11" s="20">
        <f t="shared" si="4"/>
        <v>-16060.585149999999</v>
      </c>
      <c r="L11" s="134" t="str">
        <f t="shared" si="5"/>
        <v>☹☹</v>
      </c>
      <c r="M11" s="75"/>
      <c r="N11" s="75" t="s">
        <v>7</v>
      </c>
    </row>
    <row r="12" spans="1:14" ht="17.25" customHeight="1" x14ac:dyDescent="0.45">
      <c r="A12" s="75" t="s">
        <v>8</v>
      </c>
      <c r="B12" s="20">
        <v>14982.242699999999</v>
      </c>
      <c r="C12" s="20">
        <v>20878.273800000003</v>
      </c>
      <c r="D12" s="20">
        <v>20878.273800000003</v>
      </c>
      <c r="E12" s="156" t="s">
        <v>76</v>
      </c>
      <c r="F12" s="157">
        <f>F11+B17</f>
        <v>290160.72012500005</v>
      </c>
      <c r="G12" s="20">
        <f t="shared" si="0"/>
        <v>270156.88620000007</v>
      </c>
      <c r="H12" s="157">
        <f t="shared" si="1"/>
        <v>-20003.833924999984</v>
      </c>
      <c r="I12" s="54" t="str">
        <f t="shared" si="2"/>
        <v>☹☹</v>
      </c>
      <c r="J12" s="20">
        <f t="shared" si="3"/>
        <v>270156.88620000007</v>
      </c>
      <c r="K12" s="157">
        <f t="shared" si="4"/>
        <v>-20003.833924999984</v>
      </c>
      <c r="L12" s="54" t="str">
        <f t="shared" si="5"/>
        <v>☹☹</v>
      </c>
      <c r="M12" s="75"/>
      <c r="N12" s="75" t="s">
        <v>8</v>
      </c>
    </row>
    <row r="13" spans="1:14" ht="17.25" customHeight="1" x14ac:dyDescent="0.45">
      <c r="A13" s="75" t="s">
        <v>9</v>
      </c>
      <c r="B13" s="20">
        <v>-12424.143000000011</v>
      </c>
      <c r="C13" s="160">
        <v>18184.622200000005</v>
      </c>
      <c r="D13" s="160">
        <v>18184.622200000005</v>
      </c>
      <c r="E13" s="75" t="s">
        <v>77</v>
      </c>
      <c r="F13" s="20">
        <f>F12+B17</f>
        <v>300000.00000000006</v>
      </c>
      <c r="G13" s="20">
        <f t="shared" si="0"/>
        <v>300765.65140000009</v>
      </c>
      <c r="H13" s="20">
        <f t="shared" si="1"/>
        <v>765.65140000003157</v>
      </c>
      <c r="I13" s="54" t="str">
        <f t="shared" si="2"/>
        <v>☻</v>
      </c>
      <c r="J13" s="20">
        <f t="shared" si="3"/>
        <v>300765.65140000009</v>
      </c>
      <c r="K13" s="20">
        <f t="shared" si="4"/>
        <v>765.65140000003157</v>
      </c>
      <c r="L13" s="54" t="str">
        <f t="shared" si="5"/>
        <v>☻</v>
      </c>
      <c r="M13" s="75"/>
      <c r="N13" s="75" t="s">
        <v>9</v>
      </c>
    </row>
    <row r="14" spans="1:14" ht="17.25" customHeight="1" x14ac:dyDescent="0.45">
      <c r="A14" s="15" t="s">
        <v>78</v>
      </c>
      <c r="B14" s="20">
        <f>SUM(B2:B13)</f>
        <v>181928.6415</v>
      </c>
      <c r="C14" s="23">
        <f>SUM(C2:C13)</f>
        <v>300765.65140000003</v>
      </c>
      <c r="D14" s="23">
        <f>SUM(D2:D13)</f>
        <v>300765.65140000003</v>
      </c>
      <c r="E14" s="24"/>
      <c r="F14" s="24"/>
      <c r="G14" s="24"/>
      <c r="H14" s="24"/>
      <c r="I14" s="58"/>
      <c r="J14" s="24"/>
      <c r="K14" s="24"/>
      <c r="L14" s="58"/>
      <c r="M14" s="17"/>
    </row>
    <row r="15" spans="1:14" ht="27" customHeight="1" x14ac:dyDescent="0.45">
      <c r="A15" s="15" t="s">
        <v>79</v>
      </c>
      <c r="B15" s="25">
        <v>300000</v>
      </c>
      <c r="C15" s="15"/>
      <c r="D15" s="15"/>
      <c r="E15" s="24"/>
      <c r="F15" s="152"/>
      <c r="G15" s="24"/>
      <c r="H15" s="24"/>
      <c r="I15" s="58"/>
      <c r="J15" s="24"/>
      <c r="K15" s="24"/>
      <c r="L15" s="58"/>
      <c r="M15" s="17"/>
    </row>
    <row r="16" spans="1:14" x14ac:dyDescent="0.45">
      <c r="A16" s="15" t="s">
        <v>80</v>
      </c>
      <c r="B16" s="23">
        <f>B15-B14</f>
        <v>118071.3585</v>
      </c>
      <c r="C16" s="23">
        <f>C14-B15</f>
        <v>765.65140000003157</v>
      </c>
      <c r="D16" s="23">
        <f>D14-B15</f>
        <v>765.65140000003157</v>
      </c>
      <c r="E16" s="24"/>
      <c r="H16" s="24"/>
      <c r="I16" s="58"/>
      <c r="J16" s="24"/>
      <c r="K16" s="24"/>
      <c r="L16" s="58"/>
      <c r="M16" s="17"/>
    </row>
    <row r="17" spans="1:13" ht="27" customHeight="1" x14ac:dyDescent="0.45">
      <c r="A17" s="15" t="s">
        <v>81</v>
      </c>
      <c r="B17" s="25">
        <f>B16/12</f>
        <v>9839.2798750000002</v>
      </c>
      <c r="C17" s="23"/>
      <c r="D17" s="23"/>
      <c r="H17" s="24"/>
      <c r="I17" s="58"/>
      <c r="J17" s="24"/>
      <c r="K17" s="24"/>
      <c r="L17" s="58"/>
      <c r="M17" s="17"/>
    </row>
    <row r="18" spans="1:13" ht="14.25" customHeight="1" x14ac:dyDescent="0.45">
      <c r="A18" s="201" t="s">
        <v>82</v>
      </c>
      <c r="B18" s="201"/>
      <c r="C18" s="201"/>
      <c r="D18" s="26"/>
      <c r="H18" s="24"/>
      <c r="I18" s="58"/>
      <c r="J18" s="24"/>
      <c r="K18" s="24"/>
      <c r="L18" s="58"/>
      <c r="M18" s="17"/>
    </row>
    <row r="19" spans="1:13" ht="14.25" customHeight="1" x14ac:dyDescent="0.45">
      <c r="A19" s="204" t="s">
        <v>83</v>
      </c>
      <c r="B19" s="204"/>
      <c r="C19" s="204"/>
      <c r="D19" s="26"/>
      <c r="E19" s="17"/>
      <c r="F19" s="17"/>
    </row>
    <row r="20" spans="1:13" ht="14.25" customHeight="1" x14ac:dyDescent="0.45">
      <c r="A20" s="203" t="s">
        <v>84</v>
      </c>
      <c r="B20" s="203"/>
      <c r="C20" s="203"/>
      <c r="E20" s="158"/>
      <c r="F20" s="17"/>
    </row>
    <row r="21" spans="1:13" ht="14.25" customHeight="1" x14ac:dyDescent="0.45">
      <c r="A21" s="202" t="s">
        <v>85</v>
      </c>
      <c r="B21" s="202"/>
      <c r="C21" s="202"/>
      <c r="D21" s="26"/>
      <c r="E21" s="17"/>
    </row>
    <row r="22" spans="1:13" ht="14.25" customHeight="1" x14ac:dyDescent="0.45">
      <c r="A22" s="202" t="s">
        <v>86</v>
      </c>
      <c r="B22" s="202"/>
      <c r="D22" s="26"/>
      <c r="E22" s="17"/>
      <c r="F22" s="17"/>
    </row>
    <row r="23" spans="1:13" ht="17.25" customHeight="1" x14ac:dyDescent="0.45"/>
    <row r="24" spans="1:13" ht="17.25" customHeight="1" x14ac:dyDescent="0.45">
      <c r="F24" s="159"/>
    </row>
    <row r="25" spans="1:13" ht="17.25" customHeight="1" x14ac:dyDescent="0.45"/>
    <row r="26" spans="1:13" ht="17.25" customHeight="1" x14ac:dyDescent="0.45"/>
    <row r="27" spans="1:13" ht="17.25" customHeight="1" x14ac:dyDescent="0.45"/>
    <row r="28" spans="1:13" ht="17.25" customHeight="1" x14ac:dyDescent="0.45"/>
    <row r="29" spans="1:13" ht="17.25" customHeight="1" x14ac:dyDescent="0.45"/>
    <row r="30" spans="1:13" ht="17.25" customHeight="1" x14ac:dyDescent="0.45"/>
    <row r="31" spans="1:13" ht="17.25" customHeight="1" x14ac:dyDescent="0.45"/>
    <row r="32" spans="1:13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</sheetData>
  <mergeCells count="5">
    <mergeCell ref="A18:C18"/>
    <mergeCell ref="A22:B22"/>
    <mergeCell ref="A21:C21"/>
    <mergeCell ref="A20:C20"/>
    <mergeCell ref="A19:C19"/>
  </mergeCells>
  <phoneticPr fontId="1" type="noConversion"/>
  <conditionalFormatting sqref="I2:I13 L2:L13">
    <cfRule type="containsText" dxfId="14" priority="11" operator="containsText" text="☹">
      <formula>NOT(ISERROR(SEARCH("☹",I2)))</formula>
    </cfRule>
    <cfRule type="expression" dxfId="13" priority="12" stopIfTrue="1">
      <formula>$L$18</formula>
    </cfRule>
  </conditionalFormatting>
  <conditionalFormatting sqref="I2:I13 L2:L13">
    <cfRule type="containsText" dxfId="12" priority="10" operator="containsText" text="☻">
      <formula>NOT(ISERROR(SEARCH("☻",I2)))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zoomScale="85" zoomScaleNormal="85" workbookViewId="0">
      <selection activeCell="Q12" sqref="Q12"/>
    </sheetView>
  </sheetViews>
  <sheetFormatPr defaultColWidth="9" defaultRowHeight="14" x14ac:dyDescent="0.25"/>
  <cols>
    <col min="1" max="1" width="9" style="29"/>
    <col min="2" max="2" width="5.6328125" style="29" customWidth="1"/>
    <col min="3" max="14" width="7.453125" style="29" customWidth="1"/>
    <col min="15" max="15" width="10.453125" style="29" bestFit="1" customWidth="1"/>
    <col min="16" max="16384" width="9" style="29"/>
  </cols>
  <sheetData>
    <row r="1" spans="1:15" x14ac:dyDescent="0.25">
      <c r="A1" s="205" t="s">
        <v>100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 t="s">
        <v>99</v>
      </c>
    </row>
    <row r="2" spans="1:15" x14ac:dyDescent="0.25">
      <c r="A2" s="205" t="s">
        <v>97</v>
      </c>
      <c r="B2" s="205"/>
      <c r="C2" s="30" t="s">
        <v>46</v>
      </c>
      <c r="D2" s="30" t="s">
        <v>96</v>
      </c>
      <c r="E2" s="30" t="s">
        <v>14</v>
      </c>
      <c r="F2" s="30" t="s">
        <v>15</v>
      </c>
      <c r="G2" s="30" t="s">
        <v>16</v>
      </c>
      <c r="H2" s="30" t="s">
        <v>17</v>
      </c>
      <c r="I2" s="30" t="s">
        <v>18</v>
      </c>
      <c r="J2" s="30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205"/>
    </row>
    <row r="3" spans="1:15" x14ac:dyDescent="0.25">
      <c r="A3" s="205" t="s">
        <v>32</v>
      </c>
      <c r="B3" s="30" t="s">
        <v>102</v>
      </c>
      <c r="C3" s="30"/>
      <c r="D3" s="30">
        <v>7336</v>
      </c>
      <c r="E3" s="30">
        <v>17833</v>
      </c>
      <c r="F3" s="30">
        <v>25454</v>
      </c>
      <c r="G3" s="30">
        <v>11897</v>
      </c>
      <c r="H3" s="30">
        <v>2975</v>
      </c>
      <c r="I3" s="30"/>
      <c r="J3" s="30">
        <v>10621</v>
      </c>
      <c r="K3" s="30">
        <v>14766</v>
      </c>
      <c r="L3" s="30"/>
      <c r="M3" s="30"/>
      <c r="N3" s="30"/>
      <c r="O3" s="30">
        <f>SUM(C3:N3)</f>
        <v>90882</v>
      </c>
    </row>
    <row r="4" spans="1:15" x14ac:dyDescent="0.25">
      <c r="A4" s="205"/>
      <c r="B4" s="30" t="s">
        <v>98</v>
      </c>
      <c r="C4" s="30"/>
      <c r="D4" s="31">
        <v>13.840715392561984</v>
      </c>
      <c r="E4" s="31">
        <v>14.206645586872376</v>
      </c>
      <c r="F4" s="31">
        <v>12.585980203870587</v>
      </c>
      <c r="G4" s="31">
        <v>14.919306540583136</v>
      </c>
      <c r="H4" s="31">
        <v>13.68672537508154</v>
      </c>
      <c r="I4" s="31"/>
      <c r="J4" s="31">
        <v>12.712727272727273</v>
      </c>
      <c r="K4" s="31">
        <v>12.501999999999999</v>
      </c>
      <c r="L4" s="30"/>
      <c r="M4" s="30"/>
      <c r="N4" s="30"/>
      <c r="O4" s="31">
        <f>AVERAGE(C4:N4)</f>
        <v>13.493442910242413</v>
      </c>
    </row>
    <row r="5" spans="1:15" x14ac:dyDescent="0.25">
      <c r="A5" s="205" t="s">
        <v>35</v>
      </c>
      <c r="B5" s="30" t="s">
        <v>102</v>
      </c>
      <c r="C5" s="30"/>
      <c r="D5" s="30">
        <v>5230</v>
      </c>
      <c r="E5" s="30">
        <v>22678</v>
      </c>
      <c r="F5" s="30">
        <v>46583</v>
      </c>
      <c r="G5" s="30">
        <v>12864</v>
      </c>
      <c r="H5" s="30">
        <v>15511</v>
      </c>
      <c r="I5" s="30">
        <v>7151</v>
      </c>
      <c r="J5" s="30">
        <v>9679</v>
      </c>
      <c r="K5" s="30">
        <v>31874</v>
      </c>
      <c r="L5" s="30"/>
      <c r="M5" s="30"/>
      <c r="N5" s="30"/>
      <c r="O5" s="30">
        <f>SUM(C5:N5)</f>
        <v>151570</v>
      </c>
    </row>
    <row r="6" spans="1:15" x14ac:dyDescent="0.25">
      <c r="A6" s="205"/>
      <c r="B6" s="30" t="s">
        <v>98</v>
      </c>
      <c r="C6" s="30"/>
      <c r="D6" s="31">
        <v>7.9661204983785625</v>
      </c>
      <c r="E6" s="31">
        <v>8.2539095342189341</v>
      </c>
      <c r="F6" s="31">
        <v>8.8168625301913988</v>
      </c>
      <c r="G6" s="31">
        <v>8.9258724832214771</v>
      </c>
      <c r="H6" s="31">
        <v>9.0248312146463103</v>
      </c>
      <c r="I6" s="31">
        <v>8.1831322364411943</v>
      </c>
      <c r="J6" s="31">
        <v>8.6425000000000001</v>
      </c>
      <c r="K6" s="31">
        <v>8.6</v>
      </c>
      <c r="L6" s="30"/>
      <c r="M6" s="30"/>
      <c r="N6" s="30"/>
      <c r="O6" s="31">
        <f>AVERAGE(C6:N6)</f>
        <v>8.5516535621372345</v>
      </c>
    </row>
    <row r="7" spans="1:15" x14ac:dyDescent="0.25">
      <c r="A7" s="206" t="s">
        <v>99</v>
      </c>
      <c r="B7" s="32" t="s">
        <v>102</v>
      </c>
      <c r="C7" s="32"/>
      <c r="D7" s="32">
        <f>D5+D3</f>
        <v>12566</v>
      </c>
      <c r="E7" s="32">
        <f t="shared" ref="E7:K7" si="0">E5+E3</f>
        <v>40511</v>
      </c>
      <c r="F7" s="32">
        <f t="shared" si="0"/>
        <v>72037</v>
      </c>
      <c r="G7" s="32">
        <f t="shared" si="0"/>
        <v>24761</v>
      </c>
      <c r="H7" s="32">
        <f t="shared" si="0"/>
        <v>18486</v>
      </c>
      <c r="I7" s="32">
        <f t="shared" si="0"/>
        <v>7151</v>
      </c>
      <c r="J7" s="32">
        <f t="shared" si="0"/>
        <v>20300</v>
      </c>
      <c r="K7" s="32">
        <f t="shared" si="0"/>
        <v>46640</v>
      </c>
      <c r="L7" s="32"/>
      <c r="M7" s="32"/>
      <c r="N7" s="32"/>
      <c r="O7" s="32">
        <f>SUM(C7:N7)</f>
        <v>242452</v>
      </c>
    </row>
    <row r="8" spans="1:15" x14ac:dyDescent="0.25">
      <c r="A8" s="206"/>
      <c r="B8" s="32" t="s">
        <v>98</v>
      </c>
      <c r="C8" s="32"/>
      <c r="D8" s="33">
        <f>AVERAGE(D6,D4)</f>
        <v>10.903417945470274</v>
      </c>
      <c r="E8" s="33">
        <f t="shared" ref="E8:K8" si="1">AVERAGE(E6,E4)</f>
        <v>11.230277560545655</v>
      </c>
      <c r="F8" s="33">
        <f t="shared" si="1"/>
        <v>10.701421367030992</v>
      </c>
      <c r="G8" s="33">
        <f t="shared" si="1"/>
        <v>11.922589511902306</v>
      </c>
      <c r="H8" s="33">
        <f t="shared" si="1"/>
        <v>11.355778294863924</v>
      </c>
      <c r="I8" s="33">
        <f t="shared" si="1"/>
        <v>8.1831322364411943</v>
      </c>
      <c r="J8" s="33">
        <f t="shared" si="1"/>
        <v>10.677613636363636</v>
      </c>
      <c r="K8" s="33">
        <f t="shared" si="1"/>
        <v>10.550999999999998</v>
      </c>
      <c r="L8" s="32"/>
      <c r="M8" s="32"/>
      <c r="N8" s="32"/>
      <c r="O8" s="33">
        <f>AVERAGE(C8:N8)</f>
        <v>10.690653819077248</v>
      </c>
    </row>
    <row r="10" spans="1:15" x14ac:dyDescent="0.25">
      <c r="A10" s="205" t="s">
        <v>101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 t="s">
        <v>99</v>
      </c>
    </row>
    <row r="11" spans="1:15" x14ac:dyDescent="0.25">
      <c r="A11" s="205" t="s">
        <v>97</v>
      </c>
      <c r="B11" s="205"/>
      <c r="C11" s="30" t="s">
        <v>46</v>
      </c>
      <c r="D11" s="30" t="s">
        <v>96</v>
      </c>
      <c r="E11" s="30" t="s">
        <v>14</v>
      </c>
      <c r="F11" s="30" t="s">
        <v>15</v>
      </c>
      <c r="G11" s="30" t="s">
        <v>16</v>
      </c>
      <c r="H11" s="30" t="s">
        <v>17</v>
      </c>
      <c r="I11" s="30" t="s">
        <v>18</v>
      </c>
      <c r="J11" s="30" t="s">
        <v>19</v>
      </c>
      <c r="K11" s="30" t="s">
        <v>20</v>
      </c>
      <c r="L11" s="30" t="s">
        <v>21</v>
      </c>
      <c r="M11" s="30" t="s">
        <v>22</v>
      </c>
      <c r="N11" s="30" t="s">
        <v>23</v>
      </c>
      <c r="O11" s="205"/>
    </row>
    <row r="12" spans="1:15" x14ac:dyDescent="0.25">
      <c r="A12" s="205" t="s">
        <v>103</v>
      </c>
      <c r="B12" s="30" t="s">
        <v>102</v>
      </c>
      <c r="C12" s="30">
        <v>15044</v>
      </c>
      <c r="D12" s="30">
        <v>89</v>
      </c>
      <c r="E12" s="30">
        <v>8309</v>
      </c>
      <c r="F12" s="30">
        <v>13664</v>
      </c>
      <c r="G12" s="30">
        <v>21370</v>
      </c>
      <c r="H12" s="30">
        <v>16419</v>
      </c>
      <c r="I12" s="30">
        <v>29395</v>
      </c>
      <c r="J12" s="30">
        <v>28953</v>
      </c>
      <c r="K12" s="30">
        <v>19332</v>
      </c>
      <c r="L12" s="30"/>
      <c r="M12" s="30"/>
      <c r="N12" s="30"/>
      <c r="O12" s="30">
        <f>SUM(C12:N12)</f>
        <v>152575</v>
      </c>
    </row>
    <row r="13" spans="1:15" x14ac:dyDescent="0.25">
      <c r="A13" s="205"/>
      <c r="B13" s="30" t="s">
        <v>98</v>
      </c>
      <c r="C13" s="31">
        <v>11.005468003699928</v>
      </c>
      <c r="D13" s="31">
        <v>10.101878473238829</v>
      </c>
      <c r="E13" s="31">
        <v>9.2615903179523098</v>
      </c>
      <c r="F13" s="31">
        <v>9.8394744542634758</v>
      </c>
      <c r="G13" s="31">
        <v>10.011949172646935</v>
      </c>
      <c r="H13" s="31">
        <v>10.181474843169889</v>
      </c>
      <c r="I13" s="31">
        <v>11.971941176470589</v>
      </c>
      <c r="J13" s="31">
        <v>10.370786516853933</v>
      </c>
      <c r="K13" s="31">
        <v>11.848163425653114</v>
      </c>
      <c r="L13" s="30"/>
      <c r="M13" s="30"/>
      <c r="N13" s="30"/>
      <c r="O13" s="31">
        <f>AVERAGE(C13:N13)</f>
        <v>10.510302931549889</v>
      </c>
    </row>
  </sheetData>
  <mergeCells count="10">
    <mergeCell ref="A12:A13"/>
    <mergeCell ref="A11:B11"/>
    <mergeCell ref="A1:N1"/>
    <mergeCell ref="A10:N10"/>
    <mergeCell ref="O1:O2"/>
    <mergeCell ref="O10:O11"/>
    <mergeCell ref="A5:A6"/>
    <mergeCell ref="A3:A4"/>
    <mergeCell ref="A7:A8"/>
    <mergeCell ref="A2:B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zoomScale="85" zoomScaleNormal="85" workbookViewId="0">
      <selection activeCell="F21" sqref="F21"/>
    </sheetView>
  </sheetViews>
  <sheetFormatPr defaultColWidth="9" defaultRowHeight="25.5" x14ac:dyDescent="0.45"/>
  <cols>
    <col min="1" max="1" width="5.1796875" style="19" customWidth="1"/>
    <col min="2" max="2" width="13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25.5" customHeight="1" x14ac:dyDescent="0.25">
      <c r="A1" s="207" t="s">
        <v>147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 ht="30.75" customHeight="1" x14ac:dyDescent="0.45">
      <c r="A2" s="53" t="s">
        <v>133</v>
      </c>
      <c r="B2" s="16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27" t="s">
        <v>87</v>
      </c>
      <c r="H2" s="15" t="s">
        <v>62</v>
      </c>
      <c r="I2" s="55"/>
      <c r="J2" s="27" t="s">
        <v>88</v>
      </c>
      <c r="K2" s="15" t="s">
        <v>62</v>
      </c>
      <c r="L2" s="55"/>
      <c r="M2" s="15" t="s">
        <v>63</v>
      </c>
      <c r="N2" s="49"/>
    </row>
    <row r="3" spans="1:14" ht="16.5" customHeight="1" x14ac:dyDescent="0.45">
      <c r="A3" s="16" t="s">
        <v>64</v>
      </c>
      <c r="B3" s="20"/>
      <c r="C3" s="20">
        <v>7259.18</v>
      </c>
      <c r="D3" s="20">
        <v>7259.18</v>
      </c>
      <c r="E3" s="16" t="s">
        <v>65</v>
      </c>
      <c r="F3" s="20">
        <f>B15+B18</f>
        <v>5625</v>
      </c>
      <c r="G3" s="20">
        <f>B15-B3+C3</f>
        <v>7259.18</v>
      </c>
      <c r="H3" s="20">
        <f>G3-F3</f>
        <v>1634.1800000000003</v>
      </c>
      <c r="I3" s="54" t="str">
        <f>IF(H3&gt;=0,"☻","☹☹")</f>
        <v>☻</v>
      </c>
      <c r="J3" s="20">
        <f>B15-B3+D3</f>
        <v>7259.18</v>
      </c>
      <c r="K3" s="20">
        <f>J3-F3</f>
        <v>1634.1800000000003</v>
      </c>
      <c r="L3" s="54" t="str">
        <f>IF(K3&gt;=0,"☻","☹☹")</f>
        <v>☻</v>
      </c>
      <c r="M3" s="16"/>
      <c r="N3" s="16" t="s">
        <v>64</v>
      </c>
    </row>
    <row r="4" spans="1:14" ht="16.5" customHeight="1" x14ac:dyDescent="0.45">
      <c r="A4" s="16" t="s">
        <v>66</v>
      </c>
      <c r="B4" s="20"/>
      <c r="C4" s="20">
        <v>6926.67</v>
      </c>
      <c r="D4" s="20">
        <v>6926.67</v>
      </c>
      <c r="E4" s="16" t="s">
        <v>67</v>
      </c>
      <c r="F4" s="20">
        <f>F3+B18</f>
        <v>11250</v>
      </c>
      <c r="G4" s="20">
        <f t="shared" ref="G4:G14" si="0">G3-B4+C4</f>
        <v>14185.85</v>
      </c>
      <c r="H4" s="20">
        <f t="shared" ref="H4:H14" si="1">G4-F4</f>
        <v>2935.8500000000004</v>
      </c>
      <c r="I4" s="54" t="str">
        <f t="shared" ref="I4:I14" si="2">IF(H4&gt;=0,"☻",(IF(H4-H3&gt;=0,"☹","☹☹")))</f>
        <v>☻</v>
      </c>
      <c r="J4" s="20">
        <f t="shared" ref="J4:J14" si="3">J3-B4+D4</f>
        <v>14185.85</v>
      </c>
      <c r="K4" s="20">
        <f t="shared" ref="K4:K14" si="4">J4-F4</f>
        <v>2935.8500000000004</v>
      </c>
      <c r="L4" s="54" t="str">
        <f t="shared" ref="L4:L14" si="5">IF(K4&gt;=0,"☻",(IF(K4-K3&gt;=0,"☹","☹☹")))</f>
        <v>☻</v>
      </c>
      <c r="M4" s="16"/>
      <c r="N4" s="16" t="s">
        <v>66</v>
      </c>
    </row>
    <row r="5" spans="1:14" ht="16.5" customHeight="1" x14ac:dyDescent="0.45">
      <c r="A5" s="75" t="s">
        <v>0</v>
      </c>
      <c r="B5" s="20"/>
      <c r="C5" s="20">
        <v>14804.21</v>
      </c>
      <c r="D5" s="20">
        <v>14804.21</v>
      </c>
      <c r="E5" s="75" t="s">
        <v>68</v>
      </c>
      <c r="F5" s="20">
        <f>F4+B18</f>
        <v>16875</v>
      </c>
      <c r="G5" s="20">
        <f t="shared" si="0"/>
        <v>28990.059999999998</v>
      </c>
      <c r="H5" s="20">
        <f t="shared" si="1"/>
        <v>12115.059999999998</v>
      </c>
      <c r="I5" s="54" t="str">
        <f t="shared" si="2"/>
        <v>☻</v>
      </c>
      <c r="J5" s="20">
        <f t="shared" si="3"/>
        <v>28990.059999999998</v>
      </c>
      <c r="K5" s="20">
        <f>J5-F5</f>
        <v>12115.059999999998</v>
      </c>
      <c r="L5" s="54" t="str">
        <f t="shared" si="5"/>
        <v>☻</v>
      </c>
      <c r="M5" s="75"/>
      <c r="N5" s="75" t="s">
        <v>0</v>
      </c>
    </row>
    <row r="6" spans="1:14" ht="16.5" customHeight="1" x14ac:dyDescent="0.45">
      <c r="A6" s="75" t="s">
        <v>1</v>
      </c>
      <c r="B6" s="20"/>
      <c r="C6" s="20">
        <v>14724.43</v>
      </c>
      <c r="D6" s="20">
        <v>14724.43</v>
      </c>
      <c r="E6" s="75" t="s">
        <v>69</v>
      </c>
      <c r="F6" s="20">
        <f>F5+B18</f>
        <v>22500</v>
      </c>
      <c r="G6" s="20">
        <f t="shared" si="0"/>
        <v>43714.49</v>
      </c>
      <c r="H6" s="20">
        <f t="shared" si="1"/>
        <v>21214.489999999998</v>
      </c>
      <c r="I6" s="54" t="str">
        <f t="shared" si="2"/>
        <v>☻</v>
      </c>
      <c r="J6" s="20">
        <f t="shared" si="3"/>
        <v>43714.49</v>
      </c>
      <c r="K6" s="20">
        <f t="shared" si="4"/>
        <v>21214.489999999998</v>
      </c>
      <c r="L6" s="54" t="str">
        <f t="shared" si="5"/>
        <v>☻</v>
      </c>
      <c r="M6" s="75"/>
      <c r="N6" s="75" t="s">
        <v>1</v>
      </c>
    </row>
    <row r="7" spans="1:14" ht="16.5" customHeight="1" x14ac:dyDescent="0.45">
      <c r="A7" s="75" t="s">
        <v>2</v>
      </c>
      <c r="B7" s="20"/>
      <c r="C7" s="20">
        <v>9282.1299999999992</v>
      </c>
      <c r="D7" s="20">
        <v>9282.1299999999992</v>
      </c>
      <c r="E7" s="75" t="s">
        <v>70</v>
      </c>
      <c r="F7" s="20">
        <f>F6+B18</f>
        <v>28125</v>
      </c>
      <c r="G7" s="20">
        <f t="shared" si="0"/>
        <v>52996.619999999995</v>
      </c>
      <c r="H7" s="20">
        <f t="shared" si="1"/>
        <v>24871.619999999995</v>
      </c>
      <c r="I7" s="54" t="str">
        <f t="shared" si="2"/>
        <v>☻</v>
      </c>
      <c r="J7" s="20">
        <f t="shared" si="3"/>
        <v>52996.619999999995</v>
      </c>
      <c r="K7" s="20">
        <f t="shared" si="4"/>
        <v>24871.619999999995</v>
      </c>
      <c r="L7" s="54" t="str">
        <f t="shared" si="5"/>
        <v>☻</v>
      </c>
      <c r="M7" s="75"/>
      <c r="N7" s="75" t="s">
        <v>2</v>
      </c>
    </row>
    <row r="8" spans="1:14" ht="16.5" customHeight="1" x14ac:dyDescent="0.45">
      <c r="A8" s="75" t="s">
        <v>3</v>
      </c>
      <c r="B8" s="20"/>
      <c r="C8" s="20">
        <v>7445.72</v>
      </c>
      <c r="D8" s="20">
        <v>7445.72</v>
      </c>
      <c r="E8" s="75" t="s">
        <v>71</v>
      </c>
      <c r="F8" s="20">
        <f>F7+B18</f>
        <v>33750</v>
      </c>
      <c r="G8" s="20">
        <f t="shared" si="0"/>
        <v>60442.34</v>
      </c>
      <c r="H8" s="20">
        <f t="shared" si="1"/>
        <v>26692.339999999997</v>
      </c>
      <c r="I8" s="134" t="str">
        <f t="shared" si="2"/>
        <v>☻</v>
      </c>
      <c r="J8" s="20">
        <f t="shared" si="3"/>
        <v>60442.34</v>
      </c>
      <c r="K8" s="20">
        <f t="shared" si="4"/>
        <v>26692.339999999997</v>
      </c>
      <c r="L8" s="134" t="str">
        <f t="shared" si="5"/>
        <v>☻</v>
      </c>
      <c r="M8" s="75"/>
      <c r="N8" s="75" t="s">
        <v>3</v>
      </c>
    </row>
    <row r="9" spans="1:14" ht="16.5" customHeight="1" x14ac:dyDescent="0.45">
      <c r="A9" s="75" t="s">
        <v>4</v>
      </c>
      <c r="B9" s="20"/>
      <c r="C9" s="20">
        <v>25927.599999999999</v>
      </c>
      <c r="D9" s="20">
        <v>25927.599999999999</v>
      </c>
      <c r="E9" s="75" t="s">
        <v>72</v>
      </c>
      <c r="F9" s="20">
        <f>F8+B18</f>
        <v>39375</v>
      </c>
      <c r="G9" s="20">
        <f t="shared" si="0"/>
        <v>86369.94</v>
      </c>
      <c r="H9" s="20">
        <f t="shared" si="1"/>
        <v>46994.94</v>
      </c>
      <c r="I9" s="134" t="str">
        <f t="shared" si="2"/>
        <v>☻</v>
      </c>
      <c r="J9" s="20">
        <f t="shared" si="3"/>
        <v>86369.94</v>
      </c>
      <c r="K9" s="20">
        <f t="shared" si="4"/>
        <v>46994.94</v>
      </c>
      <c r="L9" s="134" t="str">
        <f t="shared" si="5"/>
        <v>☻</v>
      </c>
      <c r="M9" s="75"/>
      <c r="N9" s="75" t="s">
        <v>4</v>
      </c>
    </row>
    <row r="10" spans="1:14" ht="16.5" customHeight="1" x14ac:dyDescent="0.45">
      <c r="A10" s="15" t="s">
        <v>5</v>
      </c>
      <c r="B10" s="20"/>
      <c r="C10" s="21"/>
      <c r="D10" s="21"/>
      <c r="E10" s="15" t="s">
        <v>73</v>
      </c>
      <c r="F10" s="22">
        <f>F9+B18</f>
        <v>45000</v>
      </c>
      <c r="G10" s="23">
        <f t="shared" si="0"/>
        <v>86369.94</v>
      </c>
      <c r="H10" s="22">
        <f t="shared" si="1"/>
        <v>41369.94</v>
      </c>
      <c r="I10" s="57" t="str">
        <f t="shared" si="2"/>
        <v>☻</v>
      </c>
      <c r="J10" s="23">
        <f t="shared" si="3"/>
        <v>86369.94</v>
      </c>
      <c r="K10" s="22">
        <f t="shared" si="4"/>
        <v>41369.94</v>
      </c>
      <c r="L10" s="57" t="str">
        <f t="shared" si="5"/>
        <v>☻</v>
      </c>
      <c r="M10" s="15"/>
      <c r="N10" s="15" t="s">
        <v>5</v>
      </c>
    </row>
    <row r="11" spans="1:14" ht="16.5" customHeight="1" x14ac:dyDescent="0.45">
      <c r="A11" s="15" t="s">
        <v>6</v>
      </c>
      <c r="B11" s="20"/>
      <c r="C11" s="21"/>
      <c r="D11" s="21"/>
      <c r="E11" s="15" t="s">
        <v>74</v>
      </c>
      <c r="F11" s="22">
        <f>F10+B18</f>
        <v>50625</v>
      </c>
      <c r="G11" s="23">
        <f t="shared" si="0"/>
        <v>86369.94</v>
      </c>
      <c r="H11" s="22">
        <f t="shared" si="1"/>
        <v>35744.94</v>
      </c>
      <c r="I11" s="57" t="str">
        <f t="shared" si="2"/>
        <v>☻</v>
      </c>
      <c r="J11" s="23">
        <f t="shared" si="3"/>
        <v>86369.94</v>
      </c>
      <c r="K11" s="22">
        <f t="shared" si="4"/>
        <v>35744.94</v>
      </c>
      <c r="L11" s="57" t="str">
        <f t="shared" si="5"/>
        <v>☻</v>
      </c>
      <c r="M11" s="15"/>
      <c r="N11" s="15" t="s">
        <v>6</v>
      </c>
    </row>
    <row r="12" spans="1:14" ht="16.5" customHeight="1" x14ac:dyDescent="0.45">
      <c r="A12" s="15" t="s">
        <v>7</v>
      </c>
      <c r="B12" s="20"/>
      <c r="C12" s="21"/>
      <c r="D12" s="21"/>
      <c r="E12" s="15" t="s">
        <v>75</v>
      </c>
      <c r="F12" s="22">
        <f>F11+B18</f>
        <v>56250</v>
      </c>
      <c r="G12" s="23">
        <f t="shared" si="0"/>
        <v>86369.94</v>
      </c>
      <c r="H12" s="22">
        <f t="shared" si="1"/>
        <v>30119.940000000002</v>
      </c>
      <c r="I12" s="57" t="str">
        <f t="shared" si="2"/>
        <v>☻</v>
      </c>
      <c r="J12" s="23">
        <f t="shared" si="3"/>
        <v>86369.94</v>
      </c>
      <c r="K12" s="22">
        <f t="shared" si="4"/>
        <v>30119.940000000002</v>
      </c>
      <c r="L12" s="57" t="str">
        <f t="shared" si="5"/>
        <v>☻</v>
      </c>
      <c r="M12" s="15"/>
      <c r="N12" s="15" t="s">
        <v>7</v>
      </c>
    </row>
    <row r="13" spans="1:14" ht="16.5" customHeight="1" x14ac:dyDescent="0.45">
      <c r="A13" s="15" t="s">
        <v>8</v>
      </c>
      <c r="B13" s="20"/>
      <c r="C13" s="21"/>
      <c r="D13" s="21"/>
      <c r="E13" s="15" t="s">
        <v>76</v>
      </c>
      <c r="F13" s="22">
        <f>F12+B18</f>
        <v>61875</v>
      </c>
      <c r="G13" s="23">
        <f t="shared" si="0"/>
        <v>86369.94</v>
      </c>
      <c r="H13" s="22">
        <f t="shared" si="1"/>
        <v>24494.940000000002</v>
      </c>
      <c r="I13" s="56" t="str">
        <f t="shared" si="2"/>
        <v>☻</v>
      </c>
      <c r="J13" s="23">
        <f t="shared" si="3"/>
        <v>86369.94</v>
      </c>
      <c r="K13" s="22">
        <f t="shared" si="4"/>
        <v>24494.940000000002</v>
      </c>
      <c r="L13" s="56" t="str">
        <f t="shared" si="5"/>
        <v>☻</v>
      </c>
      <c r="M13" s="15"/>
      <c r="N13" s="15" t="s">
        <v>8</v>
      </c>
    </row>
    <row r="14" spans="1:14" ht="16.5" customHeight="1" x14ac:dyDescent="0.45">
      <c r="A14" s="15" t="s">
        <v>9</v>
      </c>
      <c r="B14" s="20"/>
      <c r="C14" s="21"/>
      <c r="D14" s="21"/>
      <c r="E14" s="15" t="s">
        <v>77</v>
      </c>
      <c r="F14" s="22">
        <f>F13+B18</f>
        <v>67500</v>
      </c>
      <c r="G14" s="23">
        <f t="shared" si="0"/>
        <v>86369.94</v>
      </c>
      <c r="H14" s="22">
        <f t="shared" si="1"/>
        <v>18869.940000000002</v>
      </c>
      <c r="I14" s="56" t="str">
        <f t="shared" si="2"/>
        <v>☻</v>
      </c>
      <c r="J14" s="23">
        <f t="shared" si="3"/>
        <v>86369.94</v>
      </c>
      <c r="K14" s="22">
        <f t="shared" si="4"/>
        <v>18869.940000000002</v>
      </c>
      <c r="L14" s="56" t="str">
        <f t="shared" si="5"/>
        <v>☻</v>
      </c>
      <c r="M14" s="15"/>
      <c r="N14" s="15" t="s">
        <v>9</v>
      </c>
    </row>
    <row r="15" spans="1:14" ht="16.5" customHeight="1" x14ac:dyDescent="0.45">
      <c r="A15" s="50" t="s">
        <v>78</v>
      </c>
      <c r="B15" s="51">
        <f>SUM(B3:B14)</f>
        <v>0</v>
      </c>
      <c r="C15" s="52">
        <f>SUM(C3:C14)</f>
        <v>86369.94</v>
      </c>
      <c r="D15" s="52">
        <f>SUM(D3:D14)</f>
        <v>86369.94</v>
      </c>
      <c r="E15" s="24"/>
      <c r="F15" s="24"/>
      <c r="G15" s="24"/>
      <c r="H15" s="24"/>
      <c r="I15" s="58"/>
      <c r="J15" s="24"/>
      <c r="K15" s="24"/>
      <c r="L15" s="58"/>
      <c r="M15" s="17"/>
    </row>
    <row r="16" spans="1:14" ht="27" customHeight="1" x14ac:dyDescent="0.45">
      <c r="A16" s="15" t="s">
        <v>79</v>
      </c>
      <c r="B16" s="25">
        <v>67500</v>
      </c>
      <c r="C16" s="15"/>
      <c r="D16" s="15"/>
      <c r="E16" s="24"/>
      <c r="F16" s="24"/>
      <c r="G16" s="24"/>
      <c r="H16" s="24"/>
      <c r="I16" s="58"/>
      <c r="J16" s="24"/>
      <c r="K16" s="24"/>
      <c r="L16" s="58"/>
      <c r="M16" s="17"/>
    </row>
    <row r="17" spans="1:13" ht="20.25" customHeight="1" x14ac:dyDescent="0.45">
      <c r="A17" s="15" t="s">
        <v>80</v>
      </c>
      <c r="B17" s="23">
        <f>B16-B15</f>
        <v>67500</v>
      </c>
      <c r="C17" s="23">
        <f>C15-B16</f>
        <v>18869.940000000002</v>
      </c>
      <c r="D17" s="23">
        <f>D15-B16</f>
        <v>18869.940000000002</v>
      </c>
      <c r="E17" s="24"/>
      <c r="G17" s="153"/>
      <c r="H17" s="24"/>
      <c r="I17" s="58"/>
      <c r="J17" s="24"/>
      <c r="K17" s="24"/>
      <c r="L17" s="58"/>
      <c r="M17" s="17"/>
    </row>
    <row r="18" spans="1:13" ht="27" customHeight="1" x14ac:dyDescent="0.45">
      <c r="A18" s="15" t="s">
        <v>81</v>
      </c>
      <c r="B18" s="25">
        <f>B17/12</f>
        <v>5625</v>
      </c>
      <c r="C18" s="23"/>
      <c r="D18" s="23"/>
      <c r="H18" s="24"/>
      <c r="I18" s="58"/>
      <c r="J18" s="24"/>
      <c r="K18" s="24"/>
      <c r="L18" s="58"/>
      <c r="M18" s="17"/>
    </row>
    <row r="19" spans="1:13" ht="14.25" customHeight="1" x14ac:dyDescent="0.45">
      <c r="A19" s="201" t="s">
        <v>82</v>
      </c>
      <c r="B19" s="201"/>
      <c r="C19" s="201"/>
      <c r="D19" s="26"/>
      <c r="H19" s="24"/>
      <c r="I19" s="58"/>
      <c r="J19" s="24"/>
      <c r="K19" s="24"/>
      <c r="L19" s="58"/>
      <c r="M19" s="17"/>
    </row>
    <row r="20" spans="1:13" ht="14.25" customHeight="1" x14ac:dyDescent="0.45">
      <c r="A20" s="204" t="s">
        <v>83</v>
      </c>
      <c r="B20" s="204"/>
      <c r="C20" s="204"/>
      <c r="D20" s="26"/>
      <c r="E20" s="17"/>
      <c r="F20" s="17"/>
    </row>
    <row r="21" spans="1:13" ht="14.25" customHeight="1" x14ac:dyDescent="0.45">
      <c r="A21" s="203" t="s">
        <v>84</v>
      </c>
      <c r="B21" s="203"/>
      <c r="C21" s="203"/>
      <c r="E21" s="17"/>
      <c r="F21" s="17"/>
    </row>
    <row r="22" spans="1:13" ht="14.25" customHeight="1" x14ac:dyDescent="0.45">
      <c r="A22" s="202" t="s">
        <v>85</v>
      </c>
      <c r="B22" s="202"/>
      <c r="C22" s="202"/>
      <c r="D22" s="26"/>
      <c r="E22" s="17"/>
      <c r="F22" s="17"/>
    </row>
    <row r="23" spans="1:13" ht="14.25" customHeight="1" x14ac:dyDescent="0.45">
      <c r="A23" s="202" t="s">
        <v>86</v>
      </c>
      <c r="B23" s="202"/>
      <c r="D23" s="26"/>
      <c r="E23" s="17"/>
      <c r="F23" s="17"/>
    </row>
  </sheetData>
  <mergeCells count="6">
    <mergeCell ref="A23:B23"/>
    <mergeCell ref="A1:N1"/>
    <mergeCell ref="A19:C19"/>
    <mergeCell ref="A20:C20"/>
    <mergeCell ref="A21:C21"/>
    <mergeCell ref="A22:C22"/>
  </mergeCells>
  <phoneticPr fontId="13" type="noConversion"/>
  <conditionalFormatting sqref="I7:I14">
    <cfRule type="containsText" dxfId="11" priority="11" operator="containsText" text="☹">
      <formula>NOT(ISERROR(SEARCH("☹",I7)))</formula>
    </cfRule>
    <cfRule type="expression" dxfId="10" priority="12" stopIfTrue="1">
      <formula>$L$19</formula>
    </cfRule>
  </conditionalFormatting>
  <conditionalFormatting sqref="I7:I14">
    <cfRule type="containsText" dxfId="9" priority="10" operator="containsText" text="☻">
      <formula>NOT(ISERROR(SEARCH("☻",I7)))</formula>
    </cfRule>
  </conditionalFormatting>
  <conditionalFormatting sqref="I3:I6">
    <cfRule type="containsText" dxfId="8" priority="8" operator="containsText" text="☹">
      <formula>NOT(ISERROR(SEARCH("☹",I3)))</formula>
    </cfRule>
    <cfRule type="expression" dxfId="7" priority="9" stopIfTrue="1">
      <formula>$L$19</formula>
    </cfRule>
  </conditionalFormatting>
  <conditionalFormatting sqref="I3:I6">
    <cfRule type="containsText" dxfId="6" priority="7" operator="containsText" text="☻">
      <formula>NOT(ISERROR(SEARCH("☻",I3)))</formula>
    </cfRule>
  </conditionalFormatting>
  <conditionalFormatting sqref="L7:L14">
    <cfRule type="containsText" dxfId="5" priority="5" operator="containsText" text="☹">
      <formula>NOT(ISERROR(SEARCH("☹",L7)))</formula>
    </cfRule>
    <cfRule type="expression" dxfId="4" priority="6" stopIfTrue="1">
      <formula>$L$19</formula>
    </cfRule>
  </conditionalFormatting>
  <conditionalFormatting sqref="L7:L14">
    <cfRule type="containsText" dxfId="3" priority="4" operator="containsText" text="☻">
      <formula>NOT(ISERROR(SEARCH("☻",L7)))</formula>
    </cfRule>
  </conditionalFormatting>
  <conditionalFormatting sqref="L3:L6">
    <cfRule type="containsText" dxfId="2" priority="2" operator="containsText" text="☹">
      <formula>NOT(ISERROR(SEARCH("☹",L3)))</formula>
    </cfRule>
    <cfRule type="expression" dxfId="1" priority="3" stopIfTrue="1">
      <formula>$L$19</formula>
    </cfRule>
  </conditionalFormatting>
  <conditionalFormatting sqref="L3:L6">
    <cfRule type="containsText" dxfId="0" priority="1" operator="containsText" text="☻">
      <formula>NOT(ISERROR(SEARCH("☻",L3)))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9" defaultRowHeight="14" x14ac:dyDescent="0.25"/>
  <cols>
    <col min="1" max="1" width="18.90625" style="8" customWidth="1"/>
    <col min="2" max="6" width="10.90625" style="171" customWidth="1"/>
    <col min="7" max="7" width="11.54296875" style="171" customWidth="1"/>
    <col min="8" max="8" width="12" style="171" customWidth="1"/>
    <col min="9" max="9" width="12.08984375" style="171" customWidth="1"/>
    <col min="10" max="10" width="11.81640625" style="171" customWidth="1"/>
    <col min="11" max="11" width="11.453125" style="171" customWidth="1"/>
    <col min="12" max="12" width="11.36328125" style="171" customWidth="1"/>
    <col min="13" max="13" width="12.36328125" style="171" customWidth="1"/>
    <col min="14" max="14" width="12" style="171" customWidth="1"/>
    <col min="15" max="15" width="11.453125" style="171" customWidth="1"/>
    <col min="16" max="16" width="12.453125" style="171" customWidth="1"/>
    <col min="17" max="17" width="12.08984375" style="171" customWidth="1"/>
    <col min="18" max="18" width="12" style="171" customWidth="1"/>
    <col min="19" max="19" width="12.453125" style="171" customWidth="1"/>
    <col min="20" max="20" width="13" style="171" customWidth="1"/>
    <col min="21" max="51" width="11.90625" style="171" customWidth="1"/>
    <col min="52" max="54" width="11" style="171" customWidth="1"/>
    <col min="55" max="55" width="12.6328125" style="171" customWidth="1"/>
    <col min="56" max="56" width="13.36328125" style="171" customWidth="1"/>
    <col min="57" max="57" width="12.08984375" style="171" bestFit="1" customWidth="1"/>
    <col min="58" max="16384" width="9" style="8"/>
  </cols>
  <sheetData>
    <row r="1" spans="1:57" s="211" customFormat="1" x14ac:dyDescent="0.25">
      <c r="A1" s="208" t="s">
        <v>124</v>
      </c>
      <c r="B1" s="209">
        <v>43223</v>
      </c>
      <c r="C1" s="209">
        <v>43255</v>
      </c>
      <c r="D1" s="209">
        <v>43286</v>
      </c>
      <c r="E1" s="209">
        <v>43318</v>
      </c>
      <c r="F1" s="209">
        <v>43350</v>
      </c>
      <c r="G1" s="209">
        <v>43381</v>
      </c>
      <c r="H1" s="209">
        <v>43415</v>
      </c>
      <c r="I1" s="209">
        <v>43446</v>
      </c>
      <c r="J1" s="210">
        <v>43466</v>
      </c>
      <c r="K1" s="210">
        <v>43498</v>
      </c>
      <c r="L1" s="210">
        <v>43527</v>
      </c>
      <c r="M1" s="210">
        <v>43559</v>
      </c>
      <c r="N1" s="210">
        <v>43590</v>
      </c>
      <c r="O1" s="210">
        <v>43622</v>
      </c>
      <c r="P1" s="210">
        <v>43653</v>
      </c>
      <c r="Q1" s="210">
        <v>43685</v>
      </c>
      <c r="R1" s="210">
        <v>43717</v>
      </c>
      <c r="S1" s="210">
        <v>43748</v>
      </c>
      <c r="T1" s="210">
        <v>43780</v>
      </c>
      <c r="U1" s="210">
        <v>43811</v>
      </c>
      <c r="V1" s="210">
        <v>43842</v>
      </c>
      <c r="W1" s="210">
        <v>43873</v>
      </c>
      <c r="X1" s="210">
        <v>43904</v>
      </c>
      <c r="Y1" s="210">
        <v>43935</v>
      </c>
      <c r="Z1" s="210">
        <v>43966</v>
      </c>
      <c r="AA1" s="210">
        <v>43997</v>
      </c>
      <c r="AB1" s="210">
        <v>44028</v>
      </c>
      <c r="AC1" s="210">
        <v>44059</v>
      </c>
      <c r="AD1" s="210">
        <v>44090</v>
      </c>
      <c r="AE1" s="210">
        <v>44121</v>
      </c>
      <c r="AF1" s="210">
        <v>44152</v>
      </c>
      <c r="AG1" s="210">
        <v>44183</v>
      </c>
      <c r="AH1" s="210">
        <v>44214</v>
      </c>
      <c r="AI1" s="210">
        <v>44245</v>
      </c>
      <c r="AJ1" s="210">
        <v>44276</v>
      </c>
      <c r="AK1" s="210">
        <v>44307</v>
      </c>
      <c r="AL1" s="210">
        <v>44338</v>
      </c>
      <c r="AM1" s="210">
        <v>44369</v>
      </c>
      <c r="AN1" s="210">
        <v>44400</v>
      </c>
      <c r="AO1" s="210">
        <v>44431</v>
      </c>
      <c r="AP1" s="210">
        <v>44462</v>
      </c>
      <c r="AQ1" s="210">
        <v>44493</v>
      </c>
      <c r="AR1" s="210">
        <v>44524</v>
      </c>
      <c r="AS1" s="210">
        <v>44555</v>
      </c>
      <c r="AT1" s="210">
        <v>44586</v>
      </c>
      <c r="AU1" s="210">
        <v>44617</v>
      </c>
      <c r="AV1" s="210">
        <v>44648</v>
      </c>
      <c r="AW1" s="210">
        <v>44679</v>
      </c>
      <c r="AX1" s="210">
        <v>44710</v>
      </c>
      <c r="AY1" s="210">
        <v>44741</v>
      </c>
      <c r="AZ1" s="210">
        <v>44772</v>
      </c>
      <c r="BA1" s="210">
        <v>44803</v>
      </c>
      <c r="BB1" s="210">
        <v>44834</v>
      </c>
      <c r="BC1" s="210">
        <v>44865</v>
      </c>
      <c r="BD1" s="210">
        <v>44866</v>
      </c>
      <c r="BE1" s="210">
        <v>44896</v>
      </c>
    </row>
    <row r="2" spans="1:57" x14ac:dyDescent="0.25">
      <c r="A2" s="165" t="s">
        <v>123</v>
      </c>
      <c r="B2" s="167"/>
      <c r="C2" s="167">
        <v>8239.9163793103471</v>
      </c>
      <c r="D2" s="167">
        <v>10194.361034482758</v>
      </c>
      <c r="E2" s="167">
        <v>22397.206034482762</v>
      </c>
      <c r="F2" s="167">
        <v>-84162.667629310294</v>
      </c>
      <c r="G2" s="167">
        <v>184213.31853448274</v>
      </c>
      <c r="H2" s="167">
        <v>267599.90103448275</v>
      </c>
      <c r="I2" s="167">
        <v>329227.1988793104</v>
      </c>
      <c r="J2" s="167">
        <v>-54334.359503448271</v>
      </c>
      <c r="K2" s="167">
        <v>-70059.393103448267</v>
      </c>
      <c r="L2" s="167">
        <v>85926.761136551737</v>
      </c>
      <c r="M2" s="167">
        <v>89744.126896551723</v>
      </c>
      <c r="N2" s="167">
        <v>77091.406896551722</v>
      </c>
      <c r="O2" s="167">
        <v>12007.150528735638</v>
      </c>
      <c r="P2" s="167">
        <v>8621.9988965517223</v>
      </c>
      <c r="Q2" s="167">
        <v>18305.294896551728</v>
      </c>
      <c r="R2" s="167">
        <v>61344.246528735632</v>
      </c>
      <c r="S2" s="167">
        <v>181824.7348965517</v>
      </c>
      <c r="T2" s="167">
        <v>260289.07089655174</v>
      </c>
      <c r="U2" s="167">
        <v>304451.31652873568</v>
      </c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</row>
    <row r="3" spans="1:57" x14ac:dyDescent="0.25">
      <c r="A3" s="165" t="s">
        <v>122</v>
      </c>
      <c r="B3" s="167"/>
      <c r="C3" s="167">
        <v>72.680000000000007</v>
      </c>
      <c r="D3" s="167">
        <v>72.680000000000007</v>
      </c>
      <c r="E3" s="167">
        <v>72.680000000000007</v>
      </c>
      <c r="F3" s="167">
        <v>72.680000000000007</v>
      </c>
      <c r="G3" s="167">
        <v>72.680000000000007</v>
      </c>
      <c r="H3" s="167">
        <v>72.680000000000007</v>
      </c>
      <c r="I3" s="167">
        <v>72.680000000000007</v>
      </c>
      <c r="J3" s="167">
        <v>72.680000000000007</v>
      </c>
      <c r="K3" s="167">
        <v>72.680000000000007</v>
      </c>
      <c r="L3" s="167">
        <v>72.680000000000007</v>
      </c>
      <c r="M3" s="167">
        <v>72.680000000000007</v>
      </c>
      <c r="N3" s="167">
        <v>72.680000000000007</v>
      </c>
      <c r="O3" s="167">
        <v>72.680000000000007</v>
      </c>
      <c r="P3" s="167">
        <v>72.680000000000007</v>
      </c>
      <c r="Q3" s="167">
        <v>72.680000000000007</v>
      </c>
      <c r="R3" s="167">
        <v>72.680000000000007</v>
      </c>
      <c r="S3" s="167">
        <v>72.680000000000007</v>
      </c>
      <c r="T3" s="167">
        <v>72.680000000000007</v>
      </c>
      <c r="U3" s="167">
        <v>72.680000000000007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</row>
    <row r="4" spans="1:57" x14ac:dyDescent="0.25">
      <c r="A4" s="165" t="s">
        <v>121</v>
      </c>
      <c r="B4" s="168"/>
      <c r="C4" s="168">
        <v>-12531.9021416667</v>
      </c>
      <c r="D4" s="168">
        <v>-12531.9021416667</v>
      </c>
      <c r="E4" s="168">
        <v>-12531.9021416667</v>
      </c>
      <c r="F4" s="168">
        <v>-12531.9021416667</v>
      </c>
      <c r="G4" s="168">
        <v>-12531.9021416667</v>
      </c>
      <c r="H4" s="168">
        <v>-12531.9021416667</v>
      </c>
      <c r="I4" s="168">
        <v>-12531.9021416667</v>
      </c>
      <c r="J4" s="168">
        <v>-30267.795497054594</v>
      </c>
      <c r="K4" s="168">
        <v>-30267.795497054594</v>
      </c>
      <c r="L4" s="168">
        <v>-30267.795497054594</v>
      </c>
      <c r="M4" s="168">
        <v>-30267.795497054594</v>
      </c>
      <c r="N4" s="168">
        <v>-30267.795497054594</v>
      </c>
      <c r="O4" s="168">
        <v>-30267.795497054594</v>
      </c>
      <c r="P4" s="168">
        <v>-30267.795497054594</v>
      </c>
      <c r="Q4" s="168">
        <v>-30267.795497054594</v>
      </c>
      <c r="R4" s="168">
        <v>-30267.795497054594</v>
      </c>
      <c r="S4" s="168">
        <v>-30267.795497054594</v>
      </c>
      <c r="T4" s="168">
        <v>-30267.795497054594</v>
      </c>
      <c r="U4" s="169">
        <v>-30267.795497054594</v>
      </c>
      <c r="V4" s="174">
        <v>-40633.848145632182</v>
      </c>
      <c r="W4" s="174">
        <v>-40633.848145632182</v>
      </c>
      <c r="X4" s="174">
        <v>-40633.848145632182</v>
      </c>
      <c r="Y4" s="174">
        <v>-40633.848145632182</v>
      </c>
      <c r="Z4" s="174">
        <v>-40633.848145632182</v>
      </c>
      <c r="AA4" s="174">
        <v>-40633.848145632182</v>
      </c>
      <c r="AB4" s="174">
        <v>-40633.848145632182</v>
      </c>
      <c r="AC4" s="174">
        <v>-40633.848145632182</v>
      </c>
      <c r="AD4" s="174">
        <v>-40633.848145632182</v>
      </c>
      <c r="AE4" s="174">
        <v>-40633.848145632182</v>
      </c>
      <c r="AF4" s="174">
        <v>-40633.848145632182</v>
      </c>
      <c r="AG4" s="174">
        <v>-40633.848145632182</v>
      </c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</row>
    <row r="5" spans="1:57" x14ac:dyDescent="0.25">
      <c r="A5" s="165" t="s">
        <v>120</v>
      </c>
      <c r="B5" s="167"/>
      <c r="C5" s="167"/>
      <c r="D5" s="167"/>
      <c r="E5" s="167"/>
      <c r="F5" s="167"/>
      <c r="G5" s="167"/>
      <c r="H5" s="167"/>
      <c r="I5" s="167"/>
      <c r="J5" s="167">
        <v>-7264.2709192931025</v>
      </c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74">
        <v>9752.1235549517241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</row>
    <row r="6" spans="1:57" s="172" customFormat="1" x14ac:dyDescent="0.25">
      <c r="A6" s="165" t="s">
        <v>294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</row>
    <row r="7" spans="1:57" x14ac:dyDescent="0.25">
      <c r="A7" s="165" t="s">
        <v>119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</row>
    <row r="8" spans="1:57" x14ac:dyDescent="0.25">
      <c r="A8" s="165" t="s">
        <v>118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</row>
    <row r="9" spans="1:57" x14ac:dyDescent="0.25">
      <c r="A9" s="165" t="s">
        <v>117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</row>
    <row r="10" spans="1:57" x14ac:dyDescent="0.25">
      <c r="A10" s="165" t="s">
        <v>116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</row>
    <row r="11" spans="1:57" x14ac:dyDescent="0.25">
      <c r="A11" s="165" t="s">
        <v>115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</row>
    <row r="12" spans="1:57" x14ac:dyDescent="0.25">
      <c r="A12" s="165" t="s">
        <v>114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</row>
    <row r="13" spans="1:57" x14ac:dyDescent="0.25">
      <c r="A13" s="165" t="s">
        <v>113</v>
      </c>
      <c r="B13" s="167"/>
      <c r="C13" s="167"/>
      <c r="D13" s="167"/>
      <c r="E13" s="167"/>
      <c r="F13" s="167"/>
      <c r="G13" s="167"/>
      <c r="H13" s="167"/>
      <c r="I13" s="167">
        <v>-300000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</row>
    <row r="14" spans="1:57" x14ac:dyDescent="0.25">
      <c r="A14" s="165" t="s">
        <v>112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</row>
    <row r="15" spans="1:57" x14ac:dyDescent="0.25">
      <c r="A15" s="165" t="s">
        <v>111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</row>
    <row r="16" spans="1:57" x14ac:dyDescent="0.25">
      <c r="A16" s="165" t="s">
        <v>110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</row>
    <row r="17" spans="1:57" x14ac:dyDescent="0.25">
      <c r="A17" s="170" t="s">
        <v>291</v>
      </c>
      <c r="B17" s="167"/>
      <c r="C17" s="167">
        <f>SUM(C2:C16)</f>
        <v>-4219.3057623563527</v>
      </c>
      <c r="D17" s="167">
        <f t="shared" ref="D17:BE17" si="0">SUM(D2:D16)</f>
        <v>-2264.8611071839423</v>
      </c>
      <c r="E17" s="167">
        <f t="shared" si="0"/>
        <v>9937.9838928160625</v>
      </c>
      <c r="F17" s="167">
        <f t="shared" si="0"/>
        <v>-96621.889770976995</v>
      </c>
      <c r="G17" s="167">
        <f>SUM(G2:G16)</f>
        <v>171754.09639281602</v>
      </c>
      <c r="H17" s="167">
        <f t="shared" si="0"/>
        <v>255140.67889281604</v>
      </c>
      <c r="I17" s="167">
        <f t="shared" si="0"/>
        <v>16767.976737643708</v>
      </c>
      <c r="J17" s="167">
        <f t="shared" si="0"/>
        <v>-91793.745919795969</v>
      </c>
      <c r="K17" s="167">
        <f t="shared" si="0"/>
        <v>-100254.50860050287</v>
      </c>
      <c r="L17" s="167">
        <f t="shared" si="0"/>
        <v>55731.645639497132</v>
      </c>
      <c r="M17" s="167">
        <f t="shared" si="0"/>
        <v>59549.011399497118</v>
      </c>
      <c r="N17" s="167">
        <f t="shared" si="0"/>
        <v>46896.291399497117</v>
      </c>
      <c r="O17" s="167">
        <f t="shared" si="0"/>
        <v>-18187.964968318956</v>
      </c>
      <c r="P17" s="167">
        <f t="shared" si="0"/>
        <v>-21573.116600502872</v>
      </c>
      <c r="Q17" s="167">
        <f t="shared" si="0"/>
        <v>-11889.820600502866</v>
      </c>
      <c r="R17" s="167">
        <f t="shared" si="0"/>
        <v>31149.131031681038</v>
      </c>
      <c r="S17" s="167">
        <f t="shared" si="0"/>
        <v>151629.61939949711</v>
      </c>
      <c r="T17" s="167">
        <f t="shared" si="0"/>
        <v>230093.95539949715</v>
      </c>
      <c r="U17" s="167">
        <f t="shared" si="0"/>
        <v>274256.20103168109</v>
      </c>
      <c r="V17" s="167">
        <f>SUM(V2:V16)</f>
        <v>-30881.72459068046</v>
      </c>
      <c r="W17" s="167">
        <f t="shared" si="0"/>
        <v>-40633.848145632182</v>
      </c>
      <c r="X17" s="167">
        <f t="shared" si="0"/>
        <v>-40633.848145632182</v>
      </c>
      <c r="Y17" s="167">
        <f t="shared" si="0"/>
        <v>-40633.848145632182</v>
      </c>
      <c r="Z17" s="167">
        <f t="shared" si="0"/>
        <v>-40633.848145632182</v>
      </c>
      <c r="AA17" s="167">
        <f t="shared" si="0"/>
        <v>-40633.848145632182</v>
      </c>
      <c r="AB17" s="167">
        <f t="shared" si="0"/>
        <v>-40633.848145632182</v>
      </c>
      <c r="AC17" s="167">
        <f t="shared" si="0"/>
        <v>-40633.848145632182</v>
      </c>
      <c r="AD17" s="167">
        <f t="shared" si="0"/>
        <v>-40633.848145632182</v>
      </c>
      <c r="AE17" s="167">
        <f t="shared" si="0"/>
        <v>-40633.848145632182</v>
      </c>
      <c r="AF17" s="167">
        <f t="shared" si="0"/>
        <v>-40633.848145632182</v>
      </c>
      <c r="AG17" s="167">
        <f t="shared" si="0"/>
        <v>-40633.848145632182</v>
      </c>
      <c r="AH17" s="167">
        <f t="shared" si="0"/>
        <v>0</v>
      </c>
      <c r="AI17" s="167">
        <f t="shared" si="0"/>
        <v>0</v>
      </c>
      <c r="AJ17" s="167">
        <f t="shared" si="0"/>
        <v>0</v>
      </c>
      <c r="AK17" s="167">
        <f t="shared" si="0"/>
        <v>0</v>
      </c>
      <c r="AL17" s="167">
        <f t="shared" si="0"/>
        <v>0</v>
      </c>
      <c r="AM17" s="167">
        <f t="shared" si="0"/>
        <v>0</v>
      </c>
      <c r="AN17" s="167">
        <f t="shared" si="0"/>
        <v>0</v>
      </c>
      <c r="AO17" s="167">
        <f t="shared" si="0"/>
        <v>0</v>
      </c>
      <c r="AP17" s="167">
        <f t="shared" si="0"/>
        <v>0</v>
      </c>
      <c r="AQ17" s="167">
        <f t="shared" si="0"/>
        <v>0</v>
      </c>
      <c r="AR17" s="167">
        <f t="shared" si="0"/>
        <v>0</v>
      </c>
      <c r="AS17" s="167">
        <f t="shared" si="0"/>
        <v>0</v>
      </c>
      <c r="AT17" s="167">
        <f t="shared" si="0"/>
        <v>0</v>
      </c>
      <c r="AU17" s="167">
        <f t="shared" si="0"/>
        <v>0</v>
      </c>
      <c r="AV17" s="167">
        <f t="shared" si="0"/>
        <v>0</v>
      </c>
      <c r="AW17" s="167">
        <f t="shared" si="0"/>
        <v>0</v>
      </c>
      <c r="AX17" s="167">
        <f t="shared" si="0"/>
        <v>0</v>
      </c>
      <c r="AY17" s="167">
        <f t="shared" si="0"/>
        <v>0</v>
      </c>
      <c r="AZ17" s="167">
        <f t="shared" si="0"/>
        <v>0</v>
      </c>
      <c r="BA17" s="167">
        <f t="shared" si="0"/>
        <v>0</v>
      </c>
      <c r="BB17" s="167">
        <f t="shared" si="0"/>
        <v>0</v>
      </c>
      <c r="BC17" s="167">
        <f t="shared" si="0"/>
        <v>0</v>
      </c>
      <c r="BD17" s="167">
        <f t="shared" si="0"/>
        <v>0</v>
      </c>
      <c r="BE17" s="167">
        <f t="shared" si="0"/>
        <v>0</v>
      </c>
    </row>
    <row r="18" spans="1:57" x14ac:dyDescent="0.25">
      <c r="A18" s="178" t="s">
        <v>290</v>
      </c>
      <c r="B18" s="167">
        <v>198417.67557126423</v>
      </c>
      <c r="C18" s="167">
        <f t="shared" ref="C18:U18" si="1">B18+C17</f>
        <v>194198.36980890788</v>
      </c>
      <c r="D18" s="167">
        <f t="shared" si="1"/>
        <v>191933.50870172394</v>
      </c>
      <c r="E18" s="167">
        <f t="shared" si="1"/>
        <v>201871.49259454</v>
      </c>
      <c r="F18" s="167">
        <f t="shared" si="1"/>
        <v>105249.60282356301</v>
      </c>
      <c r="G18" s="167">
        <f t="shared" si="1"/>
        <v>277003.69921637903</v>
      </c>
      <c r="H18" s="167">
        <f t="shared" si="1"/>
        <v>532144.37810919504</v>
      </c>
      <c r="I18" s="167">
        <f t="shared" si="1"/>
        <v>548912.35484683875</v>
      </c>
      <c r="J18" s="167">
        <f t="shared" si="1"/>
        <v>457118.60892704281</v>
      </c>
      <c r="K18" s="167">
        <f t="shared" si="1"/>
        <v>356864.10032653995</v>
      </c>
      <c r="L18" s="167">
        <f t="shared" si="1"/>
        <v>412595.7459660371</v>
      </c>
      <c r="M18" s="167">
        <f t="shared" si="1"/>
        <v>472144.7573655342</v>
      </c>
      <c r="N18" s="167">
        <f t="shared" si="1"/>
        <v>519041.04876503133</v>
      </c>
      <c r="O18" s="167">
        <f t="shared" si="1"/>
        <v>500853.0837967124</v>
      </c>
      <c r="P18" s="167">
        <f t="shared" si="1"/>
        <v>479279.96719620953</v>
      </c>
      <c r="Q18" s="167">
        <f t="shared" si="1"/>
        <v>467390.14659570664</v>
      </c>
      <c r="R18" s="167">
        <f t="shared" si="1"/>
        <v>498539.27762738767</v>
      </c>
      <c r="S18" s="167">
        <f t="shared" si="1"/>
        <v>650168.89702688484</v>
      </c>
      <c r="T18" s="167">
        <f t="shared" si="1"/>
        <v>880262.85242638201</v>
      </c>
      <c r="U18" s="167">
        <f t="shared" si="1"/>
        <v>1154519.0534580632</v>
      </c>
      <c r="V18" s="167">
        <f t="shared" ref="V18" si="2">U18+V17</f>
        <v>1123637.3288673826</v>
      </c>
      <c r="W18" s="167">
        <f t="shared" ref="W18" si="3">V18+W17</f>
        <v>1083003.4807217505</v>
      </c>
      <c r="X18" s="167">
        <f t="shared" ref="X18" si="4">W18+X17</f>
        <v>1042369.6325761183</v>
      </c>
      <c r="Y18" s="167">
        <f t="shared" ref="Y18" si="5">X18+Y17</f>
        <v>1001735.7844304862</v>
      </c>
      <c r="Z18" s="167">
        <f t="shared" ref="Z18" si="6">Y18+Z17</f>
        <v>961101.93628485396</v>
      </c>
      <c r="AA18" s="167">
        <f t="shared" ref="AA18" si="7">Z18+AA17</f>
        <v>920468.08813922177</v>
      </c>
      <c r="AB18" s="167">
        <f t="shared" ref="AB18" si="8">AA18+AB17</f>
        <v>879834.23999358958</v>
      </c>
      <c r="AC18" s="167">
        <f t="shared" ref="AC18" si="9">AB18+AC17</f>
        <v>839200.39184795739</v>
      </c>
      <c r="AD18" s="167">
        <f t="shared" ref="AD18" si="10">AC18+AD17</f>
        <v>798566.5437023252</v>
      </c>
      <c r="AE18" s="167">
        <f t="shared" ref="AE18" si="11">AD18+AE17</f>
        <v>757932.69555669301</v>
      </c>
      <c r="AF18" s="167">
        <f t="shared" ref="AF18" si="12">AE18+AF17</f>
        <v>717298.84741106082</v>
      </c>
      <c r="AG18" s="167">
        <f t="shared" ref="AG18" si="13">AF18+AG17</f>
        <v>676664.99926542863</v>
      </c>
      <c r="AH18" s="167">
        <f t="shared" ref="AH18" si="14">AG18+AH17</f>
        <v>676664.99926542863</v>
      </c>
      <c r="AI18" s="167">
        <f t="shared" ref="AI18" si="15">AH18+AI17</f>
        <v>676664.99926542863</v>
      </c>
      <c r="AJ18" s="167">
        <f t="shared" ref="AJ18" si="16">AI18+AJ17</f>
        <v>676664.99926542863</v>
      </c>
      <c r="AK18" s="167">
        <f t="shared" ref="AK18" si="17">AJ18+AK17</f>
        <v>676664.99926542863</v>
      </c>
      <c r="AL18" s="167">
        <f t="shared" ref="AL18" si="18">AK18+AL17</f>
        <v>676664.99926542863</v>
      </c>
      <c r="AM18" s="167">
        <f t="shared" ref="AM18" si="19">AL18+AM17</f>
        <v>676664.99926542863</v>
      </c>
      <c r="AN18" s="167">
        <f t="shared" ref="AN18" si="20">AM18+AN17</f>
        <v>676664.99926542863</v>
      </c>
      <c r="AO18" s="167">
        <f t="shared" ref="AO18" si="21">AN18+AO17</f>
        <v>676664.99926542863</v>
      </c>
      <c r="AP18" s="167">
        <f t="shared" ref="AP18" si="22">AO18+AP17</f>
        <v>676664.99926542863</v>
      </c>
      <c r="AQ18" s="167">
        <f t="shared" ref="AQ18" si="23">AP18+AQ17</f>
        <v>676664.99926542863</v>
      </c>
      <c r="AR18" s="167">
        <f t="shared" ref="AR18" si="24">AQ18+AR17</f>
        <v>676664.99926542863</v>
      </c>
      <c r="AS18" s="167">
        <f t="shared" ref="AS18" si="25">AR18+AS17</f>
        <v>676664.99926542863</v>
      </c>
      <c r="AT18" s="167">
        <f t="shared" ref="AT18" si="26">AS18+AT17</f>
        <v>676664.99926542863</v>
      </c>
      <c r="AU18" s="167">
        <f t="shared" ref="AU18" si="27">AT18+AU17</f>
        <v>676664.99926542863</v>
      </c>
      <c r="AV18" s="167">
        <f t="shared" ref="AV18" si="28">AU18+AV17</f>
        <v>676664.99926542863</v>
      </c>
      <c r="AW18" s="167">
        <f t="shared" ref="AW18" si="29">AV18+AW17</f>
        <v>676664.99926542863</v>
      </c>
      <c r="AX18" s="167">
        <f t="shared" ref="AX18" si="30">AW18+AX17</f>
        <v>676664.99926542863</v>
      </c>
      <c r="AY18" s="167">
        <f t="shared" ref="AY18" si="31">AX18+AY17</f>
        <v>676664.99926542863</v>
      </c>
      <c r="AZ18" s="167">
        <f t="shared" ref="AZ18" si="32">AY18+AZ17</f>
        <v>676664.99926542863</v>
      </c>
      <c r="BA18" s="167">
        <f t="shared" ref="BA18" si="33">AZ18+BA17</f>
        <v>676664.99926542863</v>
      </c>
      <c r="BB18" s="167">
        <f t="shared" ref="BB18" si="34">BA18+BB17</f>
        <v>676664.99926542863</v>
      </c>
      <c r="BC18" s="167">
        <f t="shared" ref="BC18" si="35">BB18+BC17</f>
        <v>676664.99926542863</v>
      </c>
      <c r="BD18" s="167">
        <f t="shared" ref="BD18" si="36">BC18+BD17</f>
        <v>676664.99926542863</v>
      </c>
      <c r="BE18" s="167">
        <f t="shared" ref="BE18" si="37">BD18+BE17</f>
        <v>676664.99926542863</v>
      </c>
    </row>
    <row r="19" spans="1:57" s="172" customFormat="1" x14ac:dyDescent="0.25">
      <c r="A19" s="173" t="s">
        <v>292</v>
      </c>
      <c r="B19" s="177"/>
      <c r="C19" s="177">
        <v>35498</v>
      </c>
      <c r="D19" s="177">
        <v>35498</v>
      </c>
      <c r="E19" s="177">
        <v>35498</v>
      </c>
      <c r="F19" s="177">
        <v>35498</v>
      </c>
      <c r="G19" s="177">
        <v>35498</v>
      </c>
      <c r="H19" s="177">
        <v>35498</v>
      </c>
      <c r="I19" s="177">
        <v>35498</v>
      </c>
      <c r="J19" s="177">
        <v>35498</v>
      </c>
      <c r="K19" s="177">
        <v>35498</v>
      </c>
      <c r="L19" s="177">
        <v>35498</v>
      </c>
      <c r="M19" s="177">
        <v>35498</v>
      </c>
      <c r="N19" s="177">
        <v>35498</v>
      </c>
      <c r="O19" s="177">
        <v>35498</v>
      </c>
      <c r="P19" s="177">
        <v>35498</v>
      </c>
      <c r="Q19" s="177">
        <v>35498</v>
      </c>
      <c r="R19" s="177">
        <v>35498</v>
      </c>
      <c r="S19" s="177">
        <v>35498</v>
      </c>
      <c r="T19" s="177">
        <v>35498</v>
      </c>
      <c r="U19" s="177">
        <v>35498</v>
      </c>
      <c r="V19" s="177">
        <v>35498</v>
      </c>
      <c r="W19" s="177">
        <v>35498</v>
      </c>
      <c r="X19" s="177">
        <v>35498</v>
      </c>
      <c r="Y19" s="177">
        <v>35498</v>
      </c>
      <c r="Z19" s="177">
        <v>35498</v>
      </c>
      <c r="AA19" s="177">
        <v>35498</v>
      </c>
      <c r="AB19" s="177">
        <v>35498</v>
      </c>
      <c r="AC19" s="177">
        <v>35498</v>
      </c>
      <c r="AD19" s="177">
        <v>35498</v>
      </c>
      <c r="AE19" s="177">
        <v>35498</v>
      </c>
      <c r="AF19" s="177">
        <v>35498</v>
      </c>
      <c r="AG19" s="177">
        <v>35498</v>
      </c>
      <c r="AH19" s="177">
        <v>35498</v>
      </c>
      <c r="AI19" s="177">
        <v>35498</v>
      </c>
      <c r="AJ19" s="177">
        <v>35498</v>
      </c>
      <c r="AK19" s="177">
        <v>35498</v>
      </c>
      <c r="AL19" s="177">
        <v>35498</v>
      </c>
      <c r="AM19" s="177">
        <v>35498</v>
      </c>
      <c r="AN19" s="177">
        <v>35498</v>
      </c>
      <c r="AO19" s="177">
        <v>35498</v>
      </c>
      <c r="AP19" s="177">
        <v>35498</v>
      </c>
      <c r="AQ19" s="177">
        <v>35498</v>
      </c>
      <c r="AR19" s="177">
        <v>35498</v>
      </c>
      <c r="AS19" s="177">
        <v>35498</v>
      </c>
      <c r="AT19" s="177">
        <v>35498</v>
      </c>
      <c r="AU19" s="177">
        <v>35498</v>
      </c>
      <c r="AV19" s="177">
        <v>35498</v>
      </c>
      <c r="AW19" s="177">
        <v>35498</v>
      </c>
      <c r="AX19" s="177">
        <v>35498</v>
      </c>
      <c r="AY19" s="177">
        <v>35498</v>
      </c>
      <c r="AZ19" s="177">
        <v>35498</v>
      </c>
      <c r="BA19" s="177">
        <v>35498</v>
      </c>
      <c r="BB19" s="177">
        <v>35498</v>
      </c>
      <c r="BC19" s="177">
        <v>35498</v>
      </c>
      <c r="BD19" s="177">
        <v>35498</v>
      </c>
      <c r="BE19" s="177">
        <v>35498</v>
      </c>
    </row>
    <row r="20" spans="1:57" ht="17.5" x14ac:dyDescent="0.25">
      <c r="A20" s="176" t="s">
        <v>293</v>
      </c>
      <c r="B20" s="175"/>
      <c r="C20" s="175">
        <f>C18/C19</f>
        <v>5.4706848219310347</v>
      </c>
      <c r="D20" s="175">
        <f t="shared" ref="D20" si="38">D18/D19</f>
        <v>5.4068823229963359</v>
      </c>
      <c r="E20" s="175">
        <f>E18/E19</f>
        <v>5.6868413035816099</v>
      </c>
      <c r="F20" s="179">
        <f t="shared" ref="F20:BE20" si="39">F18/F19</f>
        <v>2.9649445834571808</v>
      </c>
      <c r="G20" s="175">
        <f t="shared" si="39"/>
        <v>7.803360730643389</v>
      </c>
      <c r="H20" s="175">
        <f t="shared" si="39"/>
        <v>14.990827035584964</v>
      </c>
      <c r="I20" s="175">
        <f t="shared" si="39"/>
        <v>15.463191020531825</v>
      </c>
      <c r="J20" s="175">
        <f t="shared" si="39"/>
        <v>12.877306015185161</v>
      </c>
      <c r="K20" s="175">
        <f t="shared" si="39"/>
        <v>10.053076238845568</v>
      </c>
      <c r="L20" s="175">
        <f t="shared" si="39"/>
        <v>11.623070200181337</v>
      </c>
      <c r="M20" s="175">
        <f t="shared" si="39"/>
        <v>13.300601649826305</v>
      </c>
      <c r="N20" s="175">
        <f t="shared" si="39"/>
        <v>14.621698370754164</v>
      </c>
      <c r="O20" s="175">
        <f t="shared" si="39"/>
        <v>14.109332463708164</v>
      </c>
      <c r="P20" s="175">
        <f t="shared" si="39"/>
        <v>13.501604800163658</v>
      </c>
      <c r="Q20" s="175">
        <f t="shared" si="39"/>
        <v>13.166661406155463</v>
      </c>
      <c r="R20" s="175">
        <f t="shared" si="39"/>
        <v>14.044151152949114</v>
      </c>
      <c r="S20" s="175">
        <f t="shared" si="39"/>
        <v>18.315648685190286</v>
      </c>
      <c r="T20" s="175">
        <f t="shared" si="39"/>
        <v>24.797533732221027</v>
      </c>
      <c r="U20" s="175">
        <f t="shared" si="39"/>
        <v>32.523495787313742</v>
      </c>
      <c r="V20" s="175">
        <f t="shared" si="39"/>
        <v>31.653539040717298</v>
      </c>
      <c r="W20" s="175">
        <f t="shared" si="39"/>
        <v>30.508859110985142</v>
      </c>
      <c r="X20" s="175">
        <f t="shared" si="39"/>
        <v>29.364179181252982</v>
      </c>
      <c r="Y20" s="175">
        <f t="shared" si="39"/>
        <v>28.219499251520823</v>
      </c>
      <c r="Z20" s="175">
        <f t="shared" si="39"/>
        <v>27.074819321788663</v>
      </c>
      <c r="AA20" s="175">
        <f t="shared" si="39"/>
        <v>25.930139392056503</v>
      </c>
      <c r="AB20" s="175">
        <f t="shared" si="39"/>
        <v>24.785459462324344</v>
      </c>
      <c r="AC20" s="175">
        <f t="shared" si="39"/>
        <v>23.640779532592184</v>
      </c>
      <c r="AD20" s="175">
        <f t="shared" si="39"/>
        <v>22.496099602860024</v>
      </c>
      <c r="AE20" s="175">
        <f t="shared" si="39"/>
        <v>21.351419673127868</v>
      </c>
      <c r="AF20" s="175">
        <f t="shared" si="39"/>
        <v>20.206739743395708</v>
      </c>
      <c r="AG20" s="175">
        <f t="shared" si="39"/>
        <v>19.062059813663549</v>
      </c>
      <c r="AH20" s="175">
        <f t="shared" si="39"/>
        <v>19.062059813663549</v>
      </c>
      <c r="AI20" s="175">
        <f t="shared" si="39"/>
        <v>19.062059813663549</v>
      </c>
      <c r="AJ20" s="175">
        <f t="shared" si="39"/>
        <v>19.062059813663549</v>
      </c>
      <c r="AK20" s="175">
        <f t="shared" si="39"/>
        <v>19.062059813663549</v>
      </c>
      <c r="AL20" s="175">
        <f t="shared" si="39"/>
        <v>19.062059813663549</v>
      </c>
      <c r="AM20" s="175">
        <f t="shared" si="39"/>
        <v>19.062059813663549</v>
      </c>
      <c r="AN20" s="175">
        <f t="shared" si="39"/>
        <v>19.062059813663549</v>
      </c>
      <c r="AO20" s="175">
        <f t="shared" si="39"/>
        <v>19.062059813663549</v>
      </c>
      <c r="AP20" s="175">
        <f t="shared" si="39"/>
        <v>19.062059813663549</v>
      </c>
      <c r="AQ20" s="175">
        <f t="shared" si="39"/>
        <v>19.062059813663549</v>
      </c>
      <c r="AR20" s="175">
        <f t="shared" si="39"/>
        <v>19.062059813663549</v>
      </c>
      <c r="AS20" s="175">
        <f t="shared" si="39"/>
        <v>19.062059813663549</v>
      </c>
      <c r="AT20" s="175">
        <f t="shared" si="39"/>
        <v>19.062059813663549</v>
      </c>
      <c r="AU20" s="175">
        <f t="shared" si="39"/>
        <v>19.062059813663549</v>
      </c>
      <c r="AV20" s="175">
        <f t="shared" si="39"/>
        <v>19.062059813663549</v>
      </c>
      <c r="AW20" s="175">
        <f t="shared" si="39"/>
        <v>19.062059813663549</v>
      </c>
      <c r="AX20" s="175">
        <f t="shared" si="39"/>
        <v>19.062059813663549</v>
      </c>
      <c r="AY20" s="175">
        <f t="shared" si="39"/>
        <v>19.062059813663549</v>
      </c>
      <c r="AZ20" s="175">
        <f t="shared" si="39"/>
        <v>19.062059813663549</v>
      </c>
      <c r="BA20" s="175">
        <f t="shared" si="39"/>
        <v>19.062059813663549</v>
      </c>
      <c r="BB20" s="175">
        <f t="shared" si="39"/>
        <v>19.062059813663549</v>
      </c>
      <c r="BC20" s="175">
        <f t="shared" si="39"/>
        <v>19.062059813663549</v>
      </c>
      <c r="BD20" s="175">
        <f t="shared" si="39"/>
        <v>19.062059813663549</v>
      </c>
      <c r="BE20" s="175">
        <f t="shared" si="39"/>
        <v>19.062059813663549</v>
      </c>
    </row>
  </sheetData>
  <phoneticPr fontId="8" type="noConversion"/>
  <pageMargins left="0.7" right="0.7" top="0.75" bottom="0.75" header="0.3" footer="0.3"/>
  <pageSetup paperSize="9" orientation="portrait" r:id="rId1"/>
  <ignoredErrors>
    <ignoredError sqref="C17:G17 H17:AT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3"/>
  <sheetViews>
    <sheetView workbookViewId="0">
      <selection sqref="A1:F26"/>
    </sheetView>
  </sheetViews>
  <sheetFormatPr defaultColWidth="9" defaultRowHeight="14" x14ac:dyDescent="0.25"/>
  <cols>
    <col min="1" max="1" width="17.453125" style="8" customWidth="1"/>
    <col min="2" max="6" width="9" style="8"/>
    <col min="7" max="15" width="9.453125" style="8" bestFit="1" customWidth="1"/>
    <col min="16" max="18" width="10.453125" style="8" bestFit="1" customWidth="1"/>
    <col min="19" max="16384" width="9" style="8"/>
  </cols>
  <sheetData>
    <row r="1" spans="1:6" x14ac:dyDescent="0.25">
      <c r="A1" s="161" t="s">
        <v>259</v>
      </c>
      <c r="B1" s="161" t="s">
        <v>260</v>
      </c>
      <c r="C1" s="161" t="s">
        <v>261</v>
      </c>
      <c r="D1" s="161" t="s">
        <v>262</v>
      </c>
      <c r="E1" s="161" t="s">
        <v>263</v>
      </c>
      <c r="F1" s="161"/>
    </row>
    <row r="2" spans="1:6" x14ac:dyDescent="0.25">
      <c r="A2" s="161" t="s">
        <v>268</v>
      </c>
      <c r="B2" s="161">
        <v>1</v>
      </c>
      <c r="C2" s="161" t="s">
        <v>269</v>
      </c>
      <c r="D2" s="161">
        <v>10000</v>
      </c>
      <c r="E2" s="161">
        <f>D2*B2</f>
        <v>10000</v>
      </c>
      <c r="F2" s="161" t="s">
        <v>270</v>
      </c>
    </row>
    <row r="3" spans="1:6" x14ac:dyDescent="0.25">
      <c r="A3" s="161" t="s">
        <v>268</v>
      </c>
      <c r="B3" s="161">
        <v>1</v>
      </c>
      <c r="C3" s="161" t="s">
        <v>269</v>
      </c>
      <c r="D3" s="161">
        <v>2500</v>
      </c>
      <c r="E3" s="161">
        <f>D3*B3</f>
        <v>2500</v>
      </c>
      <c r="F3" s="161" t="s">
        <v>271</v>
      </c>
    </row>
    <row r="4" spans="1:6" x14ac:dyDescent="0.25">
      <c r="A4" s="161" t="s">
        <v>268</v>
      </c>
      <c r="B4" s="161">
        <v>568</v>
      </c>
      <c r="C4" s="161" t="s">
        <v>269</v>
      </c>
      <c r="D4" s="161">
        <v>23</v>
      </c>
      <c r="E4" s="161">
        <f>D4*B4*12</f>
        <v>156768</v>
      </c>
      <c r="F4" s="166" t="s">
        <v>288</v>
      </c>
    </row>
    <row r="5" spans="1:6" x14ac:dyDescent="0.25">
      <c r="A5" s="161" t="s">
        <v>249</v>
      </c>
      <c r="B5" s="161">
        <v>3</v>
      </c>
      <c r="C5" s="161" t="s">
        <v>252</v>
      </c>
      <c r="D5" s="161">
        <f>80*30</f>
        <v>2400</v>
      </c>
      <c r="E5" s="161">
        <f>D5*B5*12</f>
        <v>86400</v>
      </c>
      <c r="F5" s="161"/>
    </row>
    <row r="6" spans="1:6" x14ac:dyDescent="0.25">
      <c r="A6" s="161" t="s">
        <v>250</v>
      </c>
      <c r="B6" s="161">
        <v>30</v>
      </c>
      <c r="C6" s="161" t="s">
        <v>253</v>
      </c>
      <c r="D6" s="161">
        <v>470</v>
      </c>
      <c r="E6" s="161">
        <f>D6*B6</f>
        <v>14100</v>
      </c>
      <c r="F6" s="163" t="s">
        <v>287</v>
      </c>
    </row>
    <row r="7" spans="1:6" x14ac:dyDescent="0.25">
      <c r="A7" s="161" t="s">
        <v>251</v>
      </c>
      <c r="B7" s="161">
        <v>40</v>
      </c>
      <c r="C7" s="161" t="s">
        <v>253</v>
      </c>
      <c r="D7" s="161">
        <v>60</v>
      </c>
      <c r="E7" s="161">
        <f>D7*B7</f>
        <v>2400</v>
      </c>
      <c r="F7" s="163" t="s">
        <v>287</v>
      </c>
    </row>
    <row r="8" spans="1:6" x14ac:dyDescent="0.25">
      <c r="A8" s="161" t="s">
        <v>254</v>
      </c>
      <c r="B8" s="161">
        <v>3</v>
      </c>
      <c r="C8" s="163" t="s">
        <v>264</v>
      </c>
      <c r="D8" s="161">
        <v>5000</v>
      </c>
      <c r="E8" s="161">
        <f>D8*B8</f>
        <v>15000</v>
      </c>
      <c r="F8" s="161"/>
    </row>
    <row r="9" spans="1:6" x14ac:dyDescent="0.25">
      <c r="A9" s="166" t="s">
        <v>289</v>
      </c>
      <c r="B9" s="161">
        <v>3</v>
      </c>
      <c r="C9" s="161" t="s">
        <v>264</v>
      </c>
      <c r="D9" s="161">
        <v>355</v>
      </c>
      <c r="E9" s="161">
        <f t="shared" ref="E9:E17" si="0">D9*B9</f>
        <v>1065</v>
      </c>
      <c r="F9" s="161"/>
    </row>
    <row r="10" spans="1:6" x14ac:dyDescent="0.25">
      <c r="A10" s="161" t="s">
        <v>257</v>
      </c>
      <c r="B10" s="161">
        <v>1</v>
      </c>
      <c r="C10" s="161" t="s">
        <v>264</v>
      </c>
      <c r="D10" s="161">
        <v>2000</v>
      </c>
      <c r="E10" s="161">
        <f t="shared" si="0"/>
        <v>2000</v>
      </c>
      <c r="F10" s="161"/>
    </row>
    <row r="11" spans="1:6" x14ac:dyDescent="0.25">
      <c r="A11" s="161" t="s">
        <v>255</v>
      </c>
      <c r="B11" s="161">
        <v>1</v>
      </c>
      <c r="C11" s="161" t="s">
        <v>258</v>
      </c>
      <c r="D11" s="161">
        <v>1900</v>
      </c>
      <c r="E11" s="161">
        <f t="shared" si="0"/>
        <v>1900</v>
      </c>
      <c r="F11" s="161"/>
    </row>
    <row r="12" spans="1:6" x14ac:dyDescent="0.25">
      <c r="A12" s="161" t="s">
        <v>255</v>
      </c>
      <c r="B12" s="161">
        <v>1</v>
      </c>
      <c r="C12" s="161" t="s">
        <v>265</v>
      </c>
      <c r="D12" s="161">
        <v>1900</v>
      </c>
      <c r="E12" s="161">
        <f>D12*B12</f>
        <v>1900</v>
      </c>
      <c r="F12" s="161"/>
    </row>
    <row r="13" spans="1:6" x14ac:dyDescent="0.25">
      <c r="A13" s="161" t="s">
        <v>256</v>
      </c>
      <c r="B13" s="161">
        <v>10</v>
      </c>
      <c r="C13" s="161" t="s">
        <v>266</v>
      </c>
      <c r="D13" s="161">
        <v>35</v>
      </c>
      <c r="E13" s="161">
        <f t="shared" si="0"/>
        <v>350</v>
      </c>
      <c r="F13" s="161"/>
    </row>
    <row r="14" spans="1:6" x14ac:dyDescent="0.25">
      <c r="A14" s="161" t="s">
        <v>256</v>
      </c>
      <c r="B14" s="161">
        <v>10</v>
      </c>
      <c r="C14" s="161" t="s">
        <v>267</v>
      </c>
      <c r="D14" s="161">
        <v>35</v>
      </c>
      <c r="E14" s="161">
        <f>D14*B14</f>
        <v>350</v>
      </c>
      <c r="F14" s="161"/>
    </row>
    <row r="15" spans="1:6" x14ac:dyDescent="0.25">
      <c r="A15" s="161" t="s">
        <v>272</v>
      </c>
      <c r="B15" s="161">
        <v>50</v>
      </c>
      <c r="C15" s="161" t="s">
        <v>273</v>
      </c>
      <c r="D15" s="161">
        <v>7.7</v>
      </c>
      <c r="E15" s="161">
        <f t="shared" si="0"/>
        <v>385</v>
      </c>
      <c r="F15" s="161"/>
    </row>
    <row r="16" spans="1:6" x14ac:dyDescent="0.25">
      <c r="A16" s="161" t="s">
        <v>272</v>
      </c>
      <c r="B16" s="161">
        <v>150</v>
      </c>
      <c r="C16" s="161" t="s">
        <v>274</v>
      </c>
      <c r="D16" s="161">
        <v>8</v>
      </c>
      <c r="E16" s="161">
        <f t="shared" si="0"/>
        <v>1200</v>
      </c>
      <c r="F16" s="161"/>
    </row>
    <row r="17" spans="1:6" x14ac:dyDescent="0.25">
      <c r="A17" s="161" t="s">
        <v>272</v>
      </c>
      <c r="B17" s="161">
        <v>150</v>
      </c>
      <c r="C17" s="161" t="s">
        <v>275</v>
      </c>
      <c r="D17" s="161">
        <v>8.6</v>
      </c>
      <c r="E17" s="161">
        <f t="shared" si="0"/>
        <v>1290</v>
      </c>
      <c r="F17" s="161"/>
    </row>
    <row r="18" spans="1:6" x14ac:dyDescent="0.25">
      <c r="A18" s="161" t="s">
        <v>272</v>
      </c>
      <c r="B18" s="161">
        <v>150</v>
      </c>
      <c r="C18" s="161" t="s">
        <v>276</v>
      </c>
      <c r="D18" s="161">
        <v>9.3000000000000007</v>
      </c>
      <c r="E18" s="161">
        <f t="shared" ref="E18:E26" si="1">D18*B18</f>
        <v>1395</v>
      </c>
      <c r="F18" s="161"/>
    </row>
    <row r="19" spans="1:6" x14ac:dyDescent="0.25">
      <c r="A19" s="161" t="s">
        <v>272</v>
      </c>
      <c r="B19" s="161">
        <v>150</v>
      </c>
      <c r="C19" s="161" t="s">
        <v>277</v>
      </c>
      <c r="D19" s="161">
        <v>10</v>
      </c>
      <c r="E19" s="161">
        <f t="shared" si="1"/>
        <v>1500</v>
      </c>
      <c r="F19" s="161"/>
    </row>
    <row r="20" spans="1:6" x14ac:dyDescent="0.25">
      <c r="A20" s="161" t="s">
        <v>272</v>
      </c>
      <c r="B20" s="161">
        <v>150</v>
      </c>
      <c r="C20" s="161" t="s">
        <v>278</v>
      </c>
      <c r="D20" s="161">
        <v>10.8</v>
      </c>
      <c r="E20" s="161">
        <f t="shared" si="1"/>
        <v>1620</v>
      </c>
      <c r="F20" s="161"/>
    </row>
    <row r="21" spans="1:6" x14ac:dyDescent="0.25">
      <c r="A21" s="161" t="s">
        <v>272</v>
      </c>
      <c r="B21" s="161">
        <v>50</v>
      </c>
      <c r="C21" s="161" t="s">
        <v>279</v>
      </c>
      <c r="D21" s="161">
        <v>11.4</v>
      </c>
      <c r="E21" s="161">
        <f t="shared" si="1"/>
        <v>570</v>
      </c>
      <c r="F21" s="161"/>
    </row>
    <row r="22" spans="1:6" x14ac:dyDescent="0.25">
      <c r="A22" s="161" t="s">
        <v>272</v>
      </c>
      <c r="B22" s="161">
        <v>50</v>
      </c>
      <c r="C22" s="161" t="s">
        <v>280</v>
      </c>
      <c r="D22" s="161">
        <v>12</v>
      </c>
      <c r="E22" s="161">
        <f>D22*B22</f>
        <v>600</v>
      </c>
      <c r="F22" s="161"/>
    </row>
    <row r="23" spans="1:6" x14ac:dyDescent="0.25">
      <c r="A23" s="161" t="s">
        <v>272</v>
      </c>
      <c r="B23" s="161">
        <v>50</v>
      </c>
      <c r="C23" s="162" t="s">
        <v>286</v>
      </c>
      <c r="D23" s="161">
        <v>12.6</v>
      </c>
      <c r="E23" s="161">
        <f>D23*B23</f>
        <v>630</v>
      </c>
      <c r="F23" s="161"/>
    </row>
    <row r="24" spans="1:6" x14ac:dyDescent="0.25">
      <c r="A24" s="161" t="s">
        <v>281</v>
      </c>
      <c r="B24" s="161">
        <v>108</v>
      </c>
      <c r="C24" s="161" t="s">
        <v>282</v>
      </c>
      <c r="D24" s="161">
        <v>6.5</v>
      </c>
      <c r="E24" s="161">
        <f t="shared" si="1"/>
        <v>702</v>
      </c>
      <c r="F24" s="161"/>
    </row>
    <row r="25" spans="1:6" x14ac:dyDescent="0.25">
      <c r="A25" s="161" t="s">
        <v>283</v>
      </c>
      <c r="B25" s="161">
        <v>24</v>
      </c>
      <c r="C25" s="161" t="s">
        <v>284</v>
      </c>
      <c r="D25" s="161">
        <v>0.55000000000000004</v>
      </c>
      <c r="E25" s="161">
        <f t="shared" si="1"/>
        <v>13.200000000000001</v>
      </c>
      <c r="F25" s="161"/>
    </row>
    <row r="26" spans="1:6" x14ac:dyDescent="0.25">
      <c r="A26" s="161" t="s">
        <v>285</v>
      </c>
      <c r="B26" s="161">
        <v>24</v>
      </c>
      <c r="C26" s="161" t="s">
        <v>284</v>
      </c>
      <c r="D26" s="161">
        <v>0.8</v>
      </c>
      <c r="E26" s="161">
        <f t="shared" si="1"/>
        <v>19.200000000000003</v>
      </c>
      <c r="F26" s="161"/>
    </row>
    <row r="27" spans="1:6" x14ac:dyDescent="0.25">
      <c r="E27" s="8">
        <f>SUM(E2:E26)</f>
        <v>304657.40000000002</v>
      </c>
    </row>
    <row r="33" spans="7:47" x14ac:dyDescent="0.25"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8">
        <f>'17收入'!AF26</f>
        <v>0</v>
      </c>
      <c r="T33" s="8">
        <f>'17收入'!AG26</f>
        <v>0</v>
      </c>
      <c r="U33" s="8">
        <f>'17收入'!AH26</f>
        <v>0</v>
      </c>
      <c r="V33" s="8">
        <f>'17收入'!AI26</f>
        <v>0</v>
      </c>
      <c r="W33" s="8">
        <f>'17收入'!AJ26</f>
        <v>0</v>
      </c>
      <c r="X33" s="8">
        <f>'17收入'!AK26</f>
        <v>0</v>
      </c>
      <c r="Y33" s="8">
        <f>'17收入'!AL26</f>
        <v>0</v>
      </c>
      <c r="Z33" s="8">
        <f>'17收入'!AM26</f>
        <v>0</v>
      </c>
      <c r="AA33" s="8">
        <f>'17收入'!AN26</f>
        <v>0</v>
      </c>
      <c r="AB33" s="8">
        <f>'17收入'!AO26</f>
        <v>0</v>
      </c>
      <c r="AC33" s="8">
        <f>'17收入'!AP26</f>
        <v>0</v>
      </c>
      <c r="AD33" s="8">
        <f>'17收入'!AQ26</f>
        <v>0</v>
      </c>
      <c r="AE33" s="8">
        <f>'17收入'!AR26</f>
        <v>0</v>
      </c>
      <c r="AF33" s="8">
        <f>'17收入'!AS26</f>
        <v>0</v>
      </c>
      <c r="AG33" s="8">
        <f>'17收入'!AT26</f>
        <v>0</v>
      </c>
      <c r="AH33" s="8">
        <f>'17收入'!AU26</f>
        <v>0</v>
      </c>
      <c r="AI33" s="8">
        <f>'17收入'!AV26</f>
        <v>0</v>
      </c>
      <c r="AJ33" s="8">
        <f>'17收入'!AW26</f>
        <v>0</v>
      </c>
      <c r="AK33" s="8">
        <f>'17收入'!AX26</f>
        <v>0</v>
      </c>
      <c r="AL33" s="8">
        <f>'17收入'!AY26</f>
        <v>0</v>
      </c>
      <c r="AM33" s="8">
        <f>'17收入'!AZ26</f>
        <v>0</v>
      </c>
      <c r="AN33" s="8">
        <f>'17收入'!BA26</f>
        <v>0</v>
      </c>
      <c r="AO33" s="8">
        <f>'17收入'!BB26</f>
        <v>0</v>
      </c>
      <c r="AP33" s="8">
        <f>'17收入'!BC26</f>
        <v>0</v>
      </c>
      <c r="AQ33" s="8">
        <f>'17收入'!BD26</f>
        <v>0</v>
      </c>
      <c r="AR33" s="8">
        <f>'17收入'!BE26</f>
        <v>0</v>
      </c>
      <c r="AS33" s="8">
        <f>'17收入'!BF26</f>
        <v>0</v>
      </c>
      <c r="AT33" s="8">
        <f>'17收入'!BG26</f>
        <v>0</v>
      </c>
      <c r="AU33" s="8">
        <f>'17收入'!BH26</f>
        <v>0</v>
      </c>
    </row>
  </sheetData>
  <phoneticPr fontId="30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17成本</vt:lpstr>
      <vt:lpstr>17收入</vt:lpstr>
      <vt:lpstr>16、17收入对比</vt:lpstr>
      <vt:lpstr>17年追赶表</vt:lpstr>
      <vt:lpstr>16年情况</vt:lpstr>
      <vt:lpstr>关键指标</vt:lpstr>
      <vt:lpstr>现金推算表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2018-06-22T06:01:24Z</dcterms:modified>
</cp:coreProperties>
</file>