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1370" tabRatio="707" firstSheet="6" activeTab="6"/>
  </bookViews>
  <sheets>
    <sheet name="17成本" sheetId="13" state="hidden" r:id="rId1"/>
    <sheet name="17收入" sheetId="3" state="hidden" r:id="rId2"/>
    <sheet name="16、17收入对比" sheetId="9" state="hidden" r:id="rId3"/>
    <sheet name="17年追赶表" sheetId="1" state="hidden" r:id="rId4"/>
    <sheet name="16年情况" sheetId="5" state="hidden" r:id="rId5"/>
    <sheet name="关键指标" sheetId="8" state="hidden" r:id="rId6"/>
    <sheet name="现金推算表" sheetId="6" r:id="rId7"/>
    <sheet name="Sheet1" sheetId="15" state="hidden" r:id="rId8"/>
  </sheets>
  <calcPr calcId="144525"/>
</workbook>
</file>

<file path=xl/sharedStrings.xml><?xml version="1.0" encoding="utf-8"?>
<sst xmlns="http://schemas.openxmlformats.org/spreadsheetml/2006/main" count="280">
  <si>
    <t>昆缤项目收入、支出、利润报表（收付) 预估计划</t>
  </si>
  <si>
    <t>编制单位:盆栽加盟部                                         2017年          单位:元</t>
  </si>
  <si>
    <t>序号</t>
  </si>
  <si>
    <t>项   目</t>
  </si>
  <si>
    <t>1月份计划</t>
  </si>
  <si>
    <t>1月份实际</t>
  </si>
  <si>
    <t>2月份计划</t>
  </si>
  <si>
    <t>2月份实际</t>
  </si>
  <si>
    <t>3月份计划</t>
  </si>
  <si>
    <t>3月份实际</t>
  </si>
  <si>
    <t>4月份计划</t>
  </si>
  <si>
    <t>4月份实际</t>
  </si>
  <si>
    <t>5月份计划</t>
  </si>
  <si>
    <t>5月份实际</t>
  </si>
  <si>
    <t>6月份计划</t>
  </si>
  <si>
    <t>6月份实际</t>
  </si>
  <si>
    <t>7月份计划</t>
  </si>
  <si>
    <t>7月份实际</t>
  </si>
  <si>
    <t>8月份计划</t>
  </si>
  <si>
    <t>8月份实际</t>
  </si>
  <si>
    <t>9月份计划</t>
  </si>
  <si>
    <t>9月份实际</t>
  </si>
  <si>
    <t>10月份计划</t>
  </si>
  <si>
    <r>
      <rPr>
        <b/>
        <sz val="9"/>
        <color rgb="FFFF0000"/>
        <rFont val="宋体"/>
        <charset val="134"/>
      </rPr>
      <t>1</t>
    </r>
    <r>
      <rPr>
        <b/>
        <sz val="9"/>
        <color indexed="10"/>
        <rFont val="宋体"/>
        <charset val="134"/>
      </rPr>
      <t>0</t>
    </r>
    <r>
      <rPr>
        <b/>
        <sz val="9"/>
        <color indexed="10"/>
        <rFont val="宋体"/>
        <charset val="134"/>
      </rPr>
      <t>月份实际</t>
    </r>
  </si>
  <si>
    <t>11月份计划</t>
  </si>
  <si>
    <r>
      <rPr>
        <b/>
        <sz val="9"/>
        <color rgb="FFFF0000"/>
        <rFont val="宋体"/>
        <charset val="134"/>
      </rPr>
      <t>1</t>
    </r>
    <r>
      <rPr>
        <b/>
        <sz val="9"/>
        <color indexed="10"/>
        <rFont val="宋体"/>
        <charset val="134"/>
      </rPr>
      <t>1</t>
    </r>
    <r>
      <rPr>
        <b/>
        <sz val="9"/>
        <color indexed="10"/>
        <rFont val="宋体"/>
        <charset val="134"/>
      </rPr>
      <t>月份实际</t>
    </r>
  </si>
  <si>
    <t>12月份计划</t>
  </si>
  <si>
    <r>
      <rPr>
        <b/>
        <sz val="9"/>
        <color rgb="FFFF0000"/>
        <rFont val="宋体"/>
        <charset val="134"/>
      </rPr>
      <t>1</t>
    </r>
    <r>
      <rPr>
        <b/>
        <sz val="9"/>
        <color indexed="10"/>
        <rFont val="宋体"/>
        <charset val="134"/>
      </rPr>
      <t>2</t>
    </r>
    <r>
      <rPr>
        <b/>
        <sz val="9"/>
        <color indexed="10"/>
        <rFont val="宋体"/>
        <charset val="134"/>
      </rPr>
      <t>月份实际</t>
    </r>
  </si>
  <si>
    <t>合计</t>
  </si>
  <si>
    <t>费  用  说  明</t>
  </si>
  <si>
    <t>产品货币收入</t>
  </si>
  <si>
    <t>种条销售收入</t>
  </si>
  <si>
    <t>内部购销收入</t>
  </si>
  <si>
    <t>内部收费收入</t>
  </si>
  <si>
    <t>物流服务费</t>
  </si>
  <si>
    <t>加盟管理费收入</t>
  </si>
  <si>
    <t>加盟收入</t>
  </si>
  <si>
    <t>其他收入</t>
  </si>
  <si>
    <t>收入合计</t>
  </si>
  <si>
    <t>工  资</t>
  </si>
  <si>
    <t>福利费</t>
  </si>
  <si>
    <t>社保费</t>
  </si>
  <si>
    <t>劳务费小计</t>
  </si>
  <si>
    <t>租 金</t>
  </si>
  <si>
    <t>通讯费</t>
  </si>
  <si>
    <t>汽车费</t>
  </si>
  <si>
    <t>差旅费</t>
  </si>
  <si>
    <t>私车公用、11月份出国费用</t>
  </si>
  <si>
    <t>运杂费</t>
  </si>
  <si>
    <t>倒货费</t>
  </si>
  <si>
    <t>水电费</t>
  </si>
  <si>
    <t>应酬费</t>
  </si>
  <si>
    <t>会议费</t>
  </si>
  <si>
    <t>资产租金</t>
  </si>
  <si>
    <t>累计折旧</t>
  </si>
  <si>
    <t>相机、电脑折旧</t>
  </si>
  <si>
    <t>修理费</t>
  </si>
  <si>
    <t>广告费</t>
  </si>
  <si>
    <t>包装费</t>
  </si>
  <si>
    <t>办公费</t>
  </si>
  <si>
    <t>税、费</t>
  </si>
  <si>
    <t>税费</t>
  </si>
  <si>
    <t>内部利息</t>
  </si>
  <si>
    <t>后勤服务费用</t>
  </si>
  <si>
    <t>执委管理费</t>
  </si>
  <si>
    <t>收入的6%</t>
  </si>
  <si>
    <t>其他</t>
  </si>
  <si>
    <t>费用小计</t>
  </si>
  <si>
    <t>用具</t>
  </si>
  <si>
    <t>生产材料</t>
  </si>
  <si>
    <t>盆器</t>
  </si>
  <si>
    <t xml:space="preserve">    基质</t>
  </si>
  <si>
    <t xml:space="preserve">    农药</t>
  </si>
  <si>
    <t xml:space="preserve">    化肥</t>
  </si>
  <si>
    <t>(消毒)油、煤</t>
  </si>
  <si>
    <t>辅助材料</t>
  </si>
  <si>
    <t>包装材料</t>
  </si>
  <si>
    <t>零星材料</t>
  </si>
  <si>
    <t>材料小计</t>
  </si>
  <si>
    <t>外购种（子苗球）</t>
  </si>
  <si>
    <t>外购母本</t>
  </si>
  <si>
    <t>外购货品</t>
  </si>
  <si>
    <t>专利费</t>
  </si>
  <si>
    <t>内部采购成本</t>
  </si>
  <si>
    <t>成品类小计</t>
  </si>
  <si>
    <t>总支出合计</t>
  </si>
  <si>
    <t>收支差</t>
  </si>
  <si>
    <t>借入（出）利润</t>
  </si>
  <si>
    <t>利  润</t>
  </si>
  <si>
    <t>结算销售额</t>
  </si>
  <si>
    <t>单位劳务费核算</t>
  </si>
  <si>
    <t>利润率</t>
  </si>
  <si>
    <t>现金</t>
  </si>
  <si>
    <t>劳务费/销售额</t>
  </si>
  <si>
    <t>卉兴园艺代销收入</t>
  </si>
  <si>
    <t>货品编码</t>
  </si>
  <si>
    <t>货品名称</t>
  </si>
  <si>
    <t>规格</t>
  </si>
  <si>
    <t>单位</t>
  </si>
  <si>
    <t>等级</t>
  </si>
  <si>
    <t>预估均价</t>
  </si>
  <si>
    <t>1月份</t>
  </si>
  <si>
    <t>1月实际</t>
  </si>
  <si>
    <t>2月份</t>
  </si>
  <si>
    <t>2月实际</t>
  </si>
  <si>
    <t>3月份</t>
  </si>
  <si>
    <t>3月实际</t>
  </si>
  <si>
    <t>4月份</t>
  </si>
  <si>
    <t>4月实际</t>
  </si>
  <si>
    <t>5月份</t>
  </si>
  <si>
    <t>5月实际</t>
  </si>
  <si>
    <t>6月份</t>
  </si>
  <si>
    <t>6月实际</t>
  </si>
  <si>
    <t>7月份</t>
  </si>
  <si>
    <t>7月实际</t>
  </si>
  <si>
    <t>8月份</t>
  </si>
  <si>
    <t>8月实际</t>
  </si>
  <si>
    <t>9月份</t>
  </si>
  <si>
    <t>9月实际</t>
  </si>
  <si>
    <t>10月份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</si>
  <si>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0</t>
    </r>
    <r>
      <rPr>
        <sz val="10"/>
        <rFont val="宋体"/>
        <charset val="134"/>
      </rPr>
      <t>月实际</t>
    </r>
  </si>
  <si>
    <t>11月份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</si>
  <si>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1月实际</t>
    </r>
  </si>
  <si>
    <t>12月份</t>
  </si>
  <si>
    <t>12月实际</t>
  </si>
  <si>
    <t>8198</t>
  </si>
  <si>
    <t>金枝玉叶</t>
  </si>
  <si>
    <t>A120</t>
  </si>
  <si>
    <t>盆</t>
  </si>
  <si>
    <t>A</t>
  </si>
  <si>
    <r>
      <rPr>
        <sz val="10"/>
        <color theme="1"/>
        <rFont val="宋体"/>
        <charset val="134"/>
        <scheme val="minor"/>
      </rPr>
      <t>A</t>
    </r>
    <r>
      <rPr>
        <sz val="10"/>
        <color indexed="8"/>
        <rFont val="宋体"/>
        <charset val="134"/>
      </rPr>
      <t>100</t>
    </r>
  </si>
  <si>
    <t>8216</t>
  </si>
  <si>
    <t>雅乐之舞</t>
  </si>
  <si>
    <t>红心莲</t>
  </si>
  <si>
    <t>A100</t>
  </si>
  <si>
    <t>合计数量</t>
  </si>
  <si>
    <t>预估销售额</t>
  </si>
  <si>
    <t>提成预估</t>
  </si>
  <si>
    <t>笨鸟园艺 常春藤加盟收入</t>
  </si>
  <si>
    <t>笨鸟常春藤</t>
  </si>
  <si>
    <t>SP150</t>
  </si>
  <si>
    <t>B</t>
  </si>
  <si>
    <t>C</t>
  </si>
  <si>
    <t>SP110</t>
  </si>
  <si>
    <t>汽运物流服务收入</t>
  </si>
  <si>
    <t>线路</t>
  </si>
  <si>
    <t>收费价</t>
  </si>
  <si>
    <t>昆明-漳州、上海、成都、郑州</t>
  </si>
  <si>
    <t>长寿花种条销售提成</t>
  </si>
  <si>
    <t>长寿花种条销售</t>
  </si>
  <si>
    <t>盆栽销售提成</t>
  </si>
  <si>
    <t>预估单价</t>
  </si>
  <si>
    <t>盆栽体系预估销售额</t>
  </si>
  <si>
    <t>盆栽体系预估销量</t>
  </si>
  <si>
    <t>加盟部预计销量比</t>
  </si>
  <si>
    <t>加盟部预计销售额比</t>
  </si>
  <si>
    <t>加盟部预估提成</t>
  </si>
  <si>
    <r>
      <rPr>
        <sz val="11"/>
        <color theme="1"/>
        <rFont val="宋体"/>
        <charset val="134"/>
        <scheme val="minor"/>
      </rPr>
      <t>盆栽加盟部2017年收入</t>
    </r>
    <r>
      <rPr>
        <sz val="11"/>
        <color indexed="8"/>
        <rFont val="宋体"/>
        <charset val="134"/>
      </rPr>
      <t xml:space="preserve">           </t>
    </r>
    <r>
      <rPr>
        <sz val="11"/>
        <color theme="1"/>
        <rFont val="宋体"/>
        <charset val="134"/>
        <scheme val="minor"/>
      </rPr>
      <t>预估合计</t>
    </r>
  </si>
  <si>
    <t>名称</t>
  </si>
  <si>
    <t>卉兴园艺</t>
  </si>
  <si>
    <t>笨鸟园艺</t>
  </si>
  <si>
    <t>种条销售提成</t>
  </si>
  <si>
    <t>汽运提点</t>
  </si>
  <si>
    <t>卉兴园艺16、17年实际对比</t>
  </si>
  <si>
    <t>时间</t>
  </si>
  <si>
    <t>差额</t>
  </si>
  <si>
    <t>销售数量</t>
  </si>
  <si>
    <t>销售金额</t>
  </si>
  <si>
    <t>均价</t>
  </si>
  <si>
    <t>收入</t>
  </si>
  <si>
    <t>2016汇总</t>
  </si>
  <si>
    <t>2017汇总</t>
  </si>
  <si>
    <t>笨鸟园艺16、17年实际对比</t>
  </si>
  <si>
    <t>2016年度</t>
  </si>
  <si>
    <t>截止上月原计划（2017年）</t>
  </si>
  <si>
    <t>进度调整（2017年）</t>
  </si>
  <si>
    <t>滚动周年</t>
  </si>
  <si>
    <t>阶段目标</t>
  </si>
  <si>
    <t>按2017年度原计划</t>
  </si>
  <si>
    <t>差 额</t>
  </si>
  <si>
    <t>2017年度进度调整后</t>
  </si>
  <si>
    <t>措施、方法、招数简述</t>
  </si>
  <si>
    <t>1月</t>
  </si>
  <si>
    <t>2016年2月--2017年1月</t>
  </si>
  <si>
    <t>2月</t>
  </si>
  <si>
    <t>2015年6月--2017年2月</t>
  </si>
  <si>
    <t>3月</t>
  </si>
  <si>
    <t>2016年4月--2017年3月</t>
  </si>
  <si>
    <t>4月</t>
  </si>
  <si>
    <t>2016年5月--2017年4月</t>
  </si>
  <si>
    <t>5月</t>
  </si>
  <si>
    <t>2016年6月--2017年5月</t>
  </si>
  <si>
    <t>6月</t>
  </si>
  <si>
    <t>2016年7月--2017年6月</t>
  </si>
  <si>
    <t>7月</t>
  </si>
  <si>
    <t>2016年8月--2017年7月</t>
  </si>
  <si>
    <t>8月</t>
  </si>
  <si>
    <t>2016年9月--2017年8月</t>
  </si>
  <si>
    <t>9月</t>
  </si>
  <si>
    <t>2016年10月--2017年9月</t>
  </si>
  <si>
    <t>10月</t>
  </si>
  <si>
    <t>2016年11月--2017年10月</t>
  </si>
  <si>
    <t>11月</t>
  </si>
  <si>
    <t>2016年12月--2017年11月</t>
  </si>
  <si>
    <t>12月</t>
  </si>
  <si>
    <t>2016年1月--2017年12月</t>
  </si>
  <si>
    <t>2017目标</t>
  </si>
  <si>
    <t>每月额度</t>
  </si>
  <si>
    <t>灰底的为已经过去的，填实际数据</t>
  </si>
  <si>
    <t>绿底的为要自己填的或要进行调整的</t>
  </si>
  <si>
    <t>黄底的为目标或与目标的差额</t>
  </si>
  <si>
    <t>白底的为计算后得出的数值</t>
  </si>
  <si>
    <t>公式的不用动</t>
  </si>
  <si>
    <t>卉兴园艺2016年销售情况</t>
  </si>
  <si>
    <t>产品</t>
  </si>
  <si>
    <t>销量</t>
  </si>
  <si>
    <t>笨鸟园艺2016年销售情况</t>
  </si>
  <si>
    <t>常春藤</t>
  </si>
  <si>
    <t>2017年关键指标（盆栽自销提成）</t>
  </si>
  <si>
    <t>月份</t>
  </si>
  <si>
    <t>月 份</t>
  </si>
  <si>
    <t>折旧</t>
  </si>
  <si>
    <t>所得税</t>
  </si>
  <si>
    <t>希望基金</t>
  </si>
  <si>
    <t>美好生活基金</t>
  </si>
  <si>
    <t>固定资产投资</t>
  </si>
  <si>
    <t>收取订金</t>
  </si>
  <si>
    <t>退还订金</t>
  </si>
  <si>
    <t>现金借出</t>
  </si>
  <si>
    <t>现金还回</t>
  </si>
  <si>
    <t>现金借入</t>
  </si>
  <si>
    <t>现金还出</t>
  </si>
  <si>
    <t>捐赠</t>
  </si>
  <si>
    <t>入股</t>
  </si>
  <si>
    <t>其它现金收支</t>
  </si>
  <si>
    <t>本月现金变量：</t>
  </si>
  <si>
    <t>月底现金结余：</t>
  </si>
  <si>
    <t>月均劳务费：</t>
  </si>
  <si>
    <t>折合劳务费月数：</t>
  </si>
  <si>
    <t>项目</t>
  </si>
  <si>
    <t>数量</t>
  </si>
  <si>
    <t>单位/规格</t>
  </si>
  <si>
    <t>单价</t>
  </si>
  <si>
    <t>金额</t>
  </si>
  <si>
    <t>44号大棚</t>
  </si>
  <si>
    <t>平方</t>
  </si>
  <si>
    <t>定金</t>
  </si>
  <si>
    <t>隔热</t>
  </si>
  <si>
    <t>租金</t>
  </si>
  <si>
    <t>增加人员</t>
  </si>
  <si>
    <t>人</t>
  </si>
  <si>
    <t>曾车</t>
  </si>
  <si>
    <t>张</t>
  </si>
  <si>
    <t>5年折旧</t>
  </si>
  <si>
    <t>层板</t>
  </si>
  <si>
    <t>宿舍</t>
  </si>
  <si>
    <t>套</t>
  </si>
  <si>
    <t>桌椅（宿舍3套）</t>
  </si>
  <si>
    <t>办公桌（一套）</t>
  </si>
  <si>
    <t>打印机</t>
  </si>
  <si>
    <t>590K</t>
  </si>
  <si>
    <t>L355</t>
  </si>
  <si>
    <t>打印纸</t>
  </si>
  <si>
    <t>A4纸</t>
  </si>
  <si>
    <t>四联单</t>
  </si>
  <si>
    <t>纸箱</t>
  </si>
  <si>
    <t>H27</t>
  </si>
  <si>
    <t>H30</t>
  </si>
  <si>
    <t>H35</t>
  </si>
  <si>
    <t>H40</t>
  </si>
  <si>
    <t>H45</t>
  </si>
  <si>
    <t>H50</t>
  </si>
  <si>
    <t>H55</t>
  </si>
  <si>
    <t>H60</t>
  </si>
  <si>
    <r>
      <rPr>
        <sz val="11"/>
        <color theme="1"/>
        <rFont val="宋体"/>
        <charset val="134"/>
        <scheme val="minor"/>
      </rPr>
      <t>H6</t>
    </r>
    <r>
      <rPr>
        <sz val="11"/>
        <color indexed="8"/>
        <rFont val="宋体"/>
        <charset val="134"/>
      </rPr>
      <t>5</t>
    </r>
  </si>
  <si>
    <t>封口胶</t>
  </si>
  <si>
    <t>件</t>
  </si>
  <si>
    <t>圆珠笔</t>
  </si>
  <si>
    <t>盒</t>
  </si>
  <si>
    <t>碳素笔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</si>
</sst>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;_᷿"/>
    <numFmt numFmtId="177" formatCode="#,##0_ ;[Red]\-#,##0\ "/>
    <numFmt numFmtId="178" formatCode="#,##0.00_ "/>
    <numFmt numFmtId="179" formatCode="0.00_ "/>
    <numFmt numFmtId="180" formatCode="#,##0.0_ ;[Red]\-#,##0.0\ "/>
    <numFmt numFmtId="44" formatCode="_ &quot;￥&quot;* #,##0.00_ ;_ &quot;￥&quot;* \-#,##0.00_ ;_ &quot;￥&quot;* &quot;-&quot;??_ ;_ @_ "/>
    <numFmt numFmtId="181" formatCode="#,##0.00_ ;[Red]\-#,##0.00\ "/>
    <numFmt numFmtId="182" formatCode="0_ "/>
    <numFmt numFmtId="183" formatCode="0;_"/>
    <numFmt numFmtId="184" formatCode="0;_탿"/>
    <numFmt numFmtId="185" formatCode="0.0_ "/>
  </numFmts>
  <fonts count="4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20"/>
      <color indexed="8"/>
      <name val="宋体"/>
      <charset val="134"/>
    </font>
    <font>
      <sz val="20"/>
      <color indexed="8"/>
      <name val="宋体"/>
      <charset val="134"/>
    </font>
    <font>
      <sz val="10"/>
      <name val="宋体"/>
      <charset val="134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name val="宋体"/>
      <charset val="134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b/>
      <sz val="9"/>
      <color indexed="8"/>
      <name val="宋体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9"/>
      <color indexed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7" fillId="3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9" borderId="13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14" borderId="8" applyNumberFormat="0" applyAlignment="0" applyProtection="0">
      <alignment vertical="center"/>
    </xf>
    <xf numFmtId="0" fontId="34" fillId="14" borderId="12" applyNumberFormat="0" applyAlignment="0" applyProtection="0">
      <alignment vertical="center"/>
    </xf>
    <xf numFmtId="0" fontId="30" fillId="19" borderId="9" applyNumberForma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42" fillId="0" borderId="0"/>
    <xf numFmtId="0" fontId="26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57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7" fontId="1" fillId="0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Fill="1" applyBorder="1" applyAlignment="1">
      <alignment horizontal="right" vertical="center"/>
    </xf>
    <xf numFmtId="177" fontId="3" fillId="0" borderId="2" xfId="47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177" fontId="0" fillId="0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180" fontId="0" fillId="0" borderId="1" xfId="0" applyNumberFormat="1" applyFont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57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81" fontId="0" fillId="6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5" borderId="1" xfId="0" applyNumberFormat="1" applyFont="1" applyFill="1" applyBorder="1" applyAlignment="1">
      <alignment horizontal="center" vertical="center" wrapText="1"/>
    </xf>
    <xf numFmtId="181" fontId="0" fillId="0" borderId="1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181" fontId="0" fillId="6" borderId="3" xfId="0" applyNumberFormat="1" applyFont="1" applyFill="1" applyBorder="1" applyAlignment="1">
      <alignment horizontal="center" vertical="center" wrapText="1"/>
    </xf>
    <xf numFmtId="181" fontId="0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0" fontId="0" fillId="6" borderId="4" xfId="0" applyFont="1" applyFill="1" applyBorder="1" applyAlignment="1">
      <alignment horizontal="left" vertical="center"/>
    </xf>
    <xf numFmtId="181" fontId="0" fillId="0" borderId="0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 wrapText="1"/>
    </xf>
    <xf numFmtId="181" fontId="0" fillId="6" borderId="5" xfId="0" applyNumberFormat="1" applyFont="1" applyFill="1" applyBorder="1" applyAlignment="1">
      <alignment horizontal="center" vertical="center" wrapText="1"/>
    </xf>
    <xf numFmtId="181" fontId="0" fillId="6" borderId="1" xfId="0" applyNumberFormat="1" applyFont="1" applyFill="1" applyBorder="1" applyAlignment="1">
      <alignment horizontal="center" vertical="center"/>
    </xf>
    <xf numFmtId="181" fontId="0" fillId="0" borderId="0" xfId="0" applyNumberFormat="1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0" fillId="8" borderId="1" xfId="0" applyNumberFormat="1" applyFill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0" fillId="8" borderId="1" xfId="0" applyNumberFormat="1" applyFill="1" applyBorder="1" applyAlignment="1">
      <alignment horizontal="center" vertical="center"/>
    </xf>
    <xf numFmtId="184" fontId="0" fillId="8" borderId="0" xfId="0" applyNumberFormat="1" applyFill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84" fontId="0" fillId="7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5" fontId="1" fillId="6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182" fontId="10" fillId="0" borderId="1" xfId="0" applyNumberFormat="1" applyFont="1" applyFill="1" applyBorder="1" applyAlignment="1">
      <alignment horizontal="center" vertical="center"/>
    </xf>
    <xf numFmtId="182" fontId="10" fillId="6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9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vertical="center"/>
    </xf>
    <xf numFmtId="0" fontId="0" fillId="7" borderId="6" xfId="0" applyFill="1" applyBorder="1" applyAlignment="1">
      <alignment vertical="center"/>
    </xf>
    <xf numFmtId="182" fontId="1" fillId="0" borderId="1" xfId="0" applyNumberFormat="1" applyFont="1" applyBorder="1" applyAlignment="1">
      <alignment horizontal="center" vertical="center"/>
    </xf>
    <xf numFmtId="0" fontId="0" fillId="7" borderId="7" xfId="0" applyFill="1" applyBorder="1" applyAlignment="1">
      <alignment vertical="center"/>
    </xf>
    <xf numFmtId="183" fontId="10" fillId="0" borderId="1" xfId="0" applyNumberFormat="1" applyFont="1" applyFill="1" applyBorder="1" applyAlignment="1">
      <alignment horizontal="center" vertical="center"/>
    </xf>
    <xf numFmtId="179" fontId="1" fillId="7" borderId="1" xfId="0" applyNumberFormat="1" applyFont="1" applyFill="1" applyBorder="1" applyAlignment="1">
      <alignment horizontal="center" vertical="center"/>
    </xf>
    <xf numFmtId="182" fontId="10" fillId="7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4" fillId="7" borderId="1" xfId="0" applyNumberFormat="1" applyFont="1" applyFill="1" applyBorder="1" applyAlignment="1" applyProtection="1">
      <alignment horizontal="center" vertical="center"/>
    </xf>
    <xf numFmtId="177" fontId="15" fillId="0" borderId="1" xfId="0" applyNumberFormat="1" applyFont="1" applyFill="1" applyBorder="1" applyAlignment="1" applyProtection="1">
      <alignment horizontal="center" vertical="center"/>
    </xf>
    <xf numFmtId="177" fontId="16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center" vertical="center"/>
    </xf>
    <xf numFmtId="178" fontId="17" fillId="0" borderId="1" xfId="8" applyNumberFormat="1" applyFont="1" applyBorder="1" applyAlignment="1">
      <alignment horizontal="center" vertical="center"/>
    </xf>
    <xf numFmtId="178" fontId="18" fillId="0" borderId="1" xfId="8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78" fontId="17" fillId="10" borderId="1" xfId="8" applyNumberFormat="1" applyFont="1" applyFill="1" applyBorder="1" applyAlignment="1">
      <alignment horizontal="center" vertical="center"/>
    </xf>
    <xf numFmtId="178" fontId="18" fillId="10" borderId="1" xfId="8" applyNumberFormat="1" applyFont="1" applyFill="1" applyBorder="1" applyAlignment="1">
      <alignment horizontal="center" vertical="center"/>
    </xf>
    <xf numFmtId="177" fontId="17" fillId="0" borderId="1" xfId="0" applyNumberFormat="1" applyFont="1" applyFill="1" applyBorder="1" applyAlignment="1" applyProtection="1">
      <alignment horizontal="center" vertical="center"/>
    </xf>
    <xf numFmtId="177" fontId="18" fillId="0" borderId="1" xfId="0" applyNumberFormat="1" applyFont="1" applyFill="1" applyBorder="1" applyAlignment="1" applyProtection="1">
      <alignment horizontal="center" vertical="center"/>
    </xf>
    <xf numFmtId="178" fontId="18" fillId="0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Fill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8" fontId="21" fillId="0" borderId="1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5" fillId="0" borderId="1" xfId="8" applyNumberFormat="1" applyFont="1" applyBorder="1" applyAlignment="1">
      <alignment horizontal="center" vertical="center"/>
    </xf>
    <xf numFmtId="178" fontId="16" fillId="0" borderId="1" xfId="8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textRotation="255"/>
    </xf>
    <xf numFmtId="178" fontId="17" fillId="10" borderId="1" xfId="0" applyNumberFormat="1" applyFont="1" applyFill="1" applyBorder="1" applyAlignment="1">
      <alignment horizontal="center" vertical="center"/>
    </xf>
    <xf numFmtId="178" fontId="18" fillId="10" borderId="1" xfId="0" applyNumberFormat="1" applyFont="1" applyFill="1" applyBorder="1" applyAlignment="1">
      <alignment horizontal="center" vertical="center"/>
    </xf>
    <xf numFmtId="10" fontId="15" fillId="10" borderId="1" xfId="0" applyNumberFormat="1" applyFont="1" applyFill="1" applyBorder="1" applyAlignment="1">
      <alignment horizontal="center" vertical="center"/>
    </xf>
    <xf numFmtId="10" fontId="17" fillId="10" borderId="1" xfId="0" applyNumberFormat="1" applyFont="1" applyFill="1" applyBorder="1" applyAlignment="1">
      <alignment horizontal="center" vertical="center"/>
    </xf>
    <xf numFmtId="10" fontId="18" fillId="10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Fill="1" applyBorder="1" applyAlignment="1">
      <alignment horizontal="center" vertical="center"/>
    </xf>
    <xf numFmtId="178" fontId="22" fillId="0" borderId="1" xfId="0" applyNumberFormat="1" applyFont="1" applyBorder="1" applyAlignment="1">
      <alignment horizontal="center" vertical="center"/>
    </xf>
    <xf numFmtId="178" fontId="11" fillId="1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1"/>
  <sheetViews>
    <sheetView zoomScale="90" zoomScaleNormal="90" workbookViewId="0">
      <pane xSplit="3" ySplit="3" topLeftCell="D4" activePane="bottomRight" state="frozen"/>
      <selection/>
      <selection pane="topRight"/>
      <selection pane="bottomLeft"/>
      <selection pane="bottomRight" activeCell="E6" sqref="AA6 Y6 W6 U6 S6 Q6 O6 M6 K6 I6 G6 E6"/>
    </sheetView>
  </sheetViews>
  <sheetFormatPr defaultColWidth="9" defaultRowHeight="13.5"/>
  <cols>
    <col min="1" max="1" width="4.775" style="1" customWidth="1"/>
    <col min="2" max="2" width="3.66666666666667" style="1" customWidth="1"/>
    <col min="3" max="3" width="11.4416666666667" style="1" customWidth="1"/>
    <col min="4" max="4" width="10.2166666666667" style="1" customWidth="1"/>
    <col min="5" max="5" width="10.2166666666667" style="104" customWidth="1"/>
    <col min="6" max="6" width="9" style="1"/>
    <col min="7" max="7" width="9" style="104"/>
    <col min="8" max="8" width="9.66666666666667" style="1" customWidth="1"/>
    <col min="9" max="9" width="9" style="105"/>
    <col min="10" max="10" width="11.2166666666667" style="1" customWidth="1"/>
    <col min="11" max="11" width="9.775" style="105" customWidth="1"/>
    <col min="12" max="13" width="9.66666666666667" style="1" customWidth="1"/>
    <col min="14" max="14" width="9" style="1"/>
    <col min="15" max="17" width="9.10833333333333" style="1" customWidth="1"/>
    <col min="18" max="23" width="9" style="1"/>
    <col min="24" max="24" width="10" style="1" customWidth="1"/>
    <col min="25" max="27" width="9" style="1"/>
    <col min="28" max="28" width="10.775" style="1" customWidth="1"/>
    <col min="29" max="29" width="19.4416666666667" style="1" customWidth="1"/>
    <col min="30" max="16384" width="9" style="1"/>
  </cols>
  <sheetData>
    <row r="1" ht="20.25" spans="1:29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</row>
    <row r="2" spans="1:29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3" s="103" customFormat="1" ht="11.25" spans="1:29">
      <c r="A3" s="107" t="s">
        <v>2</v>
      </c>
      <c r="B3" s="107" t="s">
        <v>3</v>
      </c>
      <c r="C3" s="107"/>
      <c r="D3" s="107" t="s">
        <v>4</v>
      </c>
      <c r="E3" s="108" t="s">
        <v>5</v>
      </c>
      <c r="F3" s="107" t="s">
        <v>6</v>
      </c>
      <c r="G3" s="108" t="s">
        <v>7</v>
      </c>
      <c r="H3" s="107" t="s">
        <v>8</v>
      </c>
      <c r="I3" s="108" t="s">
        <v>9</v>
      </c>
      <c r="J3" s="107" t="s">
        <v>10</v>
      </c>
      <c r="K3" s="108" t="s">
        <v>11</v>
      </c>
      <c r="L3" s="107" t="s">
        <v>12</v>
      </c>
      <c r="M3" s="108" t="s">
        <v>13</v>
      </c>
      <c r="N3" s="107" t="s">
        <v>14</v>
      </c>
      <c r="O3" s="108" t="s">
        <v>15</v>
      </c>
      <c r="P3" s="107" t="s">
        <v>16</v>
      </c>
      <c r="Q3" s="108" t="s">
        <v>17</v>
      </c>
      <c r="R3" s="107" t="s">
        <v>18</v>
      </c>
      <c r="S3" s="108" t="s">
        <v>19</v>
      </c>
      <c r="T3" s="107" t="s">
        <v>20</v>
      </c>
      <c r="U3" s="108" t="s">
        <v>21</v>
      </c>
      <c r="V3" s="107" t="s">
        <v>22</v>
      </c>
      <c r="W3" s="108" t="s">
        <v>23</v>
      </c>
      <c r="X3" s="107" t="s">
        <v>24</v>
      </c>
      <c r="Y3" s="108" t="s">
        <v>25</v>
      </c>
      <c r="Z3" s="107" t="s">
        <v>26</v>
      </c>
      <c r="AA3" s="108" t="s">
        <v>27</v>
      </c>
      <c r="AB3" s="107" t="s">
        <v>28</v>
      </c>
      <c r="AC3" s="120" t="s">
        <v>29</v>
      </c>
    </row>
    <row r="4" s="103" customFormat="1" ht="11.25" spans="1:29">
      <c r="A4" s="109">
        <v>1</v>
      </c>
      <c r="B4" s="109" t="s">
        <v>30</v>
      </c>
      <c r="C4" s="109"/>
      <c r="D4" s="110">
        <f>'17收入'!B47+'17收入'!B48</f>
        <v>6530</v>
      </c>
      <c r="E4" s="111">
        <v>7011.99</v>
      </c>
      <c r="F4" s="110">
        <f>'17收入'!C47+'17收入'!C48</f>
        <v>6670</v>
      </c>
      <c r="G4" s="111">
        <v>7306.48</v>
      </c>
      <c r="H4" s="110">
        <f>'17收入'!D47+'17收入'!D48</f>
        <v>6950</v>
      </c>
      <c r="I4" s="111">
        <v>14634.11</v>
      </c>
      <c r="J4" s="110">
        <f>'17收入'!E47+'17收入'!E48</f>
        <v>6530</v>
      </c>
      <c r="K4" s="111">
        <f>14724.43</f>
        <v>14724.43</v>
      </c>
      <c r="L4" s="110">
        <f>'17收入'!F47+'17收入'!F48</f>
        <v>8070</v>
      </c>
      <c r="M4" s="111">
        <v>9282.13</v>
      </c>
      <c r="N4" s="110">
        <f>'17收入'!G47+'17收入'!G48</f>
        <v>8490</v>
      </c>
      <c r="O4" s="111">
        <v>7445.72</v>
      </c>
      <c r="P4" s="110">
        <f>'17收入'!H47+'17收入'!H48</f>
        <v>8000</v>
      </c>
      <c r="Q4" s="111">
        <v>7368.1</v>
      </c>
      <c r="R4" s="110">
        <f>'17收入'!I47+'17收入'!I48</f>
        <v>6950</v>
      </c>
      <c r="S4" s="111">
        <v>11888.91</v>
      </c>
      <c r="T4" s="110">
        <f>'17收入'!J47+'17收入'!J48</f>
        <v>7440</v>
      </c>
      <c r="U4" s="111">
        <v>25927.6</v>
      </c>
      <c r="V4" s="110">
        <f>'17收入'!K47+'17收入'!K48</f>
        <v>560</v>
      </c>
      <c r="W4" s="111">
        <v>6124.95</v>
      </c>
      <c r="X4" s="110">
        <f>'17收入'!L47+'17收入'!L48</f>
        <v>2240</v>
      </c>
      <c r="Y4" s="111">
        <v>2564.31</v>
      </c>
      <c r="Z4" s="110">
        <f>'17收入'!M47+'17收入'!M48</f>
        <v>1400</v>
      </c>
      <c r="AA4" s="111">
        <v>1615.03</v>
      </c>
      <c r="AB4" s="138">
        <f>SUM(D4,F4,H4,J4,L4:Z4)</f>
        <v>140431.72</v>
      </c>
      <c r="AC4" s="112" t="s">
        <v>31</v>
      </c>
    </row>
    <row r="5" s="103" customFormat="1" ht="11.25" spans="1:29">
      <c r="A5" s="109">
        <v>2</v>
      </c>
      <c r="B5" s="109" t="s">
        <v>32</v>
      </c>
      <c r="C5" s="109"/>
      <c r="D5" s="110"/>
      <c r="E5" s="111"/>
      <c r="F5" s="112"/>
      <c r="G5" s="113"/>
      <c r="H5" s="112"/>
      <c r="I5" s="113"/>
      <c r="J5" s="112"/>
      <c r="K5" s="111"/>
      <c r="L5" s="112"/>
      <c r="M5" s="113"/>
      <c r="N5" s="112"/>
      <c r="O5" s="113"/>
      <c r="P5" s="112"/>
      <c r="Q5" s="113"/>
      <c r="R5" s="112"/>
      <c r="S5" s="113"/>
      <c r="T5" s="112"/>
      <c r="U5" s="113"/>
      <c r="V5" s="112"/>
      <c r="W5" s="113"/>
      <c r="X5" s="112"/>
      <c r="Y5" s="113"/>
      <c r="Z5" s="112"/>
      <c r="AA5" s="113"/>
      <c r="AB5" s="138">
        <f t="shared" ref="AB5:AB48" si="0">SUM(D5,F5,H5,J5,L5:Z5)</f>
        <v>0</v>
      </c>
      <c r="AC5" s="112"/>
    </row>
    <row r="6" s="103" customFormat="1" ht="11.25" spans="1:29">
      <c r="A6" s="109">
        <v>3</v>
      </c>
      <c r="B6" s="109" t="s">
        <v>33</v>
      </c>
      <c r="C6" s="109"/>
      <c r="D6" s="114">
        <f>'17收入'!B49</f>
        <v>3000</v>
      </c>
      <c r="E6" s="115">
        <v>8340.66</v>
      </c>
      <c r="F6" s="114">
        <f>'17收入'!C49</f>
        <v>3000</v>
      </c>
      <c r="G6" s="115">
        <v>7340.75</v>
      </c>
      <c r="H6" s="114">
        <f>'17收入'!D49</f>
        <v>3000</v>
      </c>
      <c r="I6" s="115">
        <v>7571.99</v>
      </c>
      <c r="J6" s="114">
        <f>'17收入'!E49</f>
        <v>3000</v>
      </c>
      <c r="K6" s="127">
        <v>10506.75</v>
      </c>
      <c r="L6" s="114">
        <f>'17收入'!F49</f>
        <v>6000</v>
      </c>
      <c r="M6" s="115">
        <v>7168.5</v>
      </c>
      <c r="N6" s="114">
        <f>'17收入'!G49</f>
        <v>4000</v>
      </c>
      <c r="O6" s="115">
        <v>4563.3</v>
      </c>
      <c r="P6" s="114">
        <f>'17收入'!H49</f>
        <v>4000</v>
      </c>
      <c r="Q6" s="115">
        <v>3846.2</v>
      </c>
      <c r="R6" s="114">
        <f>'17收入'!I49</f>
        <v>5000</v>
      </c>
      <c r="S6" s="115">
        <v>8594.2</v>
      </c>
      <c r="T6" s="114">
        <f>'17收入'!J49</f>
        <v>6000</v>
      </c>
      <c r="U6" s="115">
        <v>8331.85</v>
      </c>
      <c r="V6" s="114">
        <f>'17收入'!K49</f>
        <v>7000</v>
      </c>
      <c r="W6" s="115">
        <v>12282.7</v>
      </c>
      <c r="X6" s="114">
        <f>'17收入'!L49</f>
        <v>8000</v>
      </c>
      <c r="Y6" s="115">
        <v>11999.6</v>
      </c>
      <c r="Z6" s="114">
        <f>'17收入'!M49</f>
        <v>40000</v>
      </c>
      <c r="AA6" s="115">
        <v>13963.1</v>
      </c>
      <c r="AB6" s="138">
        <f t="shared" si="0"/>
        <v>148786.35</v>
      </c>
      <c r="AC6" s="112" t="s">
        <v>34</v>
      </c>
    </row>
    <row r="7" s="103" customFormat="1" ht="11.25" spans="1:29">
      <c r="A7" s="109">
        <v>4</v>
      </c>
      <c r="B7" s="109" t="s">
        <v>35</v>
      </c>
      <c r="C7" s="109"/>
      <c r="D7" s="110">
        <f>'17收入'!B45+'17收入'!B46</f>
        <v>14332.5</v>
      </c>
      <c r="E7" s="111">
        <v>17487.32</v>
      </c>
      <c r="F7" s="110">
        <f>'17收入'!C45+'17收入'!C46</f>
        <v>23992.5</v>
      </c>
      <c r="G7" s="111">
        <v>32970.16</v>
      </c>
      <c r="H7" s="110">
        <f>'17收入'!D45+'17收入'!D46</f>
        <v>30572.5</v>
      </c>
      <c r="I7" s="111">
        <v>43513.79</v>
      </c>
      <c r="J7" s="110">
        <f>'17收入'!E45+'17收入'!E46</f>
        <v>24815</v>
      </c>
      <c r="K7" s="111">
        <v>57540.46</v>
      </c>
      <c r="L7" s="110">
        <f>'17收入'!F45+'17收入'!F46</f>
        <v>24600.415</v>
      </c>
      <c r="M7" s="111">
        <v>54489.36</v>
      </c>
      <c r="N7" s="110">
        <f>'17收入'!G45+'17收入'!G46</f>
        <v>13890.415</v>
      </c>
      <c r="O7" s="111">
        <v>22209.55</v>
      </c>
      <c r="P7" s="110">
        <f>'17收入'!H45+'17收入'!H46</f>
        <v>5293.6625</v>
      </c>
      <c r="Q7" s="111">
        <v>4108.56</v>
      </c>
      <c r="R7" s="110">
        <f>'17收入'!I45+'17收入'!I46</f>
        <v>10184.9125</v>
      </c>
      <c r="S7" s="111">
        <v>10743.15</v>
      </c>
      <c r="T7" s="110">
        <f>'17收入'!J45+'17收入'!J46</f>
        <v>20698.3</v>
      </c>
      <c r="U7" s="111">
        <v>16502.79</v>
      </c>
      <c r="V7" s="110">
        <f>'17收入'!K45+'17收入'!K46</f>
        <v>52803.25</v>
      </c>
      <c r="W7" s="111">
        <v>18028.95</v>
      </c>
      <c r="X7" s="110">
        <f>'17收入'!L45+'17收入'!L46</f>
        <v>9500</v>
      </c>
      <c r="Y7" s="111">
        <v>6314.36</v>
      </c>
      <c r="Z7" s="110">
        <f>'17收入'!M45+'17收入'!M46</f>
        <v>0</v>
      </c>
      <c r="AA7" s="111"/>
      <c r="AB7" s="138">
        <f t="shared" si="0"/>
        <v>363080.175</v>
      </c>
      <c r="AC7" s="112" t="s">
        <v>36</v>
      </c>
    </row>
    <row r="8" s="103" customFormat="1" ht="11.25" spans="1:29">
      <c r="A8" s="109">
        <v>5</v>
      </c>
      <c r="B8" s="109" t="s">
        <v>37</v>
      </c>
      <c r="C8" s="109"/>
      <c r="D8" s="110"/>
      <c r="E8" s="111"/>
      <c r="F8" s="112"/>
      <c r="G8" s="113"/>
      <c r="H8" s="112"/>
      <c r="I8" s="113"/>
      <c r="J8" s="112"/>
      <c r="K8" s="111"/>
      <c r="L8" s="112"/>
      <c r="M8" s="113"/>
      <c r="N8" s="112"/>
      <c r="O8" s="113"/>
      <c r="P8" s="112"/>
      <c r="Q8" s="113"/>
      <c r="R8" s="112"/>
      <c r="S8" s="113"/>
      <c r="T8" s="112"/>
      <c r="U8" s="113"/>
      <c r="V8" s="112"/>
      <c r="W8" s="113"/>
      <c r="X8" s="112"/>
      <c r="Y8" s="113"/>
      <c r="Z8" s="112"/>
      <c r="AA8" s="113">
        <v>20000</v>
      </c>
      <c r="AB8" s="138">
        <f t="shared" si="0"/>
        <v>0</v>
      </c>
      <c r="AC8" s="112"/>
    </row>
    <row r="9" s="103" customFormat="1" ht="11.25" spans="1:29">
      <c r="A9" s="116"/>
      <c r="B9" s="117" t="s">
        <v>38</v>
      </c>
      <c r="C9" s="117"/>
      <c r="D9" s="118">
        <f>SUM(D4:D8)</f>
        <v>23862.5</v>
      </c>
      <c r="E9" s="119">
        <f t="shared" ref="E9:L9" si="1">SUM(E4:E8)</f>
        <v>32839.97</v>
      </c>
      <c r="F9" s="118">
        <f t="shared" si="1"/>
        <v>33662.5</v>
      </c>
      <c r="G9" s="119">
        <f t="shared" si="1"/>
        <v>47617.39</v>
      </c>
      <c r="H9" s="118">
        <f t="shared" si="1"/>
        <v>40522.5</v>
      </c>
      <c r="I9" s="119">
        <f t="shared" si="1"/>
        <v>65719.89</v>
      </c>
      <c r="J9" s="118">
        <f t="shared" si="1"/>
        <v>34345</v>
      </c>
      <c r="K9" s="119">
        <f t="shared" si="1"/>
        <v>82771.64</v>
      </c>
      <c r="L9" s="118">
        <f t="shared" si="1"/>
        <v>38670.415</v>
      </c>
      <c r="M9" s="119">
        <v>70939.99</v>
      </c>
      <c r="N9" s="118">
        <f t="shared" ref="N9:Z9" si="2">SUM(N4:N8)</f>
        <v>26380.415</v>
      </c>
      <c r="O9" s="119">
        <v>34218.57</v>
      </c>
      <c r="P9" s="118">
        <f t="shared" si="2"/>
        <v>17293.6625</v>
      </c>
      <c r="Q9" s="119">
        <v>15322.86</v>
      </c>
      <c r="R9" s="118">
        <f t="shared" si="2"/>
        <v>22134.9125</v>
      </c>
      <c r="S9" s="119">
        <v>31226.26</v>
      </c>
      <c r="T9" s="118">
        <f t="shared" si="2"/>
        <v>34138.3</v>
      </c>
      <c r="U9" s="119">
        <v>50762.24</v>
      </c>
      <c r="V9" s="118">
        <f t="shared" si="2"/>
        <v>60363.25</v>
      </c>
      <c r="W9" s="119">
        <v>36436.6</v>
      </c>
      <c r="X9" s="118">
        <f t="shared" si="2"/>
        <v>19740</v>
      </c>
      <c r="Y9" s="119">
        <v>20878.27</v>
      </c>
      <c r="Z9" s="118">
        <f t="shared" si="2"/>
        <v>41400</v>
      </c>
      <c r="AA9" s="119">
        <v>35578.13</v>
      </c>
      <c r="AB9" s="138">
        <f t="shared" si="0"/>
        <v>652298.245</v>
      </c>
      <c r="AC9" s="112"/>
    </row>
    <row r="10" s="103" customFormat="1" ht="11.25" spans="1:29">
      <c r="A10" s="109">
        <v>6</v>
      </c>
      <c r="B10" s="109" t="s">
        <v>39</v>
      </c>
      <c r="C10" s="109"/>
      <c r="D10" s="110" t="e">
        <f>#REF!</f>
        <v>#REF!</v>
      </c>
      <c r="E10" s="111">
        <v>6441.6</v>
      </c>
      <c r="F10" s="110" t="e">
        <f>#REF!</f>
        <v>#REF!</v>
      </c>
      <c r="G10" s="111">
        <v>6039</v>
      </c>
      <c r="H10" s="110" t="e">
        <f>#REF!</f>
        <v>#REF!</v>
      </c>
      <c r="I10" s="111">
        <v>6200</v>
      </c>
      <c r="J10" s="110" t="e">
        <f>#REF!</f>
        <v>#REF!</v>
      </c>
      <c r="K10" s="111">
        <v>5968.9</v>
      </c>
      <c r="L10" s="110" t="e">
        <f>#REF!</f>
        <v>#REF!</v>
      </c>
      <c r="M10" s="111">
        <v>6642.9</v>
      </c>
      <c r="N10" s="110" t="e">
        <f>#REF!</f>
        <v>#REF!</v>
      </c>
      <c r="O10" s="111">
        <v>7796.6</v>
      </c>
      <c r="P10" s="110" t="e">
        <f>#REF!</f>
        <v>#REF!</v>
      </c>
      <c r="Q10" s="111">
        <v>7796.6</v>
      </c>
      <c r="R10" s="110" t="e">
        <f>#REF!</f>
        <v>#REF!</v>
      </c>
      <c r="S10" s="111">
        <v>9216.7</v>
      </c>
      <c r="T10" s="110" t="e">
        <f>#REF!</f>
        <v>#REF!</v>
      </c>
      <c r="U10" s="111">
        <v>9780.6</v>
      </c>
      <c r="V10" s="110" t="e">
        <f>#REF!</f>
        <v>#REF!</v>
      </c>
      <c r="W10" s="111">
        <v>10304.7</v>
      </c>
      <c r="X10" s="110" t="e">
        <f>#REF!</f>
        <v>#REF!</v>
      </c>
      <c r="Y10" s="111">
        <v>9716.6</v>
      </c>
      <c r="Z10" s="110" t="e">
        <f>#REF!</f>
        <v>#REF!</v>
      </c>
      <c r="AA10" s="111">
        <v>9716.55</v>
      </c>
      <c r="AB10" s="138" t="e">
        <f t="shared" si="0"/>
        <v>#REF!</v>
      </c>
      <c r="AC10" s="112"/>
    </row>
    <row r="11" s="103" customFormat="1" ht="11.25" spans="1:29">
      <c r="A11" s="109">
        <v>7</v>
      </c>
      <c r="B11" s="109" t="s">
        <v>40</v>
      </c>
      <c r="C11" s="109"/>
      <c r="D11" s="114">
        <v>30660</v>
      </c>
      <c r="E11" s="115">
        <v>30720.8</v>
      </c>
      <c r="F11" s="114"/>
      <c r="G11" s="115">
        <v>10.5</v>
      </c>
      <c r="H11" s="114">
        <v>5725.73</v>
      </c>
      <c r="I11" s="115">
        <v>5725.73</v>
      </c>
      <c r="J11" s="114"/>
      <c r="K11" s="127"/>
      <c r="L11" s="114"/>
      <c r="M11" s="115"/>
      <c r="N11" s="114"/>
      <c r="O11" s="115"/>
      <c r="P11" s="114"/>
      <c r="Q11" s="115"/>
      <c r="R11" s="114"/>
      <c r="S11" s="115">
        <v>87.36</v>
      </c>
      <c r="T11" s="114"/>
      <c r="U11" s="115">
        <v>139.8</v>
      </c>
      <c r="V11" s="114"/>
      <c r="W11" s="115">
        <v>175.2</v>
      </c>
      <c r="X11" s="114"/>
      <c r="Y11" s="115">
        <v>99.25</v>
      </c>
      <c r="Z11" s="114"/>
      <c r="AA11" s="115">
        <v>118.86</v>
      </c>
      <c r="AB11" s="138">
        <f t="shared" si="0"/>
        <v>36887.34</v>
      </c>
      <c r="AC11" s="112"/>
    </row>
    <row r="12" s="103" customFormat="1" ht="11.25" spans="1:29">
      <c r="A12" s="109">
        <v>8</v>
      </c>
      <c r="B12" s="109" t="s">
        <v>41</v>
      </c>
      <c r="C12" s="109"/>
      <c r="D12" s="114">
        <v>1488</v>
      </c>
      <c r="E12" s="115">
        <v>1488</v>
      </c>
      <c r="F12" s="114">
        <v>1488</v>
      </c>
      <c r="G12" s="115">
        <v>1488</v>
      </c>
      <c r="H12" s="114">
        <v>1488</v>
      </c>
      <c r="I12" s="115">
        <v>1488</v>
      </c>
      <c r="J12" s="114">
        <v>1488</v>
      </c>
      <c r="K12" s="127">
        <v>1488</v>
      </c>
      <c r="L12" s="114">
        <v>1488</v>
      </c>
      <c r="M12" s="115">
        <v>1488</v>
      </c>
      <c r="N12" s="114">
        <v>1488</v>
      </c>
      <c r="O12" s="115">
        <v>1479</v>
      </c>
      <c r="P12" s="114">
        <v>1488</v>
      </c>
      <c r="Q12" s="115">
        <v>2263.36</v>
      </c>
      <c r="R12" s="114">
        <v>1488</v>
      </c>
      <c r="S12" s="115">
        <v>1575.64</v>
      </c>
      <c r="T12" s="114">
        <v>1488</v>
      </c>
      <c r="U12" s="115">
        <v>1599.64</v>
      </c>
      <c r="V12" s="114">
        <v>1488</v>
      </c>
      <c r="W12" s="115">
        <v>1599.64</v>
      </c>
      <c r="X12" s="114">
        <v>1488</v>
      </c>
      <c r="Y12" s="115">
        <v>1599.64</v>
      </c>
      <c r="Z12" s="114">
        <v>1488</v>
      </c>
      <c r="AA12" s="115">
        <v>1599.64</v>
      </c>
      <c r="AB12" s="138">
        <f t="shared" si="0"/>
        <v>29460.92</v>
      </c>
      <c r="AC12" s="112"/>
    </row>
    <row r="13" s="103" customFormat="1" ht="11.25" spans="1:29">
      <c r="A13" s="116"/>
      <c r="B13" s="117" t="s">
        <v>42</v>
      </c>
      <c r="C13" s="117"/>
      <c r="D13" s="118" t="e">
        <f>SUM(D10:D12)</f>
        <v>#REF!</v>
      </c>
      <c r="E13" s="119">
        <v>38650.4</v>
      </c>
      <c r="F13" s="118" t="e">
        <f t="shared" ref="F13:Z13" si="3">SUM(F10:F12)</f>
        <v>#REF!</v>
      </c>
      <c r="G13" s="119">
        <v>7537.5</v>
      </c>
      <c r="H13" s="118" t="e">
        <f t="shared" si="3"/>
        <v>#REF!</v>
      </c>
      <c r="I13" s="119">
        <v>13413.73</v>
      </c>
      <c r="J13" s="118" t="e">
        <f t="shared" si="3"/>
        <v>#REF!</v>
      </c>
      <c r="K13" s="119">
        <f t="shared" si="3"/>
        <v>7456.9</v>
      </c>
      <c r="L13" s="118" t="e">
        <f t="shared" si="3"/>
        <v>#REF!</v>
      </c>
      <c r="M13" s="119">
        <v>8130.9</v>
      </c>
      <c r="N13" s="118" t="e">
        <f t="shared" si="3"/>
        <v>#REF!</v>
      </c>
      <c r="O13" s="119">
        <v>9275.6</v>
      </c>
      <c r="P13" s="118" t="e">
        <f t="shared" si="3"/>
        <v>#REF!</v>
      </c>
      <c r="Q13" s="119">
        <v>10059.96</v>
      </c>
      <c r="R13" s="118" t="e">
        <f t="shared" si="3"/>
        <v>#REF!</v>
      </c>
      <c r="S13" s="119">
        <v>10879.7</v>
      </c>
      <c r="T13" s="118" t="e">
        <f t="shared" si="3"/>
        <v>#REF!</v>
      </c>
      <c r="U13" s="119">
        <v>11520.04</v>
      </c>
      <c r="V13" s="118" t="e">
        <f t="shared" si="3"/>
        <v>#REF!</v>
      </c>
      <c r="W13" s="119">
        <v>12079.54</v>
      </c>
      <c r="X13" s="118" t="e">
        <f t="shared" si="3"/>
        <v>#REF!</v>
      </c>
      <c r="Y13" s="119">
        <v>11415.49</v>
      </c>
      <c r="Z13" s="118" t="e">
        <f t="shared" si="3"/>
        <v>#REF!</v>
      </c>
      <c r="AA13" s="119">
        <v>11435.05</v>
      </c>
      <c r="AB13" s="138" t="e">
        <f t="shared" si="0"/>
        <v>#REF!</v>
      </c>
      <c r="AC13" s="112"/>
    </row>
    <row r="14" s="103" customFormat="1" ht="11.25" spans="1:29">
      <c r="A14" s="109">
        <v>9</v>
      </c>
      <c r="B14" s="109" t="s">
        <v>43</v>
      </c>
      <c r="C14" s="109"/>
      <c r="D14" s="120"/>
      <c r="E14" s="121"/>
      <c r="F14" s="120"/>
      <c r="G14" s="121"/>
      <c r="H14" s="120"/>
      <c r="I14" s="121"/>
      <c r="J14" s="120"/>
      <c r="K14" s="127"/>
      <c r="L14" s="120"/>
      <c r="M14" s="121"/>
      <c r="N14" s="120"/>
      <c r="O14" s="121"/>
      <c r="P14" s="120"/>
      <c r="Q14" s="121">
        <v>2285.72</v>
      </c>
      <c r="R14" s="120"/>
      <c r="S14" s="121"/>
      <c r="T14" s="120"/>
      <c r="U14" s="121"/>
      <c r="V14" s="120"/>
      <c r="W14" s="121"/>
      <c r="X14" s="120"/>
      <c r="Y14" s="121"/>
      <c r="Z14" s="120"/>
      <c r="AA14" s="121"/>
      <c r="AB14" s="138">
        <f t="shared" si="0"/>
        <v>2285.72</v>
      </c>
      <c r="AC14" s="112"/>
    </row>
    <row r="15" s="103" customFormat="1" ht="11.25" spans="1:29">
      <c r="A15" s="109">
        <v>10</v>
      </c>
      <c r="B15" s="109" t="s">
        <v>44</v>
      </c>
      <c r="C15" s="109"/>
      <c r="D15" s="110"/>
      <c r="E15" s="111"/>
      <c r="F15" s="110">
        <v>100</v>
      </c>
      <c r="G15" s="111">
        <v>100</v>
      </c>
      <c r="H15" s="110"/>
      <c r="I15" s="111"/>
      <c r="J15" s="110">
        <v>100</v>
      </c>
      <c r="K15" s="111">
        <v>100</v>
      </c>
      <c r="L15" s="110"/>
      <c r="M15" s="111"/>
      <c r="N15" s="110">
        <v>100</v>
      </c>
      <c r="O15" s="111">
        <v>100</v>
      </c>
      <c r="P15" s="110"/>
      <c r="Q15" s="111">
        <v>16.6</v>
      </c>
      <c r="R15" s="110">
        <v>100</v>
      </c>
      <c r="S15" s="111">
        <v>28.6</v>
      </c>
      <c r="T15" s="110"/>
      <c r="U15" s="111">
        <v>100</v>
      </c>
      <c r="V15" s="110">
        <v>100</v>
      </c>
      <c r="W15" s="111"/>
      <c r="X15" s="110"/>
      <c r="Y15" s="111">
        <v>42.84</v>
      </c>
      <c r="Z15" s="110">
        <v>100</v>
      </c>
      <c r="AA15" s="111">
        <v>71.45</v>
      </c>
      <c r="AB15" s="138">
        <f t="shared" si="0"/>
        <v>888.04</v>
      </c>
      <c r="AC15" s="112"/>
    </row>
    <row r="16" s="103" customFormat="1" ht="11.25" spans="1:29">
      <c r="A16" s="109">
        <v>11</v>
      </c>
      <c r="B16" s="109" t="s">
        <v>45</v>
      </c>
      <c r="C16" s="109"/>
      <c r="D16" s="112"/>
      <c r="E16" s="122"/>
      <c r="F16" s="112"/>
      <c r="G16" s="122"/>
      <c r="H16" s="112"/>
      <c r="I16" s="122"/>
      <c r="J16" s="112"/>
      <c r="K16" s="136"/>
      <c r="L16" s="112"/>
      <c r="M16" s="113"/>
      <c r="N16" s="112"/>
      <c r="O16" s="113"/>
      <c r="P16" s="112"/>
      <c r="Q16" s="113"/>
      <c r="R16" s="112"/>
      <c r="S16" s="113"/>
      <c r="T16" s="112"/>
      <c r="U16" s="113"/>
      <c r="V16" s="112"/>
      <c r="W16" s="113"/>
      <c r="X16" s="112"/>
      <c r="Y16" s="113"/>
      <c r="Z16" s="112"/>
      <c r="AA16" s="113"/>
      <c r="AB16" s="138">
        <f t="shared" si="0"/>
        <v>0</v>
      </c>
      <c r="AC16" s="112"/>
    </row>
    <row r="17" s="103" customFormat="1" ht="11.25" spans="1:29">
      <c r="A17" s="109">
        <v>12</v>
      </c>
      <c r="B17" s="109" t="s">
        <v>46</v>
      </c>
      <c r="C17" s="109"/>
      <c r="D17" s="123" t="e">
        <f>#REF!</f>
        <v>#REF!</v>
      </c>
      <c r="E17" s="111">
        <v>440.1</v>
      </c>
      <c r="F17" s="123" t="e">
        <f>#REF!</f>
        <v>#REF!</v>
      </c>
      <c r="G17" s="111">
        <v>3460.12</v>
      </c>
      <c r="H17" s="123" t="e">
        <f>#REF!</f>
        <v>#REF!</v>
      </c>
      <c r="I17" s="111">
        <v>1168.71</v>
      </c>
      <c r="J17" s="123" t="e">
        <f>#REF!</f>
        <v>#REF!</v>
      </c>
      <c r="K17" s="111">
        <v>1682.34</v>
      </c>
      <c r="L17" s="123" t="e">
        <f>#REF!</f>
        <v>#REF!</v>
      </c>
      <c r="M17" s="122">
        <v>1563.17</v>
      </c>
      <c r="N17" s="123" t="e">
        <f>#REF!</f>
        <v>#REF!</v>
      </c>
      <c r="O17" s="122">
        <v>1217.61</v>
      </c>
      <c r="P17" s="123" t="e">
        <f>#REF!</f>
        <v>#REF!</v>
      </c>
      <c r="Q17" s="122">
        <v>1207.83</v>
      </c>
      <c r="R17" s="123" t="e">
        <f>#REF!</f>
        <v>#REF!</v>
      </c>
      <c r="S17" s="122">
        <v>1657.71</v>
      </c>
      <c r="T17" s="123" t="e">
        <f>#REF!</f>
        <v>#REF!</v>
      </c>
      <c r="U17" s="122">
        <v>7293.63</v>
      </c>
      <c r="V17" s="123" t="e">
        <f>#REF!</f>
        <v>#REF!</v>
      </c>
      <c r="W17" s="122">
        <v>1660.73</v>
      </c>
      <c r="X17" s="123" t="e">
        <f>#REF!+7500</f>
        <v>#REF!</v>
      </c>
      <c r="Y17" s="122">
        <v>2856.27</v>
      </c>
      <c r="Z17" s="123" t="e">
        <f>#REF!</f>
        <v>#REF!</v>
      </c>
      <c r="AA17" s="122">
        <v>5708.19</v>
      </c>
      <c r="AB17" s="138" t="e">
        <f t="shared" si="0"/>
        <v>#REF!</v>
      </c>
      <c r="AC17" s="112" t="s">
        <v>47</v>
      </c>
    </row>
    <row r="18" s="103" customFormat="1" ht="11.25" spans="1:29">
      <c r="A18" s="109">
        <v>13</v>
      </c>
      <c r="B18" s="109" t="s">
        <v>48</v>
      </c>
      <c r="C18" s="109"/>
      <c r="D18" s="110">
        <f>'17收入'!G26/0.065*0.3</f>
        <v>1384.61538461538</v>
      </c>
      <c r="E18" s="111"/>
      <c r="F18" s="110">
        <f>'17收入'!I26/0.065*0.3</f>
        <v>1384.61538461538</v>
      </c>
      <c r="G18" s="111">
        <v>914</v>
      </c>
      <c r="H18" s="110">
        <f>'17收入'!K26/0.065*0.3</f>
        <v>1384.61538461538</v>
      </c>
      <c r="I18" s="111">
        <v>2104.8</v>
      </c>
      <c r="J18" s="110">
        <f>'17收入'!M26/0.065*0.3</f>
        <v>1384.61538461538</v>
      </c>
      <c r="K18" s="111">
        <v>4500</v>
      </c>
      <c r="L18" s="110" t="e">
        <f>#REF!</f>
        <v>#REF!</v>
      </c>
      <c r="M18" s="111"/>
      <c r="N18" s="110" t="e">
        <f>#REF!</f>
        <v>#REF!</v>
      </c>
      <c r="O18" s="111">
        <v>8500</v>
      </c>
      <c r="P18" s="110" t="e">
        <f>#REF!</f>
        <v>#REF!</v>
      </c>
      <c r="Q18" s="111">
        <v>43.53</v>
      </c>
      <c r="R18" s="110" t="e">
        <f>#REF!</f>
        <v>#REF!</v>
      </c>
      <c r="S18" s="111"/>
      <c r="T18" s="110" t="e">
        <f>#REF!</f>
        <v>#REF!</v>
      </c>
      <c r="U18" s="111">
        <v>5274.9</v>
      </c>
      <c r="V18" s="110" t="e">
        <f>#REF!</f>
        <v>#REF!</v>
      </c>
      <c r="W18" s="111">
        <v>11316.56</v>
      </c>
      <c r="X18" s="110" t="e">
        <f>#REF!</f>
        <v>#REF!</v>
      </c>
      <c r="Y18" s="111">
        <v>-4126.5</v>
      </c>
      <c r="Z18" s="110" t="e">
        <f>#REF!</f>
        <v>#REF!</v>
      </c>
      <c r="AA18" s="111">
        <v>5763.1</v>
      </c>
      <c r="AB18" s="138" t="e">
        <f t="shared" si="0"/>
        <v>#REF!</v>
      </c>
      <c r="AC18" s="112" t="s">
        <v>49</v>
      </c>
    </row>
    <row r="19" s="103" customFormat="1" ht="11.25" spans="1:29">
      <c r="A19" s="109">
        <v>14</v>
      </c>
      <c r="B19" s="109" t="s">
        <v>50</v>
      </c>
      <c r="C19" s="109"/>
      <c r="D19" s="110"/>
      <c r="E19" s="111"/>
      <c r="F19" s="110"/>
      <c r="G19" s="111"/>
      <c r="H19" s="110"/>
      <c r="I19" s="111"/>
      <c r="J19" s="110"/>
      <c r="K19" s="111"/>
      <c r="L19" s="110"/>
      <c r="M19" s="111"/>
      <c r="N19" s="110"/>
      <c r="O19" s="111"/>
      <c r="P19" s="110"/>
      <c r="Q19" s="111"/>
      <c r="R19" s="110"/>
      <c r="S19" s="111"/>
      <c r="T19" s="110"/>
      <c r="U19" s="111"/>
      <c r="V19" s="110"/>
      <c r="W19" s="111"/>
      <c r="X19" s="110"/>
      <c r="Y19" s="111"/>
      <c r="Z19" s="110"/>
      <c r="AA19" s="111"/>
      <c r="AB19" s="138">
        <f t="shared" si="0"/>
        <v>0</v>
      </c>
      <c r="AC19" s="112"/>
    </row>
    <row r="20" s="103" customFormat="1" ht="11.25" spans="1:29">
      <c r="A20" s="109">
        <v>15</v>
      </c>
      <c r="B20" s="109" t="s">
        <v>51</v>
      </c>
      <c r="C20" s="109"/>
      <c r="D20" s="110"/>
      <c r="E20" s="111"/>
      <c r="F20" s="110"/>
      <c r="G20" s="111"/>
      <c r="H20" s="110"/>
      <c r="I20" s="111"/>
      <c r="J20" s="110"/>
      <c r="K20" s="111">
        <v>656</v>
      </c>
      <c r="L20" s="110"/>
      <c r="M20" s="111"/>
      <c r="N20" s="110"/>
      <c r="O20" s="111"/>
      <c r="P20" s="110"/>
      <c r="Q20" s="111"/>
      <c r="R20" s="110">
        <v>1000</v>
      </c>
      <c r="S20" s="111">
        <v>255</v>
      </c>
      <c r="T20" s="110"/>
      <c r="U20" s="111"/>
      <c r="V20" s="110"/>
      <c r="W20" s="111"/>
      <c r="X20" s="110"/>
      <c r="Y20" s="111"/>
      <c r="Z20" s="110">
        <v>1000</v>
      </c>
      <c r="AA20" s="111"/>
      <c r="AB20" s="138">
        <f t="shared" si="0"/>
        <v>2255</v>
      </c>
      <c r="AC20" s="112" t="s">
        <v>51</v>
      </c>
    </row>
    <row r="21" s="103" customFormat="1" ht="11.25" spans="1:29">
      <c r="A21" s="109">
        <v>16</v>
      </c>
      <c r="B21" s="109" t="s">
        <v>52</v>
      </c>
      <c r="C21" s="109"/>
      <c r="D21" s="110"/>
      <c r="E21" s="111"/>
      <c r="F21" s="110"/>
      <c r="G21" s="111"/>
      <c r="H21" s="110"/>
      <c r="I21" s="111"/>
      <c r="J21" s="110"/>
      <c r="K21" s="111"/>
      <c r="L21" s="110"/>
      <c r="M21" s="111"/>
      <c r="N21" s="110"/>
      <c r="O21" s="111"/>
      <c r="P21" s="110"/>
      <c r="Q21" s="111"/>
      <c r="R21" s="110"/>
      <c r="S21" s="111"/>
      <c r="T21" s="110"/>
      <c r="U21" s="111"/>
      <c r="V21" s="110"/>
      <c r="W21" s="111"/>
      <c r="X21" s="110"/>
      <c r="Y21" s="111"/>
      <c r="Z21" s="110"/>
      <c r="AA21" s="111"/>
      <c r="AB21" s="138">
        <f t="shared" si="0"/>
        <v>0</v>
      </c>
      <c r="AC21" s="112"/>
    </row>
    <row r="22" s="103" customFormat="1" ht="12" spans="1:29">
      <c r="A22" s="109">
        <v>17</v>
      </c>
      <c r="B22" s="109" t="s">
        <v>53</v>
      </c>
      <c r="C22" s="109"/>
      <c r="D22" s="124"/>
      <c r="E22" s="115"/>
      <c r="F22" s="124"/>
      <c r="G22" s="115"/>
      <c r="H22" s="124"/>
      <c r="I22" s="115"/>
      <c r="J22" s="124"/>
      <c r="K22" s="127"/>
      <c r="L22" s="124"/>
      <c r="M22" s="137"/>
      <c r="N22" s="124"/>
      <c r="O22" s="137"/>
      <c r="P22" s="124"/>
      <c r="Q22" s="137"/>
      <c r="R22" s="124"/>
      <c r="S22" s="137"/>
      <c r="T22" s="124"/>
      <c r="U22" s="137"/>
      <c r="V22" s="124"/>
      <c r="W22" s="137"/>
      <c r="X22" s="124"/>
      <c r="Y22" s="137"/>
      <c r="Z22" s="124"/>
      <c r="AA22" s="137"/>
      <c r="AB22" s="138">
        <f t="shared" si="0"/>
        <v>0</v>
      </c>
      <c r="AC22" s="112"/>
    </row>
    <row r="23" s="103" customFormat="1" ht="12" spans="1:29">
      <c r="A23" s="109">
        <v>18</v>
      </c>
      <c r="B23" s="125" t="s">
        <v>54</v>
      </c>
      <c r="C23" s="125"/>
      <c r="D23" s="124">
        <v>72.68</v>
      </c>
      <c r="E23" s="115">
        <v>72.68</v>
      </c>
      <c r="F23" s="124">
        <v>72.68</v>
      </c>
      <c r="G23" s="115">
        <v>72.68</v>
      </c>
      <c r="H23" s="124">
        <v>72.68</v>
      </c>
      <c r="I23" s="115">
        <v>72.68</v>
      </c>
      <c r="J23" s="124">
        <v>72.68</v>
      </c>
      <c r="K23" s="127">
        <v>72.68</v>
      </c>
      <c r="L23" s="124">
        <v>72.68</v>
      </c>
      <c r="M23" s="137">
        <v>72.68</v>
      </c>
      <c r="N23" s="124">
        <v>72.68</v>
      </c>
      <c r="O23" s="137">
        <v>72.68</v>
      </c>
      <c r="P23" s="124">
        <v>72.68</v>
      </c>
      <c r="Q23" s="137">
        <v>72.68</v>
      </c>
      <c r="R23" s="124">
        <v>72.68</v>
      </c>
      <c r="S23" s="137">
        <v>72.68</v>
      </c>
      <c r="T23" s="124">
        <v>72.68</v>
      </c>
      <c r="U23" s="137">
        <v>72.68</v>
      </c>
      <c r="V23" s="124">
        <v>72.68</v>
      </c>
      <c r="W23" s="137">
        <v>132.68</v>
      </c>
      <c r="X23" s="124">
        <v>72.68</v>
      </c>
      <c r="Y23" s="137">
        <v>132.68</v>
      </c>
      <c r="Z23" s="124">
        <v>72.68</v>
      </c>
      <c r="AA23" s="137">
        <v>132.68</v>
      </c>
      <c r="AB23" s="138">
        <f t="shared" si="0"/>
        <v>1500.92</v>
      </c>
      <c r="AC23" s="112" t="s">
        <v>55</v>
      </c>
    </row>
    <row r="24" s="103" customFormat="1" ht="11.25" spans="1:29">
      <c r="A24" s="109">
        <v>19</v>
      </c>
      <c r="B24" s="109" t="s">
        <v>56</v>
      </c>
      <c r="C24" s="109"/>
      <c r="D24" s="110"/>
      <c r="E24" s="111"/>
      <c r="F24" s="110"/>
      <c r="G24" s="111"/>
      <c r="H24" s="110"/>
      <c r="I24" s="111"/>
      <c r="J24" s="110"/>
      <c r="K24" s="111"/>
      <c r="L24" s="110"/>
      <c r="M24" s="111"/>
      <c r="N24" s="110"/>
      <c r="O24" s="111"/>
      <c r="P24" s="110"/>
      <c r="Q24" s="111"/>
      <c r="R24" s="110"/>
      <c r="S24" s="111"/>
      <c r="T24" s="110"/>
      <c r="U24" s="111">
        <v>100</v>
      </c>
      <c r="V24" s="110"/>
      <c r="W24" s="111"/>
      <c r="X24" s="110"/>
      <c r="Y24" s="111"/>
      <c r="Z24" s="110"/>
      <c r="AA24" s="111"/>
      <c r="AB24" s="138">
        <f t="shared" si="0"/>
        <v>100</v>
      </c>
      <c r="AC24" s="112"/>
    </row>
    <row r="25" s="103" customFormat="1" ht="11.25" spans="1:29">
      <c r="A25" s="109">
        <v>20</v>
      </c>
      <c r="B25" s="109" t="s">
        <v>57</v>
      </c>
      <c r="C25" s="109"/>
      <c r="D25" s="110"/>
      <c r="E25" s="111"/>
      <c r="F25" s="110"/>
      <c r="G25" s="111"/>
      <c r="H25" s="110"/>
      <c r="I25" s="111"/>
      <c r="J25" s="110"/>
      <c r="K25" s="111"/>
      <c r="L25" s="110"/>
      <c r="M25" s="111"/>
      <c r="N25" s="110"/>
      <c r="O25" s="111"/>
      <c r="P25" s="110"/>
      <c r="Q25" s="111"/>
      <c r="R25" s="110"/>
      <c r="S25" s="111"/>
      <c r="T25" s="110"/>
      <c r="U25" s="111"/>
      <c r="V25" s="110"/>
      <c r="W25" s="111"/>
      <c r="X25" s="110"/>
      <c r="Y25" s="111"/>
      <c r="Z25" s="110"/>
      <c r="AA25" s="111"/>
      <c r="AB25" s="138">
        <f t="shared" si="0"/>
        <v>0</v>
      </c>
      <c r="AC25" s="112"/>
    </row>
    <row r="26" s="103" customFormat="1" ht="11.25" spans="1:29">
      <c r="A26" s="109">
        <v>21</v>
      </c>
      <c r="B26" s="109" t="s">
        <v>58</v>
      </c>
      <c r="C26" s="109"/>
      <c r="D26" s="110"/>
      <c r="E26" s="111"/>
      <c r="F26" s="110"/>
      <c r="G26" s="111"/>
      <c r="H26" s="110"/>
      <c r="I26" s="111"/>
      <c r="J26" s="110"/>
      <c r="K26" s="111"/>
      <c r="L26" s="110"/>
      <c r="M26" s="111"/>
      <c r="N26" s="110"/>
      <c r="O26" s="111"/>
      <c r="P26" s="110"/>
      <c r="Q26" s="111"/>
      <c r="R26" s="110"/>
      <c r="S26" s="111"/>
      <c r="T26" s="110"/>
      <c r="U26" s="111"/>
      <c r="V26" s="110"/>
      <c r="W26" s="111"/>
      <c r="X26" s="110"/>
      <c r="Y26" s="111"/>
      <c r="Z26" s="110"/>
      <c r="AA26" s="111"/>
      <c r="AB26" s="138">
        <f t="shared" si="0"/>
        <v>0</v>
      </c>
      <c r="AC26" s="112"/>
    </row>
    <row r="27" s="103" customFormat="1" ht="11.25" spans="1:29">
      <c r="A27" s="109">
        <v>22</v>
      </c>
      <c r="B27" s="109" t="s">
        <v>59</v>
      </c>
      <c r="C27" s="109"/>
      <c r="D27" s="110"/>
      <c r="E27" s="111">
        <v>158</v>
      </c>
      <c r="F27" s="110"/>
      <c r="G27" s="111"/>
      <c r="H27" s="110"/>
      <c r="I27" s="111">
        <v>56</v>
      </c>
      <c r="J27" s="110"/>
      <c r="K27" s="111">
        <v>-54</v>
      </c>
      <c r="L27" s="110"/>
      <c r="M27" s="111"/>
      <c r="N27" s="110"/>
      <c r="O27" s="111"/>
      <c r="P27" s="110"/>
      <c r="Q27" s="111">
        <v>51.48</v>
      </c>
      <c r="R27" s="110"/>
      <c r="S27" s="111"/>
      <c r="T27" s="110"/>
      <c r="U27" s="111">
        <v>90</v>
      </c>
      <c r="V27" s="110"/>
      <c r="W27" s="111"/>
      <c r="X27" s="110"/>
      <c r="Y27" s="111"/>
      <c r="Z27" s="110"/>
      <c r="AA27" s="111"/>
      <c r="AB27" s="138">
        <f t="shared" si="0"/>
        <v>141.48</v>
      </c>
      <c r="AC27" s="112"/>
    </row>
    <row r="28" s="103" customFormat="1" ht="11.25" spans="1:29">
      <c r="A28" s="109">
        <v>23</v>
      </c>
      <c r="B28" s="109" t="s">
        <v>60</v>
      </c>
      <c r="C28" s="109"/>
      <c r="D28" s="126"/>
      <c r="E28" s="127">
        <v>0.9</v>
      </c>
      <c r="F28" s="126"/>
      <c r="G28" s="127">
        <v>2.3</v>
      </c>
      <c r="H28" s="126"/>
      <c r="I28" s="127">
        <v>2.28</v>
      </c>
      <c r="J28" s="126"/>
      <c r="K28" s="127">
        <v>4.65</v>
      </c>
      <c r="L28" s="114">
        <v>4.65</v>
      </c>
      <c r="M28" s="115">
        <v>4.42</v>
      </c>
      <c r="N28" s="114">
        <v>4.65</v>
      </c>
      <c r="O28" s="115">
        <v>2.7</v>
      </c>
      <c r="P28" s="114">
        <v>4.65</v>
      </c>
      <c r="Q28" s="115">
        <v>2.23</v>
      </c>
      <c r="R28" s="114">
        <v>4.65</v>
      </c>
      <c r="S28" s="115">
        <v>2.21</v>
      </c>
      <c r="T28" s="114">
        <v>4.65</v>
      </c>
      <c r="U28" s="115">
        <v>3.57</v>
      </c>
      <c r="V28" s="114">
        <v>4.65</v>
      </c>
      <c r="W28" s="115">
        <v>7.78</v>
      </c>
      <c r="X28" s="114">
        <v>4.65</v>
      </c>
      <c r="Y28" s="115">
        <v>1.84</v>
      </c>
      <c r="Z28" s="114">
        <v>4.65</v>
      </c>
      <c r="AA28" s="115">
        <v>0.77</v>
      </c>
      <c r="AB28" s="138">
        <f t="shared" si="0"/>
        <v>61.95</v>
      </c>
      <c r="AC28" s="112" t="s">
        <v>61</v>
      </c>
    </row>
    <row r="29" s="103" customFormat="1" ht="11.25" spans="1:29">
      <c r="A29" s="109">
        <v>24</v>
      </c>
      <c r="B29" s="125" t="s">
        <v>62</v>
      </c>
      <c r="C29" s="125"/>
      <c r="D29" s="126"/>
      <c r="E29" s="127"/>
      <c r="F29" s="126"/>
      <c r="G29" s="127"/>
      <c r="H29" s="126"/>
      <c r="I29" s="127"/>
      <c r="J29" s="126"/>
      <c r="K29" s="127"/>
      <c r="L29" s="126"/>
      <c r="M29" s="127"/>
      <c r="N29" s="126"/>
      <c r="O29" s="127"/>
      <c r="P29" s="126"/>
      <c r="Q29" s="127"/>
      <c r="R29" s="126"/>
      <c r="S29" s="127"/>
      <c r="T29" s="126"/>
      <c r="U29" s="127"/>
      <c r="V29" s="126"/>
      <c r="W29" s="127"/>
      <c r="X29" s="126"/>
      <c r="Y29" s="127"/>
      <c r="Z29" s="126"/>
      <c r="AA29" s="127"/>
      <c r="AB29" s="138">
        <f t="shared" si="0"/>
        <v>0</v>
      </c>
      <c r="AC29" s="112"/>
    </row>
    <row r="30" s="103" customFormat="1" ht="11.25" spans="1:29">
      <c r="A30" s="109">
        <v>25</v>
      </c>
      <c r="B30" s="125" t="s">
        <v>63</v>
      </c>
      <c r="C30" s="125"/>
      <c r="D30" s="114" t="e">
        <f>#REF!</f>
        <v>#REF!</v>
      </c>
      <c r="E30" s="127">
        <v>5398</v>
      </c>
      <c r="F30" s="114" t="e">
        <f>#REF!</f>
        <v>#REF!</v>
      </c>
      <c r="G30" s="127">
        <v>1506.76</v>
      </c>
      <c r="H30" s="114" t="e">
        <f>#REF!</f>
        <v>#REF!</v>
      </c>
      <c r="I30" s="127">
        <v>1130</v>
      </c>
      <c r="J30" s="114" t="e">
        <f>#REF!</f>
        <v>#REF!</v>
      </c>
      <c r="K30" s="127">
        <f>570+240+151+145+110</f>
        <v>1216</v>
      </c>
      <c r="L30" s="114" t="e">
        <f>#REF!</f>
        <v>#REF!</v>
      </c>
      <c r="M30" s="115">
        <v>1087</v>
      </c>
      <c r="N30" s="114" t="e">
        <f>#REF!</f>
        <v>#REF!</v>
      </c>
      <c r="O30" s="115">
        <v>1031</v>
      </c>
      <c r="P30" s="114" t="e">
        <f>#REF!</f>
        <v>#REF!</v>
      </c>
      <c r="Q30" s="115">
        <v>1361.7</v>
      </c>
      <c r="R30" s="114" t="e">
        <f>#REF!</f>
        <v>#REF!</v>
      </c>
      <c r="S30" s="115">
        <v>1420</v>
      </c>
      <c r="T30" s="114" t="e">
        <f>#REF!</f>
        <v>#REF!</v>
      </c>
      <c r="U30" s="115">
        <v>1997.84</v>
      </c>
      <c r="V30" s="114" t="e">
        <f>#REF!</f>
        <v>#REF!</v>
      </c>
      <c r="W30" s="115">
        <v>1178</v>
      </c>
      <c r="X30" s="114" t="e">
        <f>#REF!</f>
        <v>#REF!</v>
      </c>
      <c r="Y30" s="115">
        <v>1445</v>
      </c>
      <c r="Z30" s="114" t="e">
        <f>#REF!</f>
        <v>#REF!</v>
      </c>
      <c r="AA30" s="115">
        <v>1074</v>
      </c>
      <c r="AB30" s="138" t="e">
        <f t="shared" si="0"/>
        <v>#REF!</v>
      </c>
      <c r="AC30" s="112"/>
    </row>
    <row r="31" s="103" customFormat="1" ht="11.25" spans="1:29">
      <c r="A31" s="109">
        <v>26</v>
      </c>
      <c r="B31" s="125" t="s">
        <v>64</v>
      </c>
      <c r="C31" s="125"/>
      <c r="D31" s="110">
        <f>D9*6%</f>
        <v>1431.75</v>
      </c>
      <c r="E31" s="111">
        <v>1970.3982</v>
      </c>
      <c r="F31" s="110">
        <f t="shared" ref="F31:Z31" si="4">F9*6%</f>
        <v>2019.75</v>
      </c>
      <c r="G31" s="111">
        <v>2857.0434</v>
      </c>
      <c r="H31" s="110">
        <f t="shared" si="4"/>
        <v>2431.35</v>
      </c>
      <c r="I31" s="111">
        <v>3943.1934</v>
      </c>
      <c r="J31" s="110">
        <f t="shared" si="4"/>
        <v>2060.7</v>
      </c>
      <c r="K31" s="111">
        <f>K9*0.06</f>
        <v>4966.2984</v>
      </c>
      <c r="L31" s="110">
        <f t="shared" si="4"/>
        <v>2320.2249</v>
      </c>
      <c r="M31" s="111">
        <v>4256.3994</v>
      </c>
      <c r="N31" s="110">
        <f t="shared" si="4"/>
        <v>1582.8249</v>
      </c>
      <c r="O31" s="111">
        <v>2053.1142</v>
      </c>
      <c r="P31" s="110">
        <f t="shared" si="4"/>
        <v>1037.61975</v>
      </c>
      <c r="Q31" s="111">
        <v>919.3716</v>
      </c>
      <c r="R31" s="110">
        <f t="shared" si="4"/>
        <v>1328.09475</v>
      </c>
      <c r="S31" s="111">
        <v>1873.5756</v>
      </c>
      <c r="T31" s="110">
        <f t="shared" si="4"/>
        <v>2048.298</v>
      </c>
      <c r="U31" s="111">
        <v>3045.7344</v>
      </c>
      <c r="V31" s="110">
        <f t="shared" si="4"/>
        <v>3621.795</v>
      </c>
      <c r="W31" s="111">
        <v>2186.196</v>
      </c>
      <c r="X31" s="110">
        <f t="shared" si="4"/>
        <v>1184.4</v>
      </c>
      <c r="Y31" s="111">
        <v>1252.6962</v>
      </c>
      <c r="Z31" s="110">
        <f t="shared" si="4"/>
        <v>2484</v>
      </c>
      <c r="AA31" s="111">
        <v>2134.6878</v>
      </c>
      <c r="AB31" s="138">
        <f t="shared" si="0"/>
        <v>39137.8947</v>
      </c>
      <c r="AC31" s="112" t="s">
        <v>65</v>
      </c>
    </row>
    <row r="32" s="103" customFormat="1" ht="11.25" spans="1:29">
      <c r="A32" s="109">
        <v>27</v>
      </c>
      <c r="B32" s="109" t="s">
        <v>66</v>
      </c>
      <c r="C32" s="109"/>
      <c r="D32" s="126"/>
      <c r="E32" s="127"/>
      <c r="F32" s="126"/>
      <c r="G32" s="127"/>
      <c r="H32" s="126"/>
      <c r="I32" s="127"/>
      <c r="J32" s="114">
        <v>-10000</v>
      </c>
      <c r="K32" s="115">
        <v>-10000</v>
      </c>
      <c r="L32" s="114">
        <v>-10000</v>
      </c>
      <c r="M32" s="115">
        <v>-10000</v>
      </c>
      <c r="N32" s="114">
        <v>-10000</v>
      </c>
      <c r="O32" s="115">
        <v>-6.24</v>
      </c>
      <c r="P32" s="126"/>
      <c r="Q32" s="127">
        <v>71.42</v>
      </c>
      <c r="R32" s="126"/>
      <c r="S32" s="127"/>
      <c r="T32" s="126"/>
      <c r="U32" s="127">
        <v>50</v>
      </c>
      <c r="V32" s="126"/>
      <c r="W32" s="127">
        <v>2411.6</v>
      </c>
      <c r="X32" s="126"/>
      <c r="Y32" s="127">
        <v>-14220.32</v>
      </c>
      <c r="Z32" s="126"/>
      <c r="AA32" s="127">
        <v>-8926.42</v>
      </c>
      <c r="AB32" s="138">
        <f t="shared" si="0"/>
        <v>-51693.54</v>
      </c>
      <c r="AC32" s="112"/>
    </row>
    <row r="33" s="103" customFormat="1" ht="11.25" spans="1:29">
      <c r="A33" s="116"/>
      <c r="B33" s="117" t="s">
        <v>67</v>
      </c>
      <c r="C33" s="117"/>
      <c r="D33" s="118" t="e">
        <f>SUM(D14:D32)</f>
        <v>#REF!</v>
      </c>
      <c r="E33" s="119">
        <v>8040.0782</v>
      </c>
      <c r="F33" s="118" t="e">
        <f t="shared" ref="F33:Z33" si="5">SUM(F14:F32)</f>
        <v>#REF!</v>
      </c>
      <c r="G33" s="119">
        <v>8912.9034</v>
      </c>
      <c r="H33" s="118" t="e">
        <f t="shared" si="5"/>
        <v>#REF!</v>
      </c>
      <c r="I33" s="119">
        <v>8477.6634</v>
      </c>
      <c r="J33" s="118" t="e">
        <f t="shared" si="5"/>
        <v>#REF!</v>
      </c>
      <c r="K33" s="119">
        <f t="shared" si="5"/>
        <v>3143.9684</v>
      </c>
      <c r="L33" s="118" t="e">
        <f t="shared" si="5"/>
        <v>#REF!</v>
      </c>
      <c r="M33" s="119">
        <v>-3016.3306</v>
      </c>
      <c r="N33" s="118" t="e">
        <f t="shared" si="5"/>
        <v>#REF!</v>
      </c>
      <c r="O33" s="119">
        <v>2970.8642</v>
      </c>
      <c r="P33" s="118" t="e">
        <f t="shared" si="5"/>
        <v>#REF!</v>
      </c>
      <c r="Q33" s="119">
        <v>6032.5616</v>
      </c>
      <c r="R33" s="118" t="e">
        <f t="shared" si="5"/>
        <v>#REF!</v>
      </c>
      <c r="S33" s="119">
        <v>5309.7756</v>
      </c>
      <c r="T33" s="118" t="e">
        <f t="shared" si="5"/>
        <v>#REF!</v>
      </c>
      <c r="U33" s="119">
        <v>18028.3544</v>
      </c>
      <c r="V33" s="118" t="e">
        <f t="shared" si="5"/>
        <v>#REF!</v>
      </c>
      <c r="W33" s="119">
        <v>18893.546</v>
      </c>
      <c r="X33" s="118" t="e">
        <f t="shared" si="5"/>
        <v>#REF!</v>
      </c>
      <c r="Y33" s="119">
        <v>-12615.4938</v>
      </c>
      <c r="Z33" s="118" t="e">
        <f t="shared" si="5"/>
        <v>#REF!</v>
      </c>
      <c r="AA33" s="119">
        <v>5958.4578</v>
      </c>
      <c r="AB33" s="138" t="e">
        <f t="shared" si="0"/>
        <v>#REF!</v>
      </c>
      <c r="AC33" s="112"/>
    </row>
    <row r="34" s="103" customFormat="1" ht="11.25" spans="1:29">
      <c r="A34" s="109">
        <v>28</v>
      </c>
      <c r="B34" s="109" t="s">
        <v>68</v>
      </c>
      <c r="C34" s="109"/>
      <c r="D34" s="128"/>
      <c r="E34" s="129"/>
      <c r="F34" s="128"/>
      <c r="G34" s="129"/>
      <c r="H34" s="128"/>
      <c r="I34" s="129"/>
      <c r="J34" s="128"/>
      <c r="K34" s="129"/>
      <c r="L34" s="128"/>
      <c r="M34" s="129"/>
      <c r="N34" s="128"/>
      <c r="O34" s="129"/>
      <c r="P34" s="128"/>
      <c r="Q34" s="129"/>
      <c r="R34" s="128"/>
      <c r="S34" s="129">
        <v>300</v>
      </c>
      <c r="T34" s="128"/>
      <c r="U34" s="129"/>
      <c r="V34" s="128"/>
      <c r="W34" s="129"/>
      <c r="X34" s="128"/>
      <c r="Y34" s="129">
        <v>1200</v>
      </c>
      <c r="Z34" s="128"/>
      <c r="AA34" s="129"/>
      <c r="AB34" s="138">
        <f t="shared" si="0"/>
        <v>1500</v>
      </c>
      <c r="AC34" s="112"/>
    </row>
    <row r="35" s="103" customFormat="1" customHeight="1" spans="1:29">
      <c r="A35" s="109">
        <v>29</v>
      </c>
      <c r="B35" s="130" t="s">
        <v>69</v>
      </c>
      <c r="C35" s="109" t="s">
        <v>70</v>
      </c>
      <c r="D35" s="110"/>
      <c r="E35" s="111"/>
      <c r="F35" s="110"/>
      <c r="G35" s="111"/>
      <c r="H35" s="110"/>
      <c r="I35" s="111"/>
      <c r="J35" s="110"/>
      <c r="K35" s="111"/>
      <c r="L35" s="110"/>
      <c r="M35" s="111"/>
      <c r="N35" s="110"/>
      <c r="O35" s="111"/>
      <c r="P35" s="110"/>
      <c r="Q35" s="111"/>
      <c r="R35" s="110"/>
      <c r="S35" s="111"/>
      <c r="T35" s="110"/>
      <c r="U35" s="111"/>
      <c r="V35" s="110"/>
      <c r="W35" s="111"/>
      <c r="X35" s="110"/>
      <c r="Y35" s="111"/>
      <c r="Z35" s="110"/>
      <c r="AA35" s="111"/>
      <c r="AB35" s="138">
        <f t="shared" si="0"/>
        <v>0</v>
      </c>
      <c r="AC35" s="112"/>
    </row>
    <row r="36" s="103" customFormat="1" ht="11.25" spans="1:29">
      <c r="A36" s="109">
        <v>30</v>
      </c>
      <c r="B36" s="130"/>
      <c r="C36" s="109" t="s">
        <v>71</v>
      </c>
      <c r="D36" s="110"/>
      <c r="E36" s="111"/>
      <c r="F36" s="110"/>
      <c r="G36" s="111"/>
      <c r="H36" s="110"/>
      <c r="I36" s="111"/>
      <c r="J36" s="110"/>
      <c r="K36" s="111"/>
      <c r="L36" s="110"/>
      <c r="M36" s="111"/>
      <c r="N36" s="110"/>
      <c r="O36" s="111"/>
      <c r="P36" s="110"/>
      <c r="Q36" s="111"/>
      <c r="R36" s="110"/>
      <c r="S36" s="111"/>
      <c r="T36" s="110"/>
      <c r="U36" s="111"/>
      <c r="V36" s="110"/>
      <c r="W36" s="111"/>
      <c r="X36" s="110"/>
      <c r="Y36" s="111"/>
      <c r="Z36" s="110"/>
      <c r="AA36" s="111"/>
      <c r="AB36" s="138">
        <f t="shared" si="0"/>
        <v>0</v>
      </c>
      <c r="AC36" s="112"/>
    </row>
    <row r="37" s="103" customFormat="1" ht="11.25" spans="1:29">
      <c r="A37" s="109">
        <v>31</v>
      </c>
      <c r="B37" s="130"/>
      <c r="C37" s="109" t="s">
        <v>72</v>
      </c>
      <c r="D37" s="110"/>
      <c r="E37" s="111"/>
      <c r="F37" s="110"/>
      <c r="G37" s="111"/>
      <c r="H37" s="110"/>
      <c r="I37" s="111"/>
      <c r="J37" s="110"/>
      <c r="K37" s="111"/>
      <c r="L37" s="110"/>
      <c r="M37" s="111"/>
      <c r="N37" s="110"/>
      <c r="O37" s="111"/>
      <c r="P37" s="110"/>
      <c r="Q37" s="111"/>
      <c r="R37" s="110"/>
      <c r="S37" s="111"/>
      <c r="T37" s="110"/>
      <c r="U37" s="111"/>
      <c r="V37" s="110"/>
      <c r="W37" s="111"/>
      <c r="X37" s="110"/>
      <c r="Y37" s="111"/>
      <c r="Z37" s="110"/>
      <c r="AA37" s="111"/>
      <c r="AB37" s="138">
        <f t="shared" si="0"/>
        <v>0</v>
      </c>
      <c r="AC37" s="112"/>
    </row>
    <row r="38" s="103" customFormat="1" ht="11.25" spans="1:29">
      <c r="A38" s="109">
        <v>32</v>
      </c>
      <c r="B38" s="130"/>
      <c r="C38" s="109" t="s">
        <v>73</v>
      </c>
      <c r="D38" s="110"/>
      <c r="E38" s="111"/>
      <c r="F38" s="110"/>
      <c r="G38" s="111"/>
      <c r="H38" s="110"/>
      <c r="I38" s="111"/>
      <c r="J38" s="110"/>
      <c r="K38" s="111"/>
      <c r="L38" s="110"/>
      <c r="M38" s="111"/>
      <c r="N38" s="110"/>
      <c r="O38" s="111"/>
      <c r="P38" s="110"/>
      <c r="Q38" s="111"/>
      <c r="R38" s="110"/>
      <c r="S38" s="111"/>
      <c r="T38" s="110"/>
      <c r="U38" s="111"/>
      <c r="V38" s="110"/>
      <c r="W38" s="111"/>
      <c r="X38" s="110"/>
      <c r="Y38" s="111"/>
      <c r="Z38" s="110"/>
      <c r="AA38" s="111"/>
      <c r="AB38" s="138">
        <f t="shared" si="0"/>
        <v>0</v>
      </c>
      <c r="AC38" s="112"/>
    </row>
    <row r="39" s="103" customFormat="1" ht="11.25" spans="1:29">
      <c r="A39" s="109">
        <v>33</v>
      </c>
      <c r="B39" s="130"/>
      <c r="C39" s="109" t="s">
        <v>74</v>
      </c>
      <c r="D39" s="110"/>
      <c r="E39" s="111"/>
      <c r="F39" s="110"/>
      <c r="G39" s="111"/>
      <c r="H39" s="110"/>
      <c r="I39" s="111"/>
      <c r="J39" s="110"/>
      <c r="K39" s="111"/>
      <c r="L39" s="110"/>
      <c r="M39" s="111"/>
      <c r="N39" s="110"/>
      <c r="O39" s="111"/>
      <c r="P39" s="110"/>
      <c r="Q39" s="111"/>
      <c r="R39" s="110"/>
      <c r="S39" s="111"/>
      <c r="T39" s="110"/>
      <c r="U39" s="111"/>
      <c r="V39" s="110"/>
      <c r="W39" s="111"/>
      <c r="X39" s="110"/>
      <c r="Y39" s="111"/>
      <c r="Z39" s="110"/>
      <c r="AA39" s="111"/>
      <c r="AB39" s="138">
        <f t="shared" si="0"/>
        <v>0</v>
      </c>
      <c r="AC39" s="112"/>
    </row>
    <row r="40" s="103" customFormat="1" ht="11.25" spans="1:29">
      <c r="A40" s="109">
        <v>34</v>
      </c>
      <c r="B40" s="109" t="s">
        <v>75</v>
      </c>
      <c r="C40" s="109"/>
      <c r="D40" s="110"/>
      <c r="E40" s="111"/>
      <c r="F40" s="110"/>
      <c r="G40" s="111"/>
      <c r="H40" s="110"/>
      <c r="I40" s="111"/>
      <c r="J40" s="110"/>
      <c r="K40" s="111"/>
      <c r="L40" s="110"/>
      <c r="M40" s="111"/>
      <c r="N40" s="110"/>
      <c r="O40" s="111"/>
      <c r="P40" s="110"/>
      <c r="Q40" s="111"/>
      <c r="R40" s="110"/>
      <c r="S40" s="111">
        <v>10</v>
      </c>
      <c r="T40" s="110"/>
      <c r="U40" s="111"/>
      <c r="V40" s="110"/>
      <c r="W40" s="111"/>
      <c r="X40" s="110"/>
      <c r="Y40" s="111"/>
      <c r="Z40" s="110"/>
      <c r="AA40" s="111"/>
      <c r="AB40" s="138">
        <f t="shared" si="0"/>
        <v>10</v>
      </c>
      <c r="AC40" s="112"/>
    </row>
    <row r="41" s="103" customFormat="1" ht="11.25" spans="1:29">
      <c r="A41" s="109">
        <v>35</v>
      </c>
      <c r="B41" s="109" t="s">
        <v>76</v>
      </c>
      <c r="C41" s="109"/>
      <c r="D41" s="110"/>
      <c r="E41" s="111"/>
      <c r="F41" s="110"/>
      <c r="G41" s="111"/>
      <c r="H41" s="110"/>
      <c r="I41" s="111"/>
      <c r="J41" s="110"/>
      <c r="K41" s="111"/>
      <c r="L41" s="110"/>
      <c r="M41" s="111"/>
      <c r="N41" s="110"/>
      <c r="O41" s="111"/>
      <c r="P41" s="110"/>
      <c r="Q41" s="111"/>
      <c r="R41" s="110"/>
      <c r="S41" s="111">
        <v>45</v>
      </c>
      <c r="T41" s="110"/>
      <c r="U41" s="111"/>
      <c r="V41" s="110"/>
      <c r="W41" s="111"/>
      <c r="X41" s="110"/>
      <c r="Y41" s="111"/>
      <c r="Z41" s="110"/>
      <c r="AA41" s="111"/>
      <c r="AB41" s="138">
        <f t="shared" si="0"/>
        <v>45</v>
      </c>
      <c r="AC41" s="112"/>
    </row>
    <row r="42" s="103" customFormat="1" ht="11.25" spans="1:29">
      <c r="A42" s="109">
        <v>36</v>
      </c>
      <c r="B42" s="109" t="s">
        <v>77</v>
      </c>
      <c r="C42" s="109"/>
      <c r="D42" s="110"/>
      <c r="E42" s="111"/>
      <c r="F42" s="110"/>
      <c r="G42" s="111"/>
      <c r="H42" s="110"/>
      <c r="I42" s="111"/>
      <c r="J42" s="110"/>
      <c r="K42" s="111"/>
      <c r="L42" s="110"/>
      <c r="M42" s="111"/>
      <c r="N42" s="110"/>
      <c r="O42" s="111"/>
      <c r="P42" s="110"/>
      <c r="Q42" s="111"/>
      <c r="R42" s="110"/>
      <c r="S42" s="111"/>
      <c r="T42" s="110"/>
      <c r="U42" s="111"/>
      <c r="V42" s="110"/>
      <c r="W42" s="111"/>
      <c r="X42" s="110"/>
      <c r="Y42" s="111"/>
      <c r="Z42" s="110"/>
      <c r="AA42" s="111"/>
      <c r="AB42" s="138">
        <f t="shared" si="0"/>
        <v>0</v>
      </c>
      <c r="AC42" s="112"/>
    </row>
    <row r="43" s="103" customFormat="1" ht="11.25" spans="1:29">
      <c r="A43" s="116"/>
      <c r="B43" s="117" t="s">
        <v>78</v>
      </c>
      <c r="C43" s="117"/>
      <c r="D43" s="118">
        <f>SUM(D34:D42)</f>
        <v>0</v>
      </c>
      <c r="E43" s="119">
        <v>0</v>
      </c>
      <c r="F43" s="118">
        <f t="shared" ref="F43:Z43" si="6">SUM(F34:F42)</f>
        <v>0</v>
      </c>
      <c r="G43" s="119">
        <v>0</v>
      </c>
      <c r="H43" s="118">
        <f t="shared" si="6"/>
        <v>0</v>
      </c>
      <c r="I43" s="119">
        <v>0</v>
      </c>
      <c r="J43" s="118">
        <f t="shared" si="6"/>
        <v>0</v>
      </c>
      <c r="K43" s="119">
        <f t="shared" si="6"/>
        <v>0</v>
      </c>
      <c r="L43" s="118">
        <f t="shared" si="6"/>
        <v>0</v>
      </c>
      <c r="M43" s="119">
        <v>0</v>
      </c>
      <c r="N43" s="118">
        <f t="shared" si="6"/>
        <v>0</v>
      </c>
      <c r="O43" s="119">
        <v>0</v>
      </c>
      <c r="P43" s="118">
        <f t="shared" si="6"/>
        <v>0</v>
      </c>
      <c r="Q43" s="119">
        <v>0</v>
      </c>
      <c r="R43" s="118">
        <f t="shared" si="6"/>
        <v>0</v>
      </c>
      <c r="S43" s="119">
        <v>355</v>
      </c>
      <c r="T43" s="118">
        <f t="shared" si="6"/>
        <v>0</v>
      </c>
      <c r="U43" s="119">
        <v>0</v>
      </c>
      <c r="V43" s="118">
        <f t="shared" si="6"/>
        <v>0</v>
      </c>
      <c r="W43" s="119">
        <v>0</v>
      </c>
      <c r="X43" s="118">
        <f t="shared" si="6"/>
        <v>0</v>
      </c>
      <c r="Y43" s="119">
        <v>1200</v>
      </c>
      <c r="Z43" s="118">
        <f t="shared" si="6"/>
        <v>0</v>
      </c>
      <c r="AA43" s="119">
        <v>0</v>
      </c>
      <c r="AB43" s="138">
        <f t="shared" si="0"/>
        <v>1555</v>
      </c>
      <c r="AC43" s="112"/>
    </row>
    <row r="44" s="103" customFormat="1" ht="11.25" spans="1:29">
      <c r="A44" s="109">
        <v>37</v>
      </c>
      <c r="B44" s="109" t="s">
        <v>79</v>
      </c>
      <c r="C44" s="109"/>
      <c r="D44" s="110"/>
      <c r="E44" s="111"/>
      <c r="F44" s="110"/>
      <c r="G44" s="111"/>
      <c r="H44" s="110"/>
      <c r="I44" s="111"/>
      <c r="J44" s="110"/>
      <c r="K44" s="111"/>
      <c r="L44" s="110"/>
      <c r="M44" s="111"/>
      <c r="N44" s="110"/>
      <c r="O44" s="111"/>
      <c r="P44" s="110"/>
      <c r="Q44" s="111"/>
      <c r="R44" s="110"/>
      <c r="S44" s="111"/>
      <c r="T44" s="110"/>
      <c r="U44" s="111"/>
      <c r="V44" s="110"/>
      <c r="W44" s="111"/>
      <c r="X44" s="110"/>
      <c r="Y44" s="111"/>
      <c r="Z44" s="110"/>
      <c r="AA44" s="111"/>
      <c r="AB44" s="138">
        <f t="shared" si="0"/>
        <v>0</v>
      </c>
      <c r="AC44" s="112"/>
    </row>
    <row r="45" s="103" customFormat="1" ht="11.25" spans="1:29">
      <c r="A45" s="109">
        <v>38</v>
      </c>
      <c r="B45" s="109" t="s">
        <v>80</v>
      </c>
      <c r="C45" s="109"/>
      <c r="D45" s="110"/>
      <c r="E45" s="111"/>
      <c r="F45" s="110"/>
      <c r="G45" s="111"/>
      <c r="H45" s="110"/>
      <c r="I45" s="111"/>
      <c r="J45" s="110"/>
      <c r="K45" s="111"/>
      <c r="L45" s="110"/>
      <c r="M45" s="111"/>
      <c r="N45" s="110"/>
      <c r="O45" s="111"/>
      <c r="P45" s="110"/>
      <c r="Q45" s="111"/>
      <c r="R45" s="110"/>
      <c r="S45" s="111"/>
      <c r="T45" s="110"/>
      <c r="U45" s="111"/>
      <c r="V45" s="110"/>
      <c r="W45" s="111"/>
      <c r="X45" s="110"/>
      <c r="Y45" s="111"/>
      <c r="Z45" s="110"/>
      <c r="AA45" s="111"/>
      <c r="AB45" s="138">
        <f t="shared" si="0"/>
        <v>0</v>
      </c>
      <c r="AC45" s="112"/>
    </row>
    <row r="46" s="103" customFormat="1" ht="11.25" spans="1:29">
      <c r="A46" s="109">
        <v>39</v>
      </c>
      <c r="B46" s="109" t="s">
        <v>81</v>
      </c>
      <c r="C46" s="109"/>
      <c r="D46" s="128"/>
      <c r="E46" s="129"/>
      <c r="F46" s="128"/>
      <c r="G46" s="129"/>
      <c r="H46" s="128"/>
      <c r="I46" s="129"/>
      <c r="J46" s="128"/>
      <c r="K46" s="129"/>
      <c r="L46" s="128"/>
      <c r="M46" s="129"/>
      <c r="N46" s="128"/>
      <c r="O46" s="129"/>
      <c r="P46" s="128"/>
      <c r="Q46" s="129"/>
      <c r="R46" s="128"/>
      <c r="S46" s="129"/>
      <c r="T46" s="128"/>
      <c r="U46" s="129"/>
      <c r="V46" s="128"/>
      <c r="W46" s="129"/>
      <c r="X46" s="128"/>
      <c r="Y46" s="129"/>
      <c r="Z46" s="128"/>
      <c r="AA46" s="129"/>
      <c r="AB46" s="138">
        <f t="shared" si="0"/>
        <v>0</v>
      </c>
      <c r="AC46" s="112"/>
    </row>
    <row r="47" s="103" customFormat="1" ht="11.25" spans="1:29">
      <c r="A47" s="109">
        <v>40</v>
      </c>
      <c r="B47" s="109" t="s">
        <v>82</v>
      </c>
      <c r="C47" s="109"/>
      <c r="D47" s="128"/>
      <c r="E47" s="129"/>
      <c r="F47" s="128"/>
      <c r="G47" s="129"/>
      <c r="H47" s="128"/>
      <c r="I47" s="129"/>
      <c r="J47" s="128"/>
      <c r="K47" s="129"/>
      <c r="L47" s="128"/>
      <c r="M47" s="129"/>
      <c r="N47" s="128"/>
      <c r="O47" s="129"/>
      <c r="P47" s="128"/>
      <c r="Q47" s="129"/>
      <c r="R47" s="128"/>
      <c r="S47" s="129"/>
      <c r="T47" s="128"/>
      <c r="U47" s="129"/>
      <c r="V47" s="128"/>
      <c r="W47" s="129"/>
      <c r="X47" s="128"/>
      <c r="Y47" s="129"/>
      <c r="Z47" s="128"/>
      <c r="AA47" s="129"/>
      <c r="AB47" s="138">
        <f t="shared" si="0"/>
        <v>0</v>
      </c>
      <c r="AC47" s="112"/>
    </row>
    <row r="48" s="103" customFormat="1" ht="11.25" spans="1:29">
      <c r="A48" s="109">
        <v>41</v>
      </c>
      <c r="B48" s="125" t="s">
        <v>83</v>
      </c>
      <c r="C48" s="125"/>
      <c r="D48" s="128"/>
      <c r="E48" s="129"/>
      <c r="F48" s="128"/>
      <c r="G48" s="129"/>
      <c r="H48" s="128"/>
      <c r="I48" s="129"/>
      <c r="J48" s="128"/>
      <c r="K48" s="129"/>
      <c r="L48" s="128"/>
      <c r="M48" s="129"/>
      <c r="N48" s="128"/>
      <c r="O48" s="129"/>
      <c r="P48" s="128"/>
      <c r="Q48" s="129"/>
      <c r="R48" s="128"/>
      <c r="S48" s="129"/>
      <c r="T48" s="128"/>
      <c r="U48" s="129"/>
      <c r="V48" s="128"/>
      <c r="W48" s="129"/>
      <c r="X48" s="128"/>
      <c r="Y48" s="129"/>
      <c r="Z48" s="128"/>
      <c r="AA48" s="129"/>
      <c r="AB48" s="138">
        <f t="shared" si="0"/>
        <v>0</v>
      </c>
      <c r="AC48" s="112"/>
    </row>
    <row r="49" s="103" customFormat="1" ht="11.25" spans="1:29">
      <c r="A49" s="116"/>
      <c r="B49" s="117" t="s">
        <v>84</v>
      </c>
      <c r="C49" s="117"/>
      <c r="D49" s="118">
        <f>SUM(D44:D48)</f>
        <v>0</v>
      </c>
      <c r="E49" s="119">
        <v>0</v>
      </c>
      <c r="F49" s="118">
        <f t="shared" ref="F49:Z49" si="7">SUM(F44:F48)</f>
        <v>0</v>
      </c>
      <c r="G49" s="119">
        <v>0</v>
      </c>
      <c r="H49" s="118">
        <f t="shared" si="7"/>
        <v>0</v>
      </c>
      <c r="I49" s="119">
        <v>0</v>
      </c>
      <c r="J49" s="118">
        <f t="shared" si="7"/>
        <v>0</v>
      </c>
      <c r="K49" s="119">
        <f t="shared" si="7"/>
        <v>0</v>
      </c>
      <c r="L49" s="118">
        <f t="shared" si="7"/>
        <v>0</v>
      </c>
      <c r="M49" s="119">
        <v>0</v>
      </c>
      <c r="N49" s="118">
        <f t="shared" si="7"/>
        <v>0</v>
      </c>
      <c r="O49" s="119">
        <v>0</v>
      </c>
      <c r="P49" s="118">
        <f t="shared" si="7"/>
        <v>0</v>
      </c>
      <c r="Q49" s="119">
        <v>0</v>
      </c>
      <c r="R49" s="118">
        <f t="shared" si="7"/>
        <v>0</v>
      </c>
      <c r="S49" s="119">
        <v>0</v>
      </c>
      <c r="T49" s="118">
        <f t="shared" si="7"/>
        <v>0</v>
      </c>
      <c r="U49" s="119">
        <v>0</v>
      </c>
      <c r="V49" s="118">
        <f t="shared" si="7"/>
        <v>0</v>
      </c>
      <c r="W49" s="119">
        <v>0</v>
      </c>
      <c r="X49" s="118">
        <f t="shared" si="7"/>
        <v>0</v>
      </c>
      <c r="Y49" s="119">
        <v>0</v>
      </c>
      <c r="Z49" s="118">
        <f t="shared" si="7"/>
        <v>0</v>
      </c>
      <c r="AA49" s="119">
        <v>0</v>
      </c>
      <c r="AB49" s="118">
        <f>SUM(AB44:AB48)</f>
        <v>0</v>
      </c>
      <c r="AC49" s="112"/>
    </row>
    <row r="50" s="103" customFormat="1" ht="11.25" spans="1:29">
      <c r="A50" s="116"/>
      <c r="B50" s="117" t="s">
        <v>85</v>
      </c>
      <c r="C50" s="117"/>
      <c r="D50" s="118" t="e">
        <f>D49+D43+D33+D13</f>
        <v>#REF!</v>
      </c>
      <c r="E50" s="119">
        <v>46690.4782</v>
      </c>
      <c r="F50" s="118" t="e">
        <f t="shared" ref="F50:Z50" si="8">F49+F43+F33+F13</f>
        <v>#REF!</v>
      </c>
      <c r="G50" s="119">
        <v>16450.4034</v>
      </c>
      <c r="H50" s="118" t="e">
        <f t="shared" si="8"/>
        <v>#REF!</v>
      </c>
      <c r="I50" s="119">
        <v>21891.3934</v>
      </c>
      <c r="J50" s="118" t="e">
        <f t="shared" si="8"/>
        <v>#REF!</v>
      </c>
      <c r="K50" s="119">
        <f t="shared" si="8"/>
        <v>10600.8684</v>
      </c>
      <c r="L50" s="118" t="e">
        <f t="shared" si="8"/>
        <v>#REF!</v>
      </c>
      <c r="M50" s="119">
        <v>5114.5694</v>
      </c>
      <c r="N50" s="118" t="e">
        <f t="shared" si="8"/>
        <v>#REF!</v>
      </c>
      <c r="O50" s="119">
        <v>22246.4642</v>
      </c>
      <c r="P50" s="118" t="e">
        <f t="shared" si="8"/>
        <v>#REF!</v>
      </c>
      <c r="Q50" s="119">
        <v>16092.5216</v>
      </c>
      <c r="R50" s="118" t="e">
        <f t="shared" si="8"/>
        <v>#REF!</v>
      </c>
      <c r="S50" s="119">
        <v>16544.4756</v>
      </c>
      <c r="T50" s="118" t="e">
        <f t="shared" si="8"/>
        <v>#REF!</v>
      </c>
      <c r="U50" s="119">
        <v>29548.3944</v>
      </c>
      <c r="V50" s="118" t="e">
        <f t="shared" si="8"/>
        <v>#REF!</v>
      </c>
      <c r="W50" s="119">
        <v>30973.086</v>
      </c>
      <c r="X50" s="118" t="e">
        <f t="shared" si="8"/>
        <v>#REF!</v>
      </c>
      <c r="Y50" s="119">
        <v>-0.00380000000041036</v>
      </c>
      <c r="Z50" s="118" t="e">
        <f t="shared" si="8"/>
        <v>#REF!</v>
      </c>
      <c r="AA50" s="119">
        <v>17393.5078</v>
      </c>
      <c r="AB50" s="118" t="e">
        <f>AB49+AB43+AB33+AB13</f>
        <v>#REF!</v>
      </c>
      <c r="AC50" s="112"/>
    </row>
    <row r="51" s="103" customFormat="1" ht="11.25" spans="1:29">
      <c r="A51" s="116"/>
      <c r="B51" s="117" t="s">
        <v>86</v>
      </c>
      <c r="C51" s="117"/>
      <c r="D51" s="118" t="e">
        <f>D9-D50</f>
        <v>#REF!</v>
      </c>
      <c r="E51" s="119">
        <v>-13850.5082</v>
      </c>
      <c r="F51" s="118" t="e">
        <f t="shared" ref="F51:Z51" si="9">F9-F50</f>
        <v>#REF!</v>
      </c>
      <c r="G51" s="119">
        <v>31166.9866</v>
      </c>
      <c r="H51" s="118" t="e">
        <f t="shared" si="9"/>
        <v>#REF!</v>
      </c>
      <c r="I51" s="119">
        <v>43828.4966</v>
      </c>
      <c r="J51" s="118" t="e">
        <f t="shared" si="9"/>
        <v>#REF!</v>
      </c>
      <c r="K51" s="119">
        <f t="shared" si="9"/>
        <v>72170.7716</v>
      </c>
      <c r="L51" s="118" t="e">
        <f t="shared" si="9"/>
        <v>#REF!</v>
      </c>
      <c r="M51" s="119">
        <v>65825.4206</v>
      </c>
      <c r="N51" s="118" t="e">
        <f t="shared" si="9"/>
        <v>#REF!</v>
      </c>
      <c r="O51" s="119">
        <v>11972.1058</v>
      </c>
      <c r="P51" s="118" t="e">
        <f t="shared" si="9"/>
        <v>#REF!</v>
      </c>
      <c r="Q51" s="119">
        <v>-769.661599999999</v>
      </c>
      <c r="R51" s="118" t="e">
        <f t="shared" si="9"/>
        <v>#REF!</v>
      </c>
      <c r="S51" s="119">
        <v>14681.7844</v>
      </c>
      <c r="T51" s="118" t="e">
        <f t="shared" si="9"/>
        <v>#REF!</v>
      </c>
      <c r="U51" s="119">
        <v>21213.8456</v>
      </c>
      <c r="V51" s="118" t="e">
        <f t="shared" si="9"/>
        <v>#REF!</v>
      </c>
      <c r="W51" s="119">
        <v>5463.51400000001</v>
      </c>
      <c r="X51" s="118" t="e">
        <f t="shared" si="9"/>
        <v>#REF!</v>
      </c>
      <c r="Y51" s="119">
        <v>20878.2738</v>
      </c>
      <c r="Z51" s="118" t="e">
        <f t="shared" si="9"/>
        <v>#REF!</v>
      </c>
      <c r="AA51" s="119">
        <v>18184.6222</v>
      </c>
      <c r="AB51" s="118" t="e">
        <f>AB9-AB50</f>
        <v>#REF!</v>
      </c>
      <c r="AC51" s="112"/>
    </row>
    <row r="52" s="103" customFormat="1" ht="11.25" spans="1:29">
      <c r="A52" s="116"/>
      <c r="B52" s="117"/>
      <c r="C52" s="117"/>
      <c r="D52" s="118"/>
      <c r="E52" s="119"/>
      <c r="F52" s="118"/>
      <c r="G52" s="119"/>
      <c r="H52" s="118"/>
      <c r="I52" s="119"/>
      <c r="J52" s="118"/>
      <c r="K52" s="119"/>
      <c r="L52" s="118"/>
      <c r="M52" s="119"/>
      <c r="N52" s="118"/>
      <c r="O52" s="119"/>
      <c r="P52" s="118"/>
      <c r="Q52" s="119"/>
      <c r="R52" s="118"/>
      <c r="S52" s="119"/>
      <c r="T52" s="118"/>
      <c r="U52" s="119"/>
      <c r="V52" s="118"/>
      <c r="W52" s="119"/>
      <c r="X52" s="118"/>
      <c r="Y52" s="119"/>
      <c r="Z52" s="118"/>
      <c r="AA52" s="119"/>
      <c r="AB52" s="118"/>
      <c r="AC52" s="112"/>
    </row>
    <row r="53" s="103" customFormat="1" ht="11.25" spans="1:29">
      <c r="A53" s="116">
        <v>42</v>
      </c>
      <c r="B53" s="117" t="s">
        <v>87</v>
      </c>
      <c r="C53" s="117"/>
      <c r="D53" s="118"/>
      <c r="E53" s="119"/>
      <c r="F53" s="118"/>
      <c r="G53" s="119"/>
      <c r="H53" s="118"/>
      <c r="I53" s="119"/>
      <c r="J53" s="118"/>
      <c r="K53" s="119"/>
      <c r="L53" s="118"/>
      <c r="M53" s="119"/>
      <c r="N53" s="118"/>
      <c r="O53" s="119"/>
      <c r="P53" s="118"/>
      <c r="Q53" s="119"/>
      <c r="R53" s="118"/>
      <c r="S53" s="119"/>
      <c r="T53" s="118"/>
      <c r="U53" s="119"/>
      <c r="V53" s="118"/>
      <c r="W53" s="119"/>
      <c r="X53" s="118"/>
      <c r="Y53" s="119"/>
      <c r="Z53" s="118"/>
      <c r="AA53" s="119"/>
      <c r="AB53" s="118"/>
      <c r="AC53" s="112"/>
    </row>
    <row r="54" s="103" customFormat="1" ht="11.25" spans="1:29">
      <c r="A54" s="116"/>
      <c r="B54" s="117" t="s">
        <v>88</v>
      </c>
      <c r="C54" s="117"/>
      <c r="D54" s="118"/>
      <c r="E54" s="119"/>
      <c r="F54" s="118"/>
      <c r="G54" s="119"/>
      <c r="H54" s="118"/>
      <c r="I54" s="119"/>
      <c r="J54" s="118"/>
      <c r="K54" s="119"/>
      <c r="L54" s="118"/>
      <c r="M54" s="119"/>
      <c r="N54" s="118"/>
      <c r="O54" s="119"/>
      <c r="P54" s="118"/>
      <c r="Q54" s="119"/>
      <c r="R54" s="118"/>
      <c r="S54" s="119"/>
      <c r="T54" s="118"/>
      <c r="U54" s="119"/>
      <c r="V54" s="118"/>
      <c r="W54" s="119"/>
      <c r="X54" s="118"/>
      <c r="Y54" s="119"/>
      <c r="Z54" s="118"/>
      <c r="AA54" s="119"/>
      <c r="AB54" s="118"/>
      <c r="AC54" s="112"/>
    </row>
    <row r="55" s="103" customFormat="1" ht="11.25" spans="1:29">
      <c r="A55" s="116"/>
      <c r="B55" s="117"/>
      <c r="C55" s="117"/>
      <c r="D55" s="118"/>
      <c r="E55" s="119"/>
      <c r="F55" s="118"/>
      <c r="G55" s="119"/>
      <c r="H55" s="118"/>
      <c r="I55" s="119"/>
      <c r="J55" s="118"/>
      <c r="K55" s="119"/>
      <c r="L55" s="118"/>
      <c r="M55" s="119"/>
      <c r="N55" s="118"/>
      <c r="O55" s="119"/>
      <c r="P55" s="118"/>
      <c r="Q55" s="119"/>
      <c r="R55" s="118"/>
      <c r="S55" s="119"/>
      <c r="T55" s="118"/>
      <c r="U55" s="119"/>
      <c r="V55" s="118"/>
      <c r="W55" s="119"/>
      <c r="X55" s="118"/>
      <c r="Y55" s="119"/>
      <c r="Z55" s="118"/>
      <c r="AA55" s="119"/>
      <c r="AB55" s="118"/>
      <c r="AC55" s="112"/>
    </row>
    <row r="56" s="103" customFormat="1" ht="11.25" spans="1:29">
      <c r="A56" s="116">
        <v>43</v>
      </c>
      <c r="B56" s="116" t="s">
        <v>89</v>
      </c>
      <c r="C56" s="116"/>
      <c r="D56" s="131" t="e">
        <f>D51+D13</f>
        <v>#REF!</v>
      </c>
      <c r="E56" s="132">
        <v>24799.8918</v>
      </c>
      <c r="F56" s="131" t="e">
        <f t="shared" ref="F56:Z56" si="10">F51+F13</f>
        <v>#REF!</v>
      </c>
      <c r="G56" s="132">
        <v>38704.4866</v>
      </c>
      <c r="H56" s="131" t="e">
        <f t="shared" si="10"/>
        <v>#REF!</v>
      </c>
      <c r="I56" s="132">
        <v>57242.2266</v>
      </c>
      <c r="J56" s="131" t="e">
        <f t="shared" si="10"/>
        <v>#REF!</v>
      </c>
      <c r="K56" s="132">
        <f t="shared" si="10"/>
        <v>79627.6716</v>
      </c>
      <c r="L56" s="131" t="e">
        <f t="shared" si="10"/>
        <v>#REF!</v>
      </c>
      <c r="M56" s="132">
        <v>73956.3206</v>
      </c>
      <c r="N56" s="131" t="e">
        <f t="shared" si="10"/>
        <v>#REF!</v>
      </c>
      <c r="O56" s="132">
        <v>21247.7058</v>
      </c>
      <c r="P56" s="131" t="e">
        <f t="shared" si="10"/>
        <v>#REF!</v>
      </c>
      <c r="Q56" s="132">
        <v>9290.2984</v>
      </c>
      <c r="R56" s="131" t="e">
        <f t="shared" si="10"/>
        <v>#REF!</v>
      </c>
      <c r="S56" s="132">
        <v>25561.4844</v>
      </c>
      <c r="T56" s="131" t="e">
        <f t="shared" si="10"/>
        <v>#REF!</v>
      </c>
      <c r="U56" s="132">
        <v>32733.8856</v>
      </c>
      <c r="V56" s="131" t="e">
        <f t="shared" si="10"/>
        <v>#REF!</v>
      </c>
      <c r="W56" s="132">
        <v>17543.054</v>
      </c>
      <c r="X56" s="131" t="e">
        <f t="shared" si="10"/>
        <v>#REF!</v>
      </c>
      <c r="Y56" s="132">
        <v>32293.7638</v>
      </c>
      <c r="Z56" s="131" t="e">
        <f t="shared" si="10"/>
        <v>#REF!</v>
      </c>
      <c r="AA56" s="132">
        <v>29619.6722</v>
      </c>
      <c r="AB56" s="131" t="e">
        <f>AB51+AB13</f>
        <v>#REF!</v>
      </c>
      <c r="AC56" s="112"/>
    </row>
    <row r="57" s="103" customFormat="1" ht="11.25" spans="1:29">
      <c r="A57" s="116">
        <v>44</v>
      </c>
      <c r="B57" s="116" t="s">
        <v>90</v>
      </c>
      <c r="C57" s="116"/>
      <c r="D57" s="131" t="e">
        <f>D56/D13</f>
        <v>#REF!</v>
      </c>
      <c r="E57" s="132">
        <v>0.641646446091114</v>
      </c>
      <c r="F57" s="131" t="e">
        <f t="shared" ref="F57:Z57" si="11">F56/F13</f>
        <v>#REF!</v>
      </c>
      <c r="G57" s="132">
        <v>5.13492359535655</v>
      </c>
      <c r="H57" s="131" t="e">
        <f t="shared" si="11"/>
        <v>#REF!</v>
      </c>
      <c r="I57" s="132">
        <v>4.26743542623864</v>
      </c>
      <c r="J57" s="131" t="e">
        <f t="shared" si="11"/>
        <v>#REF!</v>
      </c>
      <c r="K57" s="132">
        <f t="shared" si="11"/>
        <v>10.678388016468</v>
      </c>
      <c r="L57" s="131" t="e">
        <f t="shared" si="11"/>
        <v>#REF!</v>
      </c>
      <c r="M57" s="132">
        <v>9.09571149565239</v>
      </c>
      <c r="N57" s="131" t="e">
        <f t="shared" si="11"/>
        <v>#REF!</v>
      </c>
      <c r="O57" s="132">
        <v>2.29070958212946</v>
      </c>
      <c r="P57" s="131" t="e">
        <f t="shared" si="11"/>
        <v>#REF!</v>
      </c>
      <c r="Q57" s="132">
        <v>0.923492578499318</v>
      </c>
      <c r="R57" s="131" t="e">
        <f t="shared" si="11"/>
        <v>#REF!</v>
      </c>
      <c r="S57" s="132">
        <v>2.34946592277361</v>
      </c>
      <c r="T57" s="131" t="e">
        <f t="shared" si="11"/>
        <v>#REF!</v>
      </c>
      <c r="U57" s="132">
        <v>2.84147325877341</v>
      </c>
      <c r="V57" s="131" t="e">
        <f t="shared" si="11"/>
        <v>#REF!</v>
      </c>
      <c r="W57" s="132">
        <v>1.45229487215573</v>
      </c>
      <c r="X57" s="131" t="e">
        <f t="shared" si="11"/>
        <v>#REF!</v>
      </c>
      <c r="Y57" s="132">
        <v>2.82894241070686</v>
      </c>
      <c r="Z57" s="131" t="e">
        <f t="shared" si="11"/>
        <v>#REF!</v>
      </c>
      <c r="AA57" s="132">
        <v>2.59025296784885</v>
      </c>
      <c r="AB57" s="131" t="e">
        <f>AB56/AB13</f>
        <v>#REF!</v>
      </c>
      <c r="AC57" s="112"/>
    </row>
    <row r="58" s="103" customFormat="1" ht="11.25" spans="1:29">
      <c r="A58" s="116">
        <v>45</v>
      </c>
      <c r="B58" s="133" t="s">
        <v>91</v>
      </c>
      <c r="C58" s="133"/>
      <c r="D58" s="134" t="e">
        <f>D51/D9</f>
        <v>#REF!</v>
      </c>
      <c r="E58" s="135">
        <v>-0.421757638633653</v>
      </c>
      <c r="F58" s="134" t="e">
        <f t="shared" ref="F58:Z58" si="12">F51/F9</f>
        <v>#REF!</v>
      </c>
      <c r="G58" s="135">
        <v>0.654529502771991</v>
      </c>
      <c r="H58" s="134" t="e">
        <f t="shared" si="12"/>
        <v>#REF!</v>
      </c>
      <c r="I58" s="135">
        <v>0.666898508198964</v>
      </c>
      <c r="J58" s="134" t="e">
        <f t="shared" si="12"/>
        <v>#REF!</v>
      </c>
      <c r="K58" s="135">
        <f t="shared" si="12"/>
        <v>0.87192632162417</v>
      </c>
      <c r="L58" s="134" t="e">
        <f t="shared" si="12"/>
        <v>#REF!</v>
      </c>
      <c r="M58" s="135">
        <v>0.927902873964318</v>
      </c>
      <c r="N58" s="134" t="e">
        <f t="shared" si="12"/>
        <v>#REF!</v>
      </c>
      <c r="O58" s="135">
        <v>0.349871598959278</v>
      </c>
      <c r="P58" s="134" t="e">
        <f t="shared" si="12"/>
        <v>#REF!</v>
      </c>
      <c r="Q58" s="135">
        <v>-0.050229630760837</v>
      </c>
      <c r="R58" s="134" t="e">
        <f t="shared" si="12"/>
        <v>#REF!</v>
      </c>
      <c r="S58" s="135">
        <v>0.470174282799157</v>
      </c>
      <c r="T58" s="134" t="e">
        <f t="shared" si="12"/>
        <v>#REF!</v>
      </c>
      <c r="U58" s="135">
        <v>0.417906018331736</v>
      </c>
      <c r="V58" s="134" t="e">
        <f t="shared" si="12"/>
        <v>#REF!</v>
      </c>
      <c r="W58" s="135">
        <v>0.149945768814873</v>
      </c>
      <c r="X58" s="134" t="e">
        <f t="shared" si="12"/>
        <v>#REF!</v>
      </c>
      <c r="Y58" s="135">
        <v>1.00000018200742</v>
      </c>
      <c r="Z58" s="134" t="e">
        <f t="shared" si="12"/>
        <v>#REF!</v>
      </c>
      <c r="AA58" s="135">
        <v>0.511117987370331</v>
      </c>
      <c r="AB58" s="134" t="e">
        <f>AB51/AB9</f>
        <v>#REF!</v>
      </c>
      <c r="AC58" s="112"/>
    </row>
    <row r="59" s="103" customFormat="1" ht="11.25" spans="1:29">
      <c r="A59" s="116">
        <v>46</v>
      </c>
      <c r="B59" s="117" t="s">
        <v>92</v>
      </c>
      <c r="C59" s="117"/>
      <c r="D59" s="131" t="e">
        <f>D51+D22</f>
        <v>#REF!</v>
      </c>
      <c r="E59" s="132">
        <v>-13850.5082</v>
      </c>
      <c r="F59" s="131" t="e">
        <f t="shared" ref="F59:Z59" si="13">F51+F22</f>
        <v>#REF!</v>
      </c>
      <c r="G59" s="132">
        <v>31166.9866</v>
      </c>
      <c r="H59" s="131" t="e">
        <f t="shared" si="13"/>
        <v>#REF!</v>
      </c>
      <c r="I59" s="132">
        <v>43828.4966</v>
      </c>
      <c r="J59" s="131" t="e">
        <f t="shared" si="13"/>
        <v>#REF!</v>
      </c>
      <c r="K59" s="132">
        <f t="shared" si="13"/>
        <v>72170.7716</v>
      </c>
      <c r="L59" s="131" t="e">
        <f t="shared" si="13"/>
        <v>#REF!</v>
      </c>
      <c r="M59" s="132">
        <v>65825.4206</v>
      </c>
      <c r="N59" s="131" t="e">
        <f t="shared" si="13"/>
        <v>#REF!</v>
      </c>
      <c r="O59" s="132">
        <v>11972.1058</v>
      </c>
      <c r="P59" s="131" t="e">
        <f t="shared" si="13"/>
        <v>#REF!</v>
      </c>
      <c r="Q59" s="132">
        <v>-769.661599999999</v>
      </c>
      <c r="R59" s="131" t="e">
        <f t="shared" si="13"/>
        <v>#REF!</v>
      </c>
      <c r="S59" s="132">
        <v>14681.7844</v>
      </c>
      <c r="T59" s="131" t="e">
        <f t="shared" si="13"/>
        <v>#REF!</v>
      </c>
      <c r="U59" s="132">
        <v>21213.8456</v>
      </c>
      <c r="V59" s="131" t="e">
        <f t="shared" si="13"/>
        <v>#REF!</v>
      </c>
      <c r="W59" s="132">
        <v>5463.51400000001</v>
      </c>
      <c r="X59" s="131" t="e">
        <f t="shared" si="13"/>
        <v>#REF!</v>
      </c>
      <c r="Y59" s="132">
        <v>20878.2738</v>
      </c>
      <c r="Z59" s="131" t="e">
        <f t="shared" si="13"/>
        <v>#REF!</v>
      </c>
      <c r="AA59" s="132">
        <v>18184.6222</v>
      </c>
      <c r="AB59" s="131" t="e">
        <f>AB51+AB22</f>
        <v>#REF!</v>
      </c>
      <c r="AC59" s="112"/>
    </row>
    <row r="60" s="103" customFormat="1" ht="11.25" spans="1:29">
      <c r="A60" s="116">
        <v>47</v>
      </c>
      <c r="B60" s="116"/>
      <c r="C60" s="133" t="s">
        <v>93</v>
      </c>
      <c r="D60" s="134" t="e">
        <f>D13/D9</f>
        <v>#REF!</v>
      </c>
      <c r="E60" s="135">
        <v>1.17693164762331</v>
      </c>
      <c r="F60" s="134" t="e">
        <f t="shared" ref="F60:Z60" si="14">F13/F9</f>
        <v>#REF!</v>
      </c>
      <c r="G60" s="135">
        <v>0.158293010179684</v>
      </c>
      <c r="H60" s="134" t="e">
        <f t="shared" si="14"/>
        <v>#REF!</v>
      </c>
      <c r="I60" s="135">
        <v>0.204104571690549</v>
      </c>
      <c r="J60" s="134" t="e">
        <f t="shared" si="14"/>
        <v>#REF!</v>
      </c>
      <c r="K60" s="135">
        <f t="shared" si="14"/>
        <v>0.090090035669222</v>
      </c>
      <c r="L60" s="134" t="e">
        <f t="shared" si="14"/>
        <v>#REF!</v>
      </c>
      <c r="M60" s="135">
        <v>0.114616593546179</v>
      </c>
      <c r="N60" s="134" t="e">
        <f t="shared" si="14"/>
        <v>#REF!</v>
      </c>
      <c r="O60" s="135">
        <v>0.271069188455274</v>
      </c>
      <c r="P60" s="134" t="e">
        <f t="shared" si="14"/>
        <v>#REF!</v>
      </c>
      <c r="Q60" s="135">
        <v>0.656532788265376</v>
      </c>
      <c r="R60" s="134" t="e">
        <f t="shared" si="14"/>
        <v>#REF!</v>
      </c>
      <c r="S60" s="135">
        <v>0.348415083970991</v>
      </c>
      <c r="T60" s="134" t="e">
        <f t="shared" si="14"/>
        <v>#REF!</v>
      </c>
      <c r="U60" s="135">
        <v>0.226941127893489</v>
      </c>
      <c r="V60" s="134" t="e">
        <f t="shared" si="14"/>
        <v>#REF!</v>
      </c>
      <c r="W60" s="135">
        <v>0.331522150804411</v>
      </c>
      <c r="X60" s="134" t="e">
        <f t="shared" si="14"/>
        <v>#REF!</v>
      </c>
      <c r="Y60" s="135">
        <v>0.546764171552528</v>
      </c>
      <c r="Z60" s="134" t="e">
        <f t="shared" si="14"/>
        <v>#REF!</v>
      </c>
      <c r="AA60" s="135">
        <v>0.321406718115876</v>
      </c>
      <c r="AB60" s="134" t="e">
        <f>AB13/AB9</f>
        <v>#REF!</v>
      </c>
      <c r="AC60" s="112"/>
    </row>
    <row r="61" s="103" customFormat="1" ht="11.25" spans="5:11">
      <c r="E61" s="104"/>
      <c r="G61" s="104"/>
      <c r="I61" s="104"/>
      <c r="K61" s="104"/>
    </row>
  </sheetData>
  <mergeCells count="53">
    <mergeCell ref="A1:AC1"/>
    <mergeCell ref="A2:A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3:C53"/>
    <mergeCell ref="B54:C54"/>
    <mergeCell ref="B56:C56"/>
    <mergeCell ref="B57:C57"/>
    <mergeCell ref="B58:C58"/>
    <mergeCell ref="B59:C59"/>
    <mergeCell ref="B35:B39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0"/>
  <sheetViews>
    <sheetView zoomScale="90" zoomScaleNormal="90" workbookViewId="0">
      <pane xSplit="6" ySplit="2" topLeftCell="G3" activePane="bottomRight" state="frozen"/>
      <selection/>
      <selection pane="topRight"/>
      <selection pane="bottomLeft"/>
      <selection pane="bottomRight" activeCell="H26" sqref="H26"/>
    </sheetView>
  </sheetViews>
  <sheetFormatPr defaultColWidth="9" defaultRowHeight="12"/>
  <cols>
    <col min="1" max="1" width="10.6666666666667" style="66" customWidth="1"/>
    <col min="2" max="2" width="9" style="66"/>
    <col min="3" max="6" width="6.775" style="66" customWidth="1"/>
    <col min="7" max="7" width="8.88333333333333" style="66" customWidth="1"/>
    <col min="8" max="8" width="7.33333333333333" style="66" customWidth="1"/>
    <col min="9" max="9" width="6.775" style="66" customWidth="1"/>
    <col min="10" max="10" width="7.33333333333333" style="66" customWidth="1"/>
    <col min="11" max="11" width="8.10833333333333" style="66" customWidth="1"/>
    <col min="12" max="12" width="7.33333333333333" style="66" customWidth="1"/>
    <col min="13" max="13" width="6.775" style="66" customWidth="1"/>
    <col min="14" max="14" width="7.33333333333333" style="66" customWidth="1"/>
    <col min="15" max="15" width="6.775" style="66" customWidth="1"/>
    <col min="16" max="16" width="7.33333333333333" style="66" customWidth="1"/>
    <col min="17" max="17" width="6.775" style="66" customWidth="1"/>
    <col min="18" max="18" width="7.33333333333333" style="66" customWidth="1"/>
    <col min="19" max="19" width="6.775" style="66" customWidth="1"/>
    <col min="20" max="20" width="7.33333333333333" style="66" customWidth="1"/>
    <col min="21" max="21" width="6.775" style="66" customWidth="1"/>
    <col min="22" max="22" width="7.33333333333333" style="66" customWidth="1"/>
    <col min="23" max="23" width="6.775" style="66" customWidth="1"/>
    <col min="24" max="24" width="7.33333333333333" style="66" customWidth="1"/>
    <col min="25" max="25" width="6.775" style="66" customWidth="1"/>
    <col min="26" max="26" width="7.33333333333333" style="66" customWidth="1"/>
    <col min="27" max="27" width="6.775" style="66" customWidth="1"/>
    <col min="28" max="28" width="7.33333333333333" style="66" customWidth="1"/>
    <col min="29" max="29" width="6.775" style="66" customWidth="1"/>
    <col min="30" max="30" width="7.33333333333333" style="66" customWidth="1"/>
    <col min="31" max="31" width="10.3333333333333" style="66" customWidth="1"/>
    <col min="32" max="16384" width="9" style="66"/>
  </cols>
  <sheetData>
    <row r="1" spans="1:31">
      <c r="A1" s="68" t="s">
        <v>94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1">
      <c r="A2" s="68" t="s">
        <v>95</v>
      </c>
      <c r="B2" s="68" t="s">
        <v>96</v>
      </c>
      <c r="C2" s="68" t="s">
        <v>97</v>
      </c>
      <c r="D2" s="68" t="s">
        <v>98</v>
      </c>
      <c r="E2" s="68" t="s">
        <v>99</v>
      </c>
      <c r="F2" s="69" t="s">
        <v>100</v>
      </c>
      <c r="G2" s="69" t="s">
        <v>101</v>
      </c>
      <c r="H2" s="70" t="s">
        <v>102</v>
      </c>
      <c r="I2" s="69" t="s">
        <v>103</v>
      </c>
      <c r="J2" s="70" t="s">
        <v>104</v>
      </c>
      <c r="K2" s="69" t="s">
        <v>105</v>
      </c>
      <c r="L2" s="70" t="s">
        <v>106</v>
      </c>
      <c r="M2" s="69" t="s">
        <v>107</v>
      </c>
      <c r="N2" s="70" t="s">
        <v>108</v>
      </c>
      <c r="O2" s="69" t="s">
        <v>109</v>
      </c>
      <c r="P2" s="70" t="s">
        <v>110</v>
      </c>
      <c r="Q2" s="69" t="s">
        <v>111</v>
      </c>
      <c r="R2" s="70" t="s">
        <v>112</v>
      </c>
      <c r="S2" s="69" t="s">
        <v>113</v>
      </c>
      <c r="T2" s="70" t="s">
        <v>114</v>
      </c>
      <c r="U2" s="69" t="s">
        <v>115</v>
      </c>
      <c r="V2" s="70" t="s">
        <v>116</v>
      </c>
      <c r="W2" s="69" t="s">
        <v>117</v>
      </c>
      <c r="X2" s="70" t="s">
        <v>118</v>
      </c>
      <c r="Y2" s="69" t="s">
        <v>119</v>
      </c>
      <c r="Z2" s="70" t="s">
        <v>120</v>
      </c>
      <c r="AA2" s="69" t="s">
        <v>121</v>
      </c>
      <c r="AB2" s="70" t="s">
        <v>122</v>
      </c>
      <c r="AC2" s="69" t="s">
        <v>123</v>
      </c>
      <c r="AD2" s="70" t="s">
        <v>124</v>
      </c>
      <c r="AE2" s="69" t="s">
        <v>28</v>
      </c>
    </row>
    <row r="3" spans="1:31">
      <c r="A3" s="68" t="s">
        <v>125</v>
      </c>
      <c r="B3" s="68" t="s">
        <v>126</v>
      </c>
      <c r="C3" s="68" t="s">
        <v>127</v>
      </c>
      <c r="D3" s="68" t="s">
        <v>128</v>
      </c>
      <c r="E3" s="68" t="s">
        <v>129</v>
      </c>
      <c r="F3" s="71">
        <v>8</v>
      </c>
      <c r="G3" s="72">
        <v>15000</v>
      </c>
      <c r="H3" s="73"/>
      <c r="I3" s="72">
        <v>15000</v>
      </c>
      <c r="J3" s="73"/>
      <c r="K3" s="72">
        <v>30000</v>
      </c>
      <c r="L3" s="73"/>
      <c r="M3" s="72">
        <v>30000</v>
      </c>
      <c r="N3" s="73"/>
      <c r="O3" s="72">
        <v>30000</v>
      </c>
      <c r="P3" s="73"/>
      <c r="Q3" s="72">
        <v>10000</v>
      </c>
      <c r="R3" s="73"/>
      <c r="S3" s="72">
        <v>1500</v>
      </c>
      <c r="T3" s="73"/>
      <c r="U3" s="72">
        <v>8000</v>
      </c>
      <c r="V3" s="73"/>
      <c r="W3" s="72">
        <v>15000</v>
      </c>
      <c r="X3" s="73"/>
      <c r="Y3" s="72">
        <v>40000</v>
      </c>
      <c r="Z3" s="73"/>
      <c r="AA3" s="72">
        <v>5000</v>
      </c>
      <c r="AB3" s="73"/>
      <c r="AC3" s="72"/>
      <c r="AD3" s="73"/>
      <c r="AE3" s="72">
        <f>SUM(G3:AC3)</f>
        <v>199500</v>
      </c>
    </row>
    <row r="4" s="66" customFormat="1" spans="1:31">
      <c r="A4" s="68">
        <v>8214</v>
      </c>
      <c r="B4" s="68" t="s">
        <v>126</v>
      </c>
      <c r="C4" s="68" t="s">
        <v>130</v>
      </c>
      <c r="D4" s="68" t="s">
        <v>128</v>
      </c>
      <c r="E4" s="68" t="s">
        <v>129</v>
      </c>
      <c r="F4" s="71">
        <v>6</v>
      </c>
      <c r="G4" s="72"/>
      <c r="H4" s="73"/>
      <c r="I4" s="72"/>
      <c r="J4" s="73"/>
      <c r="K4" s="72"/>
      <c r="L4" s="73"/>
      <c r="M4" s="72"/>
      <c r="N4" s="73"/>
      <c r="O4" s="72">
        <v>6000</v>
      </c>
      <c r="P4" s="73"/>
      <c r="Q4" s="72">
        <v>3000</v>
      </c>
      <c r="R4" s="73"/>
      <c r="S4" s="72"/>
      <c r="T4" s="73"/>
      <c r="U4" s="72"/>
      <c r="V4" s="73"/>
      <c r="W4" s="72">
        <v>8000</v>
      </c>
      <c r="X4" s="73"/>
      <c r="Y4" s="72">
        <v>10000</v>
      </c>
      <c r="Z4" s="73"/>
      <c r="AA4" s="72">
        <v>5000</v>
      </c>
      <c r="AB4" s="73"/>
      <c r="AC4" s="72"/>
      <c r="AD4" s="73"/>
      <c r="AE4" s="72">
        <f>SUM(G4:AC4)</f>
        <v>32000</v>
      </c>
    </row>
    <row r="5" spans="1:31">
      <c r="A5" s="68" t="s">
        <v>131</v>
      </c>
      <c r="B5" s="68" t="s">
        <v>132</v>
      </c>
      <c r="C5" s="68" t="s">
        <v>127</v>
      </c>
      <c r="D5" s="68" t="s">
        <v>128</v>
      </c>
      <c r="E5" s="68" t="s">
        <v>129</v>
      </c>
      <c r="F5" s="71">
        <v>14</v>
      </c>
      <c r="G5" s="72">
        <v>15000</v>
      </c>
      <c r="H5" s="73"/>
      <c r="I5" s="72">
        <v>30000</v>
      </c>
      <c r="J5" s="73"/>
      <c r="K5" s="72">
        <v>30000</v>
      </c>
      <c r="L5" s="73"/>
      <c r="M5" s="72">
        <v>20000</v>
      </c>
      <c r="N5" s="73"/>
      <c r="O5" s="72">
        <v>20000</v>
      </c>
      <c r="P5" s="73"/>
      <c r="Q5" s="72">
        <v>13000</v>
      </c>
      <c r="R5" s="73"/>
      <c r="S5" s="72">
        <v>1500</v>
      </c>
      <c r="T5" s="73"/>
      <c r="U5" s="72">
        <v>8000</v>
      </c>
      <c r="V5" s="73"/>
      <c r="W5" s="72">
        <v>15000</v>
      </c>
      <c r="X5" s="73"/>
      <c r="Y5" s="72">
        <v>40000</v>
      </c>
      <c r="Z5" s="73"/>
      <c r="AA5" s="72">
        <v>5000</v>
      </c>
      <c r="AB5" s="73"/>
      <c r="AC5" s="72"/>
      <c r="AD5" s="73"/>
      <c r="AE5" s="72">
        <f>SUM(G5:AC5)</f>
        <v>197500</v>
      </c>
    </row>
    <row r="6" s="66" customFormat="1" spans="1:31">
      <c r="A6" s="68">
        <v>8197</v>
      </c>
      <c r="B6" s="68" t="s">
        <v>132</v>
      </c>
      <c r="C6" s="68" t="s">
        <v>130</v>
      </c>
      <c r="D6" s="68" t="s">
        <v>128</v>
      </c>
      <c r="E6" s="68" t="s">
        <v>129</v>
      </c>
      <c r="F6" s="71">
        <v>10</v>
      </c>
      <c r="G6" s="72"/>
      <c r="H6" s="73"/>
      <c r="I6" s="72"/>
      <c r="J6" s="73"/>
      <c r="K6" s="72"/>
      <c r="L6" s="73"/>
      <c r="M6" s="72"/>
      <c r="N6" s="73"/>
      <c r="O6" s="72">
        <v>6000</v>
      </c>
      <c r="P6" s="73"/>
      <c r="Q6" s="72">
        <v>3000</v>
      </c>
      <c r="R6" s="73"/>
      <c r="S6" s="72"/>
      <c r="T6" s="73"/>
      <c r="U6" s="72"/>
      <c r="V6" s="73"/>
      <c r="W6" s="72">
        <v>8000</v>
      </c>
      <c r="X6" s="73"/>
      <c r="Y6" s="72">
        <v>10000</v>
      </c>
      <c r="Z6" s="73"/>
      <c r="AA6" s="72">
        <v>5000</v>
      </c>
      <c r="AB6" s="73"/>
      <c r="AC6" s="72"/>
      <c r="AD6" s="73"/>
      <c r="AE6" s="72">
        <f>SUM(G6:AC6)</f>
        <v>32000</v>
      </c>
    </row>
    <row r="7" s="66" customFormat="1" spans="1:31">
      <c r="A7" s="68">
        <v>8188</v>
      </c>
      <c r="B7" s="68" t="s">
        <v>133</v>
      </c>
      <c r="C7" s="68" t="s">
        <v>134</v>
      </c>
      <c r="D7" s="68" t="s">
        <v>128</v>
      </c>
      <c r="E7" s="68" t="s">
        <v>129</v>
      </c>
      <c r="F7" s="71">
        <v>4</v>
      </c>
      <c r="G7" s="72">
        <v>5000</v>
      </c>
      <c r="H7" s="73"/>
      <c r="I7" s="72">
        <v>5000</v>
      </c>
      <c r="J7" s="73"/>
      <c r="K7" s="72">
        <v>5000</v>
      </c>
      <c r="L7" s="73"/>
      <c r="M7" s="72">
        <v>2000</v>
      </c>
      <c r="N7" s="73"/>
      <c r="O7" s="72"/>
      <c r="P7" s="73"/>
      <c r="Q7" s="72"/>
      <c r="R7" s="73"/>
      <c r="S7" s="72"/>
      <c r="T7" s="73"/>
      <c r="U7" s="72"/>
      <c r="V7" s="73"/>
      <c r="W7" s="72"/>
      <c r="X7" s="73"/>
      <c r="Y7" s="72"/>
      <c r="Z7" s="73"/>
      <c r="AA7" s="72"/>
      <c r="AB7" s="73"/>
      <c r="AC7" s="72"/>
      <c r="AD7" s="73"/>
      <c r="AE7" s="72">
        <f>SUM(G7:AC7)</f>
        <v>17000</v>
      </c>
    </row>
    <row r="8" spans="1:31">
      <c r="A8" s="74" t="s">
        <v>135</v>
      </c>
      <c r="B8" s="74"/>
      <c r="C8" s="74"/>
      <c r="D8" s="74"/>
      <c r="E8" s="74"/>
      <c r="F8" s="74"/>
      <c r="G8" s="74">
        <f>SUM(G3:G7)</f>
        <v>35000</v>
      </c>
      <c r="H8" s="75">
        <v>43976</v>
      </c>
      <c r="I8" s="74">
        <f t="shared" ref="I8:AC8" si="0">SUM(I3:I7)</f>
        <v>50000</v>
      </c>
      <c r="J8" s="75">
        <v>86848</v>
      </c>
      <c r="K8" s="74">
        <f t="shared" si="0"/>
        <v>65000</v>
      </c>
      <c r="L8" s="75">
        <v>107855</v>
      </c>
      <c r="M8" s="74">
        <f t="shared" si="0"/>
        <v>52000</v>
      </c>
      <c r="N8" s="75">
        <v>127192</v>
      </c>
      <c r="O8" s="74">
        <f t="shared" si="0"/>
        <v>62000</v>
      </c>
      <c r="P8" s="75">
        <v>115246</v>
      </c>
      <c r="Q8" s="74">
        <f t="shared" si="0"/>
        <v>29000</v>
      </c>
      <c r="R8" s="75">
        <v>38667</v>
      </c>
      <c r="S8" s="74">
        <f t="shared" si="0"/>
        <v>3000</v>
      </c>
      <c r="T8" s="75">
        <v>5846</v>
      </c>
      <c r="U8" s="74">
        <f t="shared" si="0"/>
        <v>16000</v>
      </c>
      <c r="V8" s="75">
        <v>5846</v>
      </c>
      <c r="W8" s="74">
        <f t="shared" si="0"/>
        <v>46000</v>
      </c>
      <c r="X8" s="75">
        <v>26922</v>
      </c>
      <c r="Y8" s="74">
        <f t="shared" si="0"/>
        <v>100000</v>
      </c>
      <c r="Z8" s="75">
        <v>30079</v>
      </c>
      <c r="AA8" s="74">
        <f t="shared" si="0"/>
        <v>20000</v>
      </c>
      <c r="AB8" s="75">
        <v>30079</v>
      </c>
      <c r="AC8" s="74">
        <f t="shared" si="0"/>
        <v>0</v>
      </c>
      <c r="AD8" s="75">
        <v>0</v>
      </c>
      <c r="AE8" s="74">
        <f>SUM(AE3:AE7)</f>
        <v>478000</v>
      </c>
    </row>
    <row r="9" s="66" customFormat="1" spans="1:31">
      <c r="A9" s="76" t="s">
        <v>136</v>
      </c>
      <c r="B9" s="77"/>
      <c r="C9" s="77"/>
      <c r="D9" s="77"/>
      <c r="E9" s="77"/>
      <c r="F9" s="78"/>
      <c r="G9" s="79">
        <f>G3*$F$3+G4*$F$4+G5*$F$5+G6*$F$6+G7*$F$7</f>
        <v>350000</v>
      </c>
      <c r="H9" s="80">
        <v>456023.5</v>
      </c>
      <c r="I9" s="79">
        <f t="shared" ref="I9:AC9" si="1">I3*$F$3+I4*$F$4+I5*$F$5+I6*$F$6+I7*$F$7</f>
        <v>560000</v>
      </c>
      <c r="J9" s="75">
        <v>874948</v>
      </c>
      <c r="K9" s="79">
        <f t="shared" si="1"/>
        <v>680000</v>
      </c>
      <c r="L9" s="75">
        <v>1037204</v>
      </c>
      <c r="M9" s="79">
        <f t="shared" si="1"/>
        <v>528000</v>
      </c>
      <c r="N9" s="75">
        <v>1265962.5</v>
      </c>
      <c r="O9" s="79">
        <f t="shared" si="1"/>
        <v>616000</v>
      </c>
      <c r="P9" s="75">
        <v>1167514</v>
      </c>
      <c r="Q9" s="79">
        <f t="shared" si="1"/>
        <v>310000</v>
      </c>
      <c r="R9" s="75">
        <v>464762.05</v>
      </c>
      <c r="S9" s="79">
        <f t="shared" si="1"/>
        <v>33000</v>
      </c>
      <c r="T9" s="75">
        <v>66520.8</v>
      </c>
      <c r="U9" s="79">
        <f t="shared" si="1"/>
        <v>176000</v>
      </c>
      <c r="V9" s="75">
        <v>66520.8</v>
      </c>
      <c r="W9" s="79">
        <f t="shared" si="1"/>
        <v>458000</v>
      </c>
      <c r="X9" s="75">
        <v>271061.8</v>
      </c>
      <c r="Y9" s="79">
        <f t="shared" si="1"/>
        <v>1040000</v>
      </c>
      <c r="Z9" s="75">
        <v>329039.1</v>
      </c>
      <c r="AA9" s="79">
        <f t="shared" si="1"/>
        <v>190000</v>
      </c>
      <c r="AB9" s="75">
        <v>126287.3</v>
      </c>
      <c r="AC9" s="79">
        <f t="shared" si="1"/>
        <v>0</v>
      </c>
      <c r="AD9" s="75">
        <v>0</v>
      </c>
      <c r="AE9" s="79">
        <f>AE3*$F$3+AE4*$F$4+AE5*$F$5+AE6*$F$6+AE7*$F$7</f>
        <v>4941000</v>
      </c>
    </row>
    <row r="10" spans="1:31">
      <c r="A10" s="79" t="s">
        <v>137</v>
      </c>
      <c r="B10" s="79"/>
      <c r="C10" s="79"/>
      <c r="D10" s="79"/>
      <c r="E10" s="79"/>
      <c r="F10" s="79"/>
      <c r="G10" s="79">
        <f t="shared" ref="G10:X10" si="2">G9*3.5%</f>
        <v>12250</v>
      </c>
      <c r="H10" s="80">
        <f t="shared" si="2"/>
        <v>15960.8225</v>
      </c>
      <c r="I10" s="79">
        <f t="shared" si="2"/>
        <v>19600</v>
      </c>
      <c r="J10" s="80">
        <f t="shared" si="2"/>
        <v>30623.18</v>
      </c>
      <c r="K10" s="79">
        <f t="shared" si="2"/>
        <v>23800</v>
      </c>
      <c r="L10" s="80">
        <f t="shared" si="2"/>
        <v>36302.14</v>
      </c>
      <c r="M10" s="79">
        <f t="shared" si="2"/>
        <v>18480</v>
      </c>
      <c r="N10" s="80">
        <f t="shared" si="2"/>
        <v>44308.6875</v>
      </c>
      <c r="O10" s="79">
        <f t="shared" si="2"/>
        <v>21560</v>
      </c>
      <c r="P10" s="80">
        <f t="shared" si="2"/>
        <v>40862.99</v>
      </c>
      <c r="Q10" s="79">
        <f t="shared" si="2"/>
        <v>10850</v>
      </c>
      <c r="R10" s="80">
        <f t="shared" si="2"/>
        <v>16266.67175</v>
      </c>
      <c r="S10" s="79">
        <f t="shared" si="2"/>
        <v>1155</v>
      </c>
      <c r="T10" s="80">
        <f t="shared" si="2"/>
        <v>2328.228</v>
      </c>
      <c r="U10" s="79">
        <f t="shared" si="2"/>
        <v>6160</v>
      </c>
      <c r="V10" s="80">
        <f t="shared" si="2"/>
        <v>2328.228</v>
      </c>
      <c r="W10" s="79">
        <f t="shared" si="2"/>
        <v>16030</v>
      </c>
      <c r="X10" s="80">
        <f t="shared" si="2"/>
        <v>9487.163</v>
      </c>
      <c r="Y10" s="79">
        <f t="shared" ref="Y10:AD10" si="3">Y9*5%</f>
        <v>52000</v>
      </c>
      <c r="Z10" s="80">
        <f t="shared" si="3"/>
        <v>16451.955</v>
      </c>
      <c r="AA10" s="79">
        <f t="shared" si="3"/>
        <v>9500</v>
      </c>
      <c r="AB10" s="80">
        <f t="shared" si="3"/>
        <v>6314.365</v>
      </c>
      <c r="AC10" s="79">
        <f t="shared" si="3"/>
        <v>0</v>
      </c>
      <c r="AD10" s="80">
        <f t="shared" si="3"/>
        <v>0</v>
      </c>
      <c r="AE10" s="79">
        <f>AE9*3.5%</f>
        <v>172935</v>
      </c>
    </row>
    <row r="12" spans="1:31">
      <c r="A12" s="68" t="s">
        <v>138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</row>
    <row r="13" spans="1:31">
      <c r="A13" s="68" t="s">
        <v>95</v>
      </c>
      <c r="B13" s="68" t="s">
        <v>96</v>
      </c>
      <c r="C13" s="68" t="s">
        <v>97</v>
      </c>
      <c r="D13" s="68" t="s">
        <v>98</v>
      </c>
      <c r="E13" s="68" t="s">
        <v>99</v>
      </c>
      <c r="F13" s="69" t="s">
        <v>100</v>
      </c>
      <c r="G13" s="69" t="s">
        <v>101</v>
      </c>
      <c r="H13" s="70" t="s">
        <v>102</v>
      </c>
      <c r="I13" s="69" t="s">
        <v>103</v>
      </c>
      <c r="J13" s="70" t="s">
        <v>104</v>
      </c>
      <c r="K13" s="69" t="s">
        <v>105</v>
      </c>
      <c r="L13" s="70" t="s">
        <v>106</v>
      </c>
      <c r="M13" s="69" t="s">
        <v>107</v>
      </c>
      <c r="N13" s="70" t="s">
        <v>108</v>
      </c>
      <c r="O13" s="69" t="s">
        <v>109</v>
      </c>
      <c r="P13" s="70" t="s">
        <v>110</v>
      </c>
      <c r="Q13" s="69" t="s">
        <v>111</v>
      </c>
      <c r="R13" s="70" t="s">
        <v>112</v>
      </c>
      <c r="S13" s="69" t="s">
        <v>113</v>
      </c>
      <c r="T13" s="70" t="s">
        <v>114</v>
      </c>
      <c r="U13" s="69" t="s">
        <v>115</v>
      </c>
      <c r="V13" s="70" t="s">
        <v>116</v>
      </c>
      <c r="W13" s="69" t="s">
        <v>117</v>
      </c>
      <c r="X13" s="70" t="s">
        <v>118</v>
      </c>
      <c r="Y13" s="69" t="s">
        <v>119</v>
      </c>
      <c r="Z13" s="70" t="s">
        <v>120</v>
      </c>
      <c r="AA13" s="69" t="s">
        <v>121</v>
      </c>
      <c r="AB13" s="70" t="s">
        <v>122</v>
      </c>
      <c r="AC13" s="69" t="s">
        <v>123</v>
      </c>
      <c r="AD13" s="70" t="s">
        <v>124</v>
      </c>
      <c r="AE13" s="69" t="s">
        <v>28</v>
      </c>
    </row>
    <row r="14" spans="1:31">
      <c r="A14" s="68" t="s">
        <v>139</v>
      </c>
      <c r="B14" s="68"/>
      <c r="C14" s="68" t="s">
        <v>140</v>
      </c>
      <c r="D14" s="68" t="s">
        <v>128</v>
      </c>
      <c r="E14" s="68" t="s">
        <v>129</v>
      </c>
      <c r="F14" s="69">
        <v>9.5</v>
      </c>
      <c r="G14" s="69">
        <v>3000</v>
      </c>
      <c r="H14" s="70"/>
      <c r="I14" s="69">
        <v>7000</v>
      </c>
      <c r="J14" s="70"/>
      <c r="K14" s="69">
        <v>8000</v>
      </c>
      <c r="L14" s="70"/>
      <c r="M14" s="69">
        <v>8000</v>
      </c>
      <c r="N14" s="70"/>
      <c r="O14" s="69">
        <f>9780*35%</f>
        <v>3423</v>
      </c>
      <c r="P14" s="70"/>
      <c r="Q14" s="69">
        <f>9780*35%</f>
        <v>3423</v>
      </c>
      <c r="R14" s="70"/>
      <c r="S14" s="100">
        <f>13450*35%</f>
        <v>4707.5</v>
      </c>
      <c r="T14" s="70"/>
      <c r="U14" s="100">
        <f>13450*35%</f>
        <v>4707.5</v>
      </c>
      <c r="V14" s="70"/>
      <c r="W14" s="69">
        <f>15600*35%</f>
        <v>5460</v>
      </c>
      <c r="X14" s="70"/>
      <c r="Y14" s="69">
        <v>900</v>
      </c>
      <c r="Z14" s="70"/>
      <c r="AA14" s="69"/>
      <c r="AB14" s="70"/>
      <c r="AC14" s="69"/>
      <c r="AD14" s="70"/>
      <c r="AE14" s="69">
        <f>SUM(G14:AC14)</f>
        <v>48621</v>
      </c>
    </row>
    <row r="15" spans="1:31">
      <c r="A15" s="68"/>
      <c r="B15" s="68"/>
      <c r="C15" s="68"/>
      <c r="D15" s="68"/>
      <c r="E15" s="68" t="s">
        <v>141</v>
      </c>
      <c r="F15" s="69">
        <v>8.5</v>
      </c>
      <c r="G15" s="69">
        <v>2000</v>
      </c>
      <c r="H15" s="70"/>
      <c r="I15" s="69">
        <v>4000</v>
      </c>
      <c r="J15" s="70"/>
      <c r="K15" s="69">
        <v>8000</v>
      </c>
      <c r="L15" s="70"/>
      <c r="M15" s="69">
        <v>7000</v>
      </c>
      <c r="N15" s="70"/>
      <c r="O15" s="69">
        <f>9780*35%</f>
        <v>3423</v>
      </c>
      <c r="P15" s="70"/>
      <c r="Q15" s="69">
        <f>9780*35%</f>
        <v>3423</v>
      </c>
      <c r="R15" s="70"/>
      <c r="S15" s="100">
        <f>13450*35%</f>
        <v>4707.5</v>
      </c>
      <c r="T15" s="70"/>
      <c r="U15" s="100">
        <f>13450*35%</f>
        <v>4707.5</v>
      </c>
      <c r="V15" s="70"/>
      <c r="W15" s="69">
        <f>15600*35%</f>
        <v>5460</v>
      </c>
      <c r="X15" s="70"/>
      <c r="Y15" s="69">
        <v>900</v>
      </c>
      <c r="Z15" s="70"/>
      <c r="AA15" s="69"/>
      <c r="AB15" s="70"/>
      <c r="AC15" s="69"/>
      <c r="AD15" s="70"/>
      <c r="AE15" s="69">
        <f>SUM(G15:AC15)</f>
        <v>43621</v>
      </c>
    </row>
    <row r="16" spans="1:31">
      <c r="A16" s="68"/>
      <c r="B16" s="68"/>
      <c r="C16" s="68"/>
      <c r="D16" s="68"/>
      <c r="E16" s="68" t="s">
        <v>142</v>
      </c>
      <c r="F16" s="69">
        <v>7.5</v>
      </c>
      <c r="G16" s="69">
        <v>1000</v>
      </c>
      <c r="H16" s="70"/>
      <c r="I16" s="69">
        <v>2000</v>
      </c>
      <c r="J16" s="70"/>
      <c r="K16" s="69">
        <v>4000</v>
      </c>
      <c r="L16" s="70"/>
      <c r="M16" s="69">
        <v>3000</v>
      </c>
      <c r="N16" s="70"/>
      <c r="O16" s="69">
        <f>9780*30%</f>
        <v>2934</v>
      </c>
      <c r="P16" s="70"/>
      <c r="Q16" s="69">
        <f>9780*30%</f>
        <v>2934</v>
      </c>
      <c r="R16" s="70"/>
      <c r="S16" s="69">
        <f>13450*30%</f>
        <v>4035</v>
      </c>
      <c r="T16" s="70"/>
      <c r="U16" s="69">
        <f>13450*30%</f>
        <v>4035</v>
      </c>
      <c r="V16" s="70"/>
      <c r="W16" s="69">
        <f>15600*30%</f>
        <v>4680</v>
      </c>
      <c r="X16" s="70"/>
      <c r="Y16" s="69">
        <v>900</v>
      </c>
      <c r="Z16" s="70"/>
      <c r="AA16" s="69"/>
      <c r="AB16" s="70"/>
      <c r="AC16" s="69"/>
      <c r="AD16" s="70"/>
      <c r="AE16" s="69">
        <f>SUM(G16:AC16)</f>
        <v>29518</v>
      </c>
    </row>
    <row r="17" s="66" customFormat="1" spans="1:31">
      <c r="A17" s="68"/>
      <c r="B17" s="68"/>
      <c r="C17" s="68" t="s">
        <v>143</v>
      </c>
      <c r="D17" s="68"/>
      <c r="E17" s="68" t="s">
        <v>129</v>
      </c>
      <c r="F17" s="69">
        <v>3.5</v>
      </c>
      <c r="G17" s="69">
        <v>1000</v>
      </c>
      <c r="H17" s="70"/>
      <c r="I17" s="69">
        <v>2000</v>
      </c>
      <c r="J17" s="70"/>
      <c r="K17" s="69">
        <v>3000</v>
      </c>
      <c r="L17" s="70"/>
      <c r="M17" s="69">
        <v>4000</v>
      </c>
      <c r="N17" s="70"/>
      <c r="O17" s="69">
        <v>500</v>
      </c>
      <c r="P17" s="70"/>
      <c r="Q17" s="69">
        <v>500</v>
      </c>
      <c r="R17" s="70"/>
      <c r="S17" s="69">
        <v>500</v>
      </c>
      <c r="T17" s="70"/>
      <c r="U17" s="69"/>
      <c r="V17" s="70"/>
      <c r="W17" s="69"/>
      <c r="X17" s="70"/>
      <c r="Y17" s="69"/>
      <c r="Z17" s="70"/>
      <c r="AA17" s="69"/>
      <c r="AB17" s="70"/>
      <c r="AC17" s="69"/>
      <c r="AD17" s="70"/>
      <c r="AE17" s="69">
        <f>SUM(G17:AC17)</f>
        <v>11500</v>
      </c>
    </row>
    <row r="18" s="66" customFormat="1" spans="1:31">
      <c r="A18" s="68"/>
      <c r="B18" s="68"/>
      <c r="C18" s="68"/>
      <c r="D18" s="68"/>
      <c r="E18" s="68" t="s">
        <v>141</v>
      </c>
      <c r="F18" s="69">
        <v>3</v>
      </c>
      <c r="G18" s="69">
        <v>1000</v>
      </c>
      <c r="H18" s="70"/>
      <c r="I18" s="69">
        <v>1000</v>
      </c>
      <c r="J18" s="70"/>
      <c r="K18" s="69">
        <v>3000</v>
      </c>
      <c r="L18" s="70"/>
      <c r="M18" s="69">
        <v>3000</v>
      </c>
      <c r="N18" s="70"/>
      <c r="O18" s="69">
        <v>500</v>
      </c>
      <c r="P18" s="70"/>
      <c r="Q18" s="69">
        <v>500</v>
      </c>
      <c r="R18" s="70"/>
      <c r="S18" s="69">
        <v>500</v>
      </c>
      <c r="T18" s="70"/>
      <c r="U18" s="69"/>
      <c r="V18" s="70"/>
      <c r="W18" s="69"/>
      <c r="X18" s="70"/>
      <c r="Y18" s="69"/>
      <c r="Z18" s="70"/>
      <c r="AA18" s="69"/>
      <c r="AB18" s="70"/>
      <c r="AC18" s="69"/>
      <c r="AD18" s="70"/>
      <c r="AE18" s="69">
        <f>SUM(G18:AC18)</f>
        <v>9500</v>
      </c>
    </row>
    <row r="19" spans="1:31">
      <c r="A19" s="81" t="s">
        <v>135</v>
      </c>
      <c r="B19" s="82"/>
      <c r="C19" s="82"/>
      <c r="D19" s="82"/>
      <c r="E19" s="82"/>
      <c r="F19" s="83"/>
      <c r="G19" s="74">
        <f>SUM(G14:G18)</f>
        <v>8000</v>
      </c>
      <c r="H19" s="75">
        <v>5715</v>
      </c>
      <c r="I19" s="74">
        <f t="shared" ref="I19:AE19" si="4">SUM(I14:I18)</f>
        <v>16000</v>
      </c>
      <c r="J19" s="75">
        <v>7883</v>
      </c>
      <c r="K19" s="74">
        <f t="shared" si="4"/>
        <v>26000</v>
      </c>
      <c r="L19" s="75">
        <v>31600</v>
      </c>
      <c r="M19" s="74">
        <f t="shared" si="4"/>
        <v>25000</v>
      </c>
      <c r="N19" s="75">
        <v>48207</v>
      </c>
      <c r="O19" s="74">
        <f t="shared" si="4"/>
        <v>10780</v>
      </c>
      <c r="P19" s="75">
        <v>45952</v>
      </c>
      <c r="Q19" s="74">
        <f t="shared" si="4"/>
        <v>10780</v>
      </c>
      <c r="R19" s="75">
        <v>21316</v>
      </c>
      <c r="S19" s="74">
        <f t="shared" si="4"/>
        <v>14450</v>
      </c>
      <c r="T19" s="75">
        <v>5984</v>
      </c>
      <c r="U19" s="74">
        <f t="shared" si="4"/>
        <v>13450</v>
      </c>
      <c r="V19" s="75">
        <v>13789</v>
      </c>
      <c r="W19" s="74">
        <f t="shared" si="4"/>
        <v>15600</v>
      </c>
      <c r="X19" s="75">
        <v>23110</v>
      </c>
      <c r="Y19" s="74">
        <f t="shared" si="4"/>
        <v>2700</v>
      </c>
      <c r="Z19" s="75">
        <v>2795</v>
      </c>
      <c r="AA19" s="74">
        <f t="shared" si="4"/>
        <v>0</v>
      </c>
      <c r="AB19" s="75"/>
      <c r="AC19" s="74">
        <f t="shared" si="4"/>
        <v>0</v>
      </c>
      <c r="AD19" s="75">
        <v>0</v>
      </c>
      <c r="AE19" s="74">
        <f t="shared" si="4"/>
        <v>142760</v>
      </c>
    </row>
    <row r="20" s="66" customFormat="1" spans="1:31">
      <c r="A20" s="76" t="s">
        <v>136</v>
      </c>
      <c r="B20" s="77"/>
      <c r="C20" s="77"/>
      <c r="D20" s="77"/>
      <c r="E20" s="77"/>
      <c r="F20" s="78"/>
      <c r="G20" s="74">
        <f>G14*$F14+G15*$F15+G16*$F16+G17*$F17+G18*$F18</f>
        <v>59500</v>
      </c>
      <c r="H20" s="75">
        <v>43614.5</v>
      </c>
      <c r="I20" s="74">
        <f t="shared" ref="I20:AE20" si="5">I14*$F14+I15*$F15+I16*$F16+I17*$F17+I18*$F18</f>
        <v>125500</v>
      </c>
      <c r="J20" s="75">
        <v>67056.5</v>
      </c>
      <c r="K20" s="74">
        <f t="shared" si="5"/>
        <v>193500</v>
      </c>
      <c r="L20" s="75">
        <v>206047</v>
      </c>
      <c r="M20" s="74">
        <f t="shared" si="5"/>
        <v>181000</v>
      </c>
      <c r="N20" s="75">
        <v>378050.5</v>
      </c>
      <c r="O20" s="74">
        <f t="shared" si="5"/>
        <v>86869</v>
      </c>
      <c r="P20" s="75">
        <v>389324.94</v>
      </c>
      <c r="Q20" s="74">
        <f t="shared" si="5"/>
        <v>86869</v>
      </c>
      <c r="R20" s="75">
        <v>169796.53</v>
      </c>
      <c r="S20" s="74">
        <f t="shared" si="5"/>
        <v>118247.5</v>
      </c>
      <c r="T20" s="75">
        <v>50866.7</v>
      </c>
      <c r="U20" s="74">
        <f t="shared" si="5"/>
        <v>114997.5</v>
      </c>
      <c r="V20" s="75">
        <v>128758.6</v>
      </c>
      <c r="W20" s="74">
        <f t="shared" si="5"/>
        <v>133380</v>
      </c>
      <c r="X20" s="75">
        <v>190614.66</v>
      </c>
      <c r="Y20" s="74">
        <f t="shared" si="5"/>
        <v>22950</v>
      </c>
      <c r="Z20" s="75">
        <v>24146.7</v>
      </c>
      <c r="AA20" s="74">
        <f t="shared" si="5"/>
        <v>0</v>
      </c>
      <c r="AB20" s="75"/>
      <c r="AC20" s="74">
        <f t="shared" si="5"/>
        <v>0</v>
      </c>
      <c r="AD20" s="75">
        <v>0</v>
      </c>
      <c r="AE20" s="74">
        <f t="shared" si="5"/>
        <v>1122813</v>
      </c>
    </row>
    <row r="21" spans="1:31">
      <c r="A21" s="76" t="s">
        <v>137</v>
      </c>
      <c r="B21" s="77"/>
      <c r="C21" s="77"/>
      <c r="D21" s="77"/>
      <c r="E21" s="77"/>
      <c r="F21" s="78"/>
      <c r="G21" s="79">
        <f>G20*3.5%</f>
        <v>2082.5</v>
      </c>
      <c r="H21" s="80">
        <f>H20*3.5%</f>
        <v>1526.5075</v>
      </c>
      <c r="I21" s="79">
        <f t="shared" ref="I21:AE21" si="6">I20*3.5%</f>
        <v>4392.5</v>
      </c>
      <c r="J21" s="80">
        <f t="shared" si="6"/>
        <v>2346.9775</v>
      </c>
      <c r="K21" s="79">
        <f t="shared" si="6"/>
        <v>6772.5</v>
      </c>
      <c r="L21" s="80">
        <f t="shared" si="6"/>
        <v>7211.645</v>
      </c>
      <c r="M21" s="79">
        <f t="shared" si="6"/>
        <v>6335</v>
      </c>
      <c r="N21" s="80">
        <f t="shared" si="6"/>
        <v>13231.7675</v>
      </c>
      <c r="O21" s="79">
        <f t="shared" si="6"/>
        <v>3040.415</v>
      </c>
      <c r="P21" s="80">
        <f t="shared" si="6"/>
        <v>13626.3729</v>
      </c>
      <c r="Q21" s="79">
        <f t="shared" si="6"/>
        <v>3040.415</v>
      </c>
      <c r="R21" s="80">
        <f t="shared" si="6"/>
        <v>5942.87855</v>
      </c>
      <c r="S21" s="79">
        <f t="shared" si="6"/>
        <v>4138.6625</v>
      </c>
      <c r="T21" s="80">
        <f t="shared" si="6"/>
        <v>1780.3345</v>
      </c>
      <c r="U21" s="79">
        <f t="shared" si="6"/>
        <v>4024.9125</v>
      </c>
      <c r="V21" s="80">
        <f t="shared" si="6"/>
        <v>4506.551</v>
      </c>
      <c r="W21" s="79">
        <f t="shared" si="6"/>
        <v>4668.3</v>
      </c>
      <c r="X21" s="80">
        <f t="shared" si="6"/>
        <v>6671.5131</v>
      </c>
      <c r="Y21" s="79">
        <f t="shared" si="6"/>
        <v>803.25</v>
      </c>
      <c r="Z21" s="80">
        <f>Z20*5%</f>
        <v>1207.335</v>
      </c>
      <c r="AA21" s="79">
        <f t="shared" si="6"/>
        <v>0</v>
      </c>
      <c r="AB21" s="80"/>
      <c r="AC21" s="79">
        <f t="shared" si="6"/>
        <v>0</v>
      </c>
      <c r="AD21" s="80">
        <f>AD20*5%</f>
        <v>0</v>
      </c>
      <c r="AE21" s="79">
        <f t="shared" si="6"/>
        <v>39298.455</v>
      </c>
    </row>
    <row r="23" spans="1:31">
      <c r="A23" s="68" t="s">
        <v>144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</row>
    <row r="24" spans="1:31">
      <c r="A24" s="84" t="s">
        <v>145</v>
      </c>
      <c r="B24" s="85"/>
      <c r="C24" s="85"/>
      <c r="D24" s="85"/>
      <c r="E24" s="86"/>
      <c r="F24" s="69" t="s">
        <v>146</v>
      </c>
      <c r="G24" s="69" t="s">
        <v>101</v>
      </c>
      <c r="H24" s="70" t="s">
        <v>102</v>
      </c>
      <c r="I24" s="69" t="s">
        <v>103</v>
      </c>
      <c r="J24" s="70" t="s">
        <v>104</v>
      </c>
      <c r="K24" s="69" t="s">
        <v>105</v>
      </c>
      <c r="L24" s="70" t="s">
        <v>106</v>
      </c>
      <c r="M24" s="69" t="s">
        <v>107</v>
      </c>
      <c r="N24" s="70" t="s">
        <v>108</v>
      </c>
      <c r="O24" s="69" t="s">
        <v>109</v>
      </c>
      <c r="P24" s="70" t="s">
        <v>110</v>
      </c>
      <c r="Q24" s="69" t="s">
        <v>111</v>
      </c>
      <c r="R24" s="70" t="s">
        <v>112</v>
      </c>
      <c r="S24" s="69" t="s">
        <v>113</v>
      </c>
      <c r="T24" s="70" t="s">
        <v>114</v>
      </c>
      <c r="U24" s="69" t="s">
        <v>115</v>
      </c>
      <c r="V24" s="70" t="s">
        <v>116</v>
      </c>
      <c r="W24" s="69" t="s">
        <v>117</v>
      </c>
      <c r="X24" s="70" t="s">
        <v>118</v>
      </c>
      <c r="Y24" s="69" t="s">
        <v>119</v>
      </c>
      <c r="Z24" s="70" t="s">
        <v>120</v>
      </c>
      <c r="AA24" s="69" t="s">
        <v>121</v>
      </c>
      <c r="AB24" s="70" t="s">
        <v>122</v>
      </c>
      <c r="AC24" s="69" t="s">
        <v>123</v>
      </c>
      <c r="AD24" s="70" t="s">
        <v>124</v>
      </c>
      <c r="AE24" s="69" t="s">
        <v>28</v>
      </c>
    </row>
    <row r="25" spans="1:31">
      <c r="A25" s="84" t="s">
        <v>147</v>
      </c>
      <c r="B25" s="85"/>
      <c r="C25" s="85"/>
      <c r="D25" s="85"/>
      <c r="E25" s="86"/>
      <c r="F25" s="71">
        <v>10</v>
      </c>
      <c r="G25" s="72">
        <v>300</v>
      </c>
      <c r="H25" s="73"/>
      <c r="I25" s="72">
        <v>300</v>
      </c>
      <c r="J25" s="73"/>
      <c r="K25" s="72">
        <v>300</v>
      </c>
      <c r="L25" s="73"/>
      <c r="M25" s="72">
        <v>300</v>
      </c>
      <c r="N25" s="73"/>
      <c r="O25" s="72">
        <v>600</v>
      </c>
      <c r="P25" s="73"/>
      <c r="Q25" s="72">
        <v>400</v>
      </c>
      <c r="R25" s="73"/>
      <c r="S25" s="72">
        <v>400</v>
      </c>
      <c r="T25" s="73"/>
      <c r="U25" s="72">
        <v>500</v>
      </c>
      <c r="V25" s="73"/>
      <c r="W25" s="72">
        <v>600</v>
      </c>
      <c r="X25" s="73"/>
      <c r="Y25" s="72">
        <v>700</v>
      </c>
      <c r="Z25" s="73"/>
      <c r="AA25" s="72">
        <v>800</v>
      </c>
      <c r="AB25" s="73"/>
      <c r="AC25" s="72">
        <v>800</v>
      </c>
      <c r="AD25" s="73"/>
      <c r="AE25" s="72">
        <f>SUM(G25:AC25)</f>
        <v>6000</v>
      </c>
    </row>
    <row r="26" spans="1:31">
      <c r="A26" s="81" t="s">
        <v>135</v>
      </c>
      <c r="B26" s="82"/>
      <c r="C26" s="82"/>
      <c r="D26" s="82"/>
      <c r="E26" s="82"/>
      <c r="F26" s="83"/>
      <c r="G26" s="74">
        <f t="shared" ref="G26:AE26" si="7">SUM(G25:G25)</f>
        <v>300</v>
      </c>
      <c r="H26" s="87">
        <f>H27/15</f>
        <v>556.110666666667</v>
      </c>
      <c r="I26" s="74">
        <f t="shared" si="7"/>
        <v>300</v>
      </c>
      <c r="J26" s="87">
        <f>J27/15</f>
        <v>489.65</v>
      </c>
      <c r="K26" s="74">
        <f t="shared" si="7"/>
        <v>300</v>
      </c>
      <c r="L26" s="87">
        <f>L27/15</f>
        <v>504.7996</v>
      </c>
      <c r="M26" s="74">
        <f t="shared" si="7"/>
        <v>300</v>
      </c>
      <c r="N26" s="87">
        <f>N27/15</f>
        <v>700.45</v>
      </c>
      <c r="O26" s="74">
        <f t="shared" si="7"/>
        <v>600</v>
      </c>
      <c r="P26" s="87">
        <f>P27/15</f>
        <v>477.9</v>
      </c>
      <c r="Q26" s="74">
        <f t="shared" si="7"/>
        <v>400</v>
      </c>
      <c r="R26" s="87">
        <f>R27/15</f>
        <v>304.22</v>
      </c>
      <c r="S26" s="74">
        <f t="shared" si="7"/>
        <v>400</v>
      </c>
      <c r="T26" s="87">
        <f>T27/15</f>
        <v>256.413333333333</v>
      </c>
      <c r="U26" s="74">
        <f t="shared" si="7"/>
        <v>500</v>
      </c>
      <c r="V26" s="87">
        <f>V27/10</f>
        <v>859.42</v>
      </c>
      <c r="W26" s="74">
        <f t="shared" si="7"/>
        <v>600</v>
      </c>
      <c r="X26" s="87">
        <f>X27/10</f>
        <v>833.185</v>
      </c>
      <c r="Y26" s="74">
        <f t="shared" si="7"/>
        <v>700</v>
      </c>
      <c r="Z26" s="87">
        <f>Z27/10</f>
        <v>1228.27</v>
      </c>
      <c r="AA26" s="74">
        <f t="shared" si="7"/>
        <v>800</v>
      </c>
      <c r="AB26" s="87">
        <f>AB27/10</f>
        <v>1199.96</v>
      </c>
      <c r="AC26" s="74">
        <f t="shared" si="7"/>
        <v>800</v>
      </c>
      <c r="AD26" s="87">
        <f>AD27/10</f>
        <v>1396.31</v>
      </c>
      <c r="AE26" s="74">
        <f t="shared" si="7"/>
        <v>6000</v>
      </c>
    </row>
    <row r="27" spans="1:31">
      <c r="A27" s="76" t="s">
        <v>137</v>
      </c>
      <c r="B27" s="77"/>
      <c r="C27" s="77"/>
      <c r="D27" s="77"/>
      <c r="E27" s="77"/>
      <c r="F27" s="78"/>
      <c r="G27" s="79">
        <f>G25*$F$25</f>
        <v>3000</v>
      </c>
      <c r="H27" s="87">
        <v>8341.66</v>
      </c>
      <c r="I27" s="79">
        <f t="shared" ref="I27:AA27" si="8">I25*$F$25</f>
        <v>3000</v>
      </c>
      <c r="J27" s="87">
        <v>7344.75</v>
      </c>
      <c r="K27" s="79">
        <f t="shared" si="8"/>
        <v>3000</v>
      </c>
      <c r="L27" s="87">
        <v>7571.994</v>
      </c>
      <c r="M27" s="79">
        <f t="shared" si="8"/>
        <v>3000</v>
      </c>
      <c r="N27" s="87">
        <v>10506.75</v>
      </c>
      <c r="O27" s="79">
        <f t="shared" si="8"/>
        <v>6000</v>
      </c>
      <c r="P27" s="87">
        <v>7168.5</v>
      </c>
      <c r="Q27" s="79">
        <f t="shared" si="8"/>
        <v>4000</v>
      </c>
      <c r="R27" s="87">
        <v>4563.3</v>
      </c>
      <c r="S27" s="79">
        <f t="shared" si="8"/>
        <v>4000</v>
      </c>
      <c r="T27" s="87">
        <v>3846.2</v>
      </c>
      <c r="U27" s="79">
        <f t="shared" si="8"/>
        <v>5000</v>
      </c>
      <c r="V27" s="87">
        <v>8594.2</v>
      </c>
      <c r="W27" s="79">
        <f t="shared" si="8"/>
        <v>6000</v>
      </c>
      <c r="X27" s="87">
        <v>8331.85</v>
      </c>
      <c r="Y27" s="79">
        <f t="shared" si="8"/>
        <v>7000</v>
      </c>
      <c r="Z27" s="87">
        <v>12282.7</v>
      </c>
      <c r="AA27" s="79">
        <f t="shared" si="8"/>
        <v>8000</v>
      </c>
      <c r="AB27" s="87">
        <v>11999.6</v>
      </c>
      <c r="AC27" s="79">
        <v>40000</v>
      </c>
      <c r="AD27" s="87">
        <v>13963.1</v>
      </c>
      <c r="AE27" s="101">
        <f>SUM(G27:AC27)</f>
        <v>182551.504</v>
      </c>
    </row>
    <row r="29" s="66" customFormat="1" spans="1:31">
      <c r="A29" s="84" t="s">
        <v>148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6"/>
    </row>
    <row r="30" s="66" customFormat="1" spans="1:31">
      <c r="A30" s="84" t="s">
        <v>145</v>
      </c>
      <c r="B30" s="85"/>
      <c r="C30" s="85"/>
      <c r="D30" s="85"/>
      <c r="E30" s="86"/>
      <c r="F30" s="69" t="s">
        <v>146</v>
      </c>
      <c r="G30" s="69" t="s">
        <v>101</v>
      </c>
      <c r="H30" s="70" t="s">
        <v>102</v>
      </c>
      <c r="I30" s="69" t="s">
        <v>103</v>
      </c>
      <c r="J30" s="70" t="s">
        <v>104</v>
      </c>
      <c r="K30" s="69" t="s">
        <v>105</v>
      </c>
      <c r="L30" s="70" t="s">
        <v>106</v>
      </c>
      <c r="M30" s="69" t="s">
        <v>107</v>
      </c>
      <c r="N30" s="70" t="s">
        <v>108</v>
      </c>
      <c r="O30" s="69" t="s">
        <v>109</v>
      </c>
      <c r="P30" s="70" t="s">
        <v>110</v>
      </c>
      <c r="Q30" s="69" t="s">
        <v>111</v>
      </c>
      <c r="R30" s="70" t="s">
        <v>112</v>
      </c>
      <c r="S30" s="69" t="s">
        <v>113</v>
      </c>
      <c r="T30" s="70" t="s">
        <v>114</v>
      </c>
      <c r="U30" s="69" t="s">
        <v>115</v>
      </c>
      <c r="V30" s="70" t="s">
        <v>116</v>
      </c>
      <c r="W30" s="69" t="s">
        <v>117</v>
      </c>
      <c r="X30" s="70" t="s">
        <v>118</v>
      </c>
      <c r="Y30" s="69" t="s">
        <v>119</v>
      </c>
      <c r="Z30" s="70" t="s">
        <v>120</v>
      </c>
      <c r="AA30" s="69" t="s">
        <v>121</v>
      </c>
      <c r="AB30" s="70" t="s">
        <v>122</v>
      </c>
      <c r="AC30" s="69" t="s">
        <v>123</v>
      </c>
      <c r="AD30" s="70" t="s">
        <v>124</v>
      </c>
      <c r="AE30" s="69" t="s">
        <v>28</v>
      </c>
    </row>
    <row r="31" s="66" customFormat="1" spans="1:31">
      <c r="A31" s="84" t="s">
        <v>149</v>
      </c>
      <c r="B31" s="85"/>
      <c r="C31" s="85"/>
      <c r="D31" s="85"/>
      <c r="E31" s="86"/>
      <c r="F31" s="71">
        <f>0.7*4%</f>
        <v>0.028</v>
      </c>
      <c r="G31" s="72">
        <v>10000</v>
      </c>
      <c r="H31" s="73"/>
      <c r="I31" s="72">
        <f>5000+10000</f>
        <v>15000</v>
      </c>
      <c r="J31" s="73"/>
      <c r="K31" s="72">
        <f>5000+20000</f>
        <v>25000</v>
      </c>
      <c r="L31" s="73"/>
      <c r="M31" s="72">
        <v>10000</v>
      </c>
      <c r="N31" s="73"/>
      <c r="O31" s="72">
        <v>65000</v>
      </c>
      <c r="P31" s="73"/>
      <c r="Q31" s="72">
        <v>80000</v>
      </c>
      <c r="R31" s="73"/>
      <c r="S31" s="72">
        <v>62500</v>
      </c>
      <c r="T31" s="73"/>
      <c r="U31" s="72">
        <v>25000</v>
      </c>
      <c r="V31" s="73"/>
      <c r="W31" s="72">
        <v>42500</v>
      </c>
      <c r="X31" s="73"/>
      <c r="Y31" s="72">
        <v>20000</v>
      </c>
      <c r="Z31" s="73"/>
      <c r="AA31" s="72">
        <v>80000</v>
      </c>
      <c r="AB31" s="73"/>
      <c r="AC31" s="72">
        <v>50000</v>
      </c>
      <c r="AD31" s="73"/>
      <c r="AE31" s="72">
        <f>SUM(G31:AC31)</f>
        <v>485000</v>
      </c>
    </row>
    <row r="32" s="66" customFormat="1" spans="1:31">
      <c r="A32" s="81" t="s">
        <v>135</v>
      </c>
      <c r="B32" s="82"/>
      <c r="C32" s="82"/>
      <c r="D32" s="82"/>
      <c r="E32" s="82"/>
      <c r="F32" s="83"/>
      <c r="G32" s="74">
        <f t="shared" ref="G32:AE32" si="9">SUM(G31:G31)</f>
        <v>10000</v>
      </c>
      <c r="H32" s="75">
        <f>G32</f>
        <v>10000</v>
      </c>
      <c r="I32" s="74">
        <f t="shared" si="9"/>
        <v>15000</v>
      </c>
      <c r="J32" s="75">
        <f>I32</f>
        <v>15000</v>
      </c>
      <c r="K32" s="74">
        <f t="shared" si="9"/>
        <v>25000</v>
      </c>
      <c r="L32" s="75">
        <f>K32</f>
        <v>25000</v>
      </c>
      <c r="M32" s="74">
        <f t="shared" si="9"/>
        <v>10000</v>
      </c>
      <c r="N32" s="75">
        <f>M32</f>
        <v>10000</v>
      </c>
      <c r="O32" s="74">
        <f t="shared" si="9"/>
        <v>65000</v>
      </c>
      <c r="P32" s="75">
        <f>O32</f>
        <v>65000</v>
      </c>
      <c r="Q32" s="74">
        <f t="shared" si="9"/>
        <v>80000</v>
      </c>
      <c r="R32" s="75">
        <f>Q32</f>
        <v>80000</v>
      </c>
      <c r="S32" s="74">
        <f t="shared" si="9"/>
        <v>62500</v>
      </c>
      <c r="T32" s="75">
        <f>S32</f>
        <v>62500</v>
      </c>
      <c r="U32" s="74">
        <f t="shared" si="9"/>
        <v>25000</v>
      </c>
      <c r="V32" s="75">
        <f>U32</f>
        <v>25000</v>
      </c>
      <c r="W32" s="74">
        <f t="shared" si="9"/>
        <v>42500</v>
      </c>
      <c r="X32" s="75">
        <f>W32</f>
        <v>42500</v>
      </c>
      <c r="Y32" s="74">
        <f t="shared" si="9"/>
        <v>20000</v>
      </c>
      <c r="Z32" s="75">
        <f>Y32</f>
        <v>20000</v>
      </c>
      <c r="AA32" s="74">
        <f t="shared" si="9"/>
        <v>80000</v>
      </c>
      <c r="AB32" s="75">
        <f>AA32</f>
        <v>80000</v>
      </c>
      <c r="AC32" s="74">
        <f t="shared" si="9"/>
        <v>50000</v>
      </c>
      <c r="AD32" s="75">
        <f>AC32</f>
        <v>50000</v>
      </c>
      <c r="AE32" s="74">
        <f t="shared" si="9"/>
        <v>485000</v>
      </c>
    </row>
    <row r="33" s="66" customFormat="1" spans="1:31">
      <c r="A33" s="76" t="s">
        <v>137</v>
      </c>
      <c r="B33" s="77"/>
      <c r="C33" s="77"/>
      <c r="D33" s="77"/>
      <c r="E33" s="77"/>
      <c r="F33" s="78"/>
      <c r="G33" s="79">
        <f>G31*$F$31</f>
        <v>280</v>
      </c>
      <c r="H33" s="75">
        <f>G33</f>
        <v>280</v>
      </c>
      <c r="I33" s="79">
        <f t="shared" ref="I33:AC33" si="10">I31*$F$31</f>
        <v>420</v>
      </c>
      <c r="J33" s="75">
        <f>I33</f>
        <v>420</v>
      </c>
      <c r="K33" s="79">
        <f t="shared" si="10"/>
        <v>700</v>
      </c>
      <c r="L33" s="75">
        <f>K33</f>
        <v>700</v>
      </c>
      <c r="M33" s="79">
        <f t="shared" si="10"/>
        <v>280</v>
      </c>
      <c r="N33" s="75">
        <f>M33</f>
        <v>280</v>
      </c>
      <c r="O33" s="79">
        <f t="shared" si="10"/>
        <v>1820</v>
      </c>
      <c r="P33" s="75">
        <f>O33</f>
        <v>1820</v>
      </c>
      <c r="Q33" s="79">
        <f t="shared" si="10"/>
        <v>2240</v>
      </c>
      <c r="R33" s="75">
        <f>Q33</f>
        <v>2240</v>
      </c>
      <c r="S33" s="79">
        <f t="shared" si="10"/>
        <v>1750</v>
      </c>
      <c r="T33" s="75">
        <f>S33</f>
        <v>1750</v>
      </c>
      <c r="U33" s="79">
        <f t="shared" si="10"/>
        <v>700</v>
      </c>
      <c r="V33" s="75">
        <f>U33</f>
        <v>700</v>
      </c>
      <c r="W33" s="79">
        <f t="shared" si="10"/>
        <v>1190</v>
      </c>
      <c r="X33" s="75">
        <f>W33</f>
        <v>1190</v>
      </c>
      <c r="Y33" s="79">
        <f t="shared" si="10"/>
        <v>560</v>
      </c>
      <c r="Z33" s="75">
        <v>6124.95</v>
      </c>
      <c r="AA33" s="79">
        <f t="shared" si="10"/>
        <v>2240</v>
      </c>
      <c r="AB33" s="75">
        <v>2564.31</v>
      </c>
      <c r="AC33" s="79">
        <f t="shared" si="10"/>
        <v>1400</v>
      </c>
      <c r="AD33" s="75">
        <v>1615.03</v>
      </c>
      <c r="AE33" s="79">
        <f>SUM(G33:AC33)</f>
        <v>31649.26</v>
      </c>
    </row>
    <row r="34" s="67" customFormat="1" spans="1:31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</row>
    <row r="35" s="67" customFormat="1" spans="1:31">
      <c r="A35" s="68" t="s">
        <v>150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</row>
    <row r="36" s="67" customFormat="1" spans="1:31">
      <c r="A36" s="68" t="s">
        <v>145</v>
      </c>
      <c r="B36" s="68"/>
      <c r="C36" s="68"/>
      <c r="D36" s="68"/>
      <c r="E36" s="68"/>
      <c r="F36" s="69" t="s">
        <v>151</v>
      </c>
      <c r="G36" s="69" t="s">
        <v>101</v>
      </c>
      <c r="H36" s="70" t="s">
        <v>102</v>
      </c>
      <c r="I36" s="69" t="s">
        <v>103</v>
      </c>
      <c r="J36" s="70" t="s">
        <v>104</v>
      </c>
      <c r="K36" s="69" t="s">
        <v>105</v>
      </c>
      <c r="L36" s="70" t="s">
        <v>106</v>
      </c>
      <c r="M36" s="69" t="s">
        <v>107</v>
      </c>
      <c r="N36" s="70" t="s">
        <v>108</v>
      </c>
      <c r="O36" s="69" t="s">
        <v>109</v>
      </c>
      <c r="P36" s="70" t="s">
        <v>110</v>
      </c>
      <c r="Q36" s="69" t="s">
        <v>111</v>
      </c>
      <c r="R36" s="70" t="s">
        <v>112</v>
      </c>
      <c r="S36" s="69" t="s">
        <v>113</v>
      </c>
      <c r="T36" s="70" t="s">
        <v>114</v>
      </c>
      <c r="U36" s="69" t="s">
        <v>115</v>
      </c>
      <c r="V36" s="70" t="s">
        <v>116</v>
      </c>
      <c r="W36" s="69" t="s">
        <v>117</v>
      </c>
      <c r="X36" s="70" t="s">
        <v>118</v>
      </c>
      <c r="Y36" s="69" t="s">
        <v>119</v>
      </c>
      <c r="Z36" s="70" t="s">
        <v>120</v>
      </c>
      <c r="AA36" s="69" t="s">
        <v>121</v>
      </c>
      <c r="AB36" s="70" t="s">
        <v>122</v>
      </c>
      <c r="AC36" s="69" t="s">
        <v>123</v>
      </c>
      <c r="AD36" s="70" t="s">
        <v>124</v>
      </c>
      <c r="AE36" s="69" t="s">
        <v>28</v>
      </c>
    </row>
    <row r="37" s="67" customFormat="1" spans="1:31">
      <c r="A37" s="68" t="s">
        <v>152</v>
      </c>
      <c r="B37" s="68"/>
      <c r="C37" s="68"/>
      <c r="D37" s="68"/>
      <c r="E37" s="68"/>
      <c r="F37" s="69">
        <v>6</v>
      </c>
      <c r="G37" s="89">
        <f>$AE$37/12</f>
        <v>2083333.33333333</v>
      </c>
      <c r="H37" s="90"/>
      <c r="I37" s="89">
        <f>$AE$37/12</f>
        <v>2083333.33333333</v>
      </c>
      <c r="J37" s="90"/>
      <c r="K37" s="89">
        <f>$AE$37/12</f>
        <v>2083333.33333333</v>
      </c>
      <c r="L37" s="90"/>
      <c r="M37" s="89">
        <f>$AE$37/12</f>
        <v>2083333.33333333</v>
      </c>
      <c r="N37" s="90"/>
      <c r="O37" s="89">
        <f>$AE$37/12</f>
        <v>2083333.33333333</v>
      </c>
      <c r="P37" s="90"/>
      <c r="Q37" s="89">
        <f>$AE$37/12</f>
        <v>2083333.33333333</v>
      </c>
      <c r="R37" s="90"/>
      <c r="S37" s="89">
        <f>$AE$37/12</f>
        <v>2083333.33333333</v>
      </c>
      <c r="T37" s="90"/>
      <c r="U37" s="89">
        <f>$AE$37/12</f>
        <v>2083333.33333333</v>
      </c>
      <c r="V37" s="90"/>
      <c r="W37" s="89">
        <f>$AE$37/12</f>
        <v>2083333.33333333</v>
      </c>
      <c r="X37" s="90"/>
      <c r="Y37" s="89"/>
      <c r="Z37" s="90"/>
      <c r="AA37" s="89"/>
      <c r="AB37" s="90"/>
      <c r="AC37" s="89"/>
      <c r="AD37" s="90"/>
      <c r="AE37" s="69">
        <v>25000000</v>
      </c>
    </row>
    <row r="38" s="67" customFormat="1" spans="1:31">
      <c r="A38" s="68" t="s">
        <v>153</v>
      </c>
      <c r="B38" s="68"/>
      <c r="C38" s="68"/>
      <c r="D38" s="68"/>
      <c r="E38" s="68"/>
      <c r="F38" s="69"/>
      <c r="G38" s="91">
        <f>G37/$F$37</f>
        <v>347222.222222222</v>
      </c>
      <c r="H38" s="92"/>
      <c r="I38" s="91">
        <f t="shared" ref="I38:W38" si="11">I37/$F$37</f>
        <v>347222.222222222</v>
      </c>
      <c r="J38" s="92"/>
      <c r="K38" s="91">
        <f t="shared" si="11"/>
        <v>347222.222222222</v>
      </c>
      <c r="L38" s="92"/>
      <c r="M38" s="91">
        <f t="shared" si="11"/>
        <v>347222.222222222</v>
      </c>
      <c r="N38" s="92"/>
      <c r="O38" s="91">
        <f t="shared" si="11"/>
        <v>347222.222222222</v>
      </c>
      <c r="P38" s="92"/>
      <c r="Q38" s="91">
        <f t="shared" si="11"/>
        <v>347222.222222222</v>
      </c>
      <c r="R38" s="92"/>
      <c r="S38" s="91">
        <f t="shared" si="11"/>
        <v>347222.222222222</v>
      </c>
      <c r="T38" s="92"/>
      <c r="U38" s="91">
        <f t="shared" si="11"/>
        <v>347222.222222222</v>
      </c>
      <c r="V38" s="92"/>
      <c r="W38" s="91">
        <f t="shared" si="11"/>
        <v>347222.222222222</v>
      </c>
      <c r="X38" s="92"/>
      <c r="Y38" s="91"/>
      <c r="Z38" s="92"/>
      <c r="AA38" s="91"/>
      <c r="AB38" s="92"/>
      <c r="AC38" s="91"/>
      <c r="AD38" s="92"/>
      <c r="AE38" s="91">
        <f>SUM(G38:AC38)</f>
        <v>3125000</v>
      </c>
    </row>
    <row r="39" s="67" customFormat="1" spans="1:31">
      <c r="A39" s="68" t="s">
        <v>154</v>
      </c>
      <c r="B39" s="68"/>
      <c r="C39" s="68"/>
      <c r="D39" s="68"/>
      <c r="E39" s="68"/>
      <c r="F39" s="93">
        <v>0.15</v>
      </c>
      <c r="G39" s="91">
        <f>G38*$F$39</f>
        <v>52083.3333333333</v>
      </c>
      <c r="H39" s="92"/>
      <c r="I39" s="91">
        <f t="shared" ref="I39:W39" si="12">I38*$F$39</f>
        <v>52083.3333333333</v>
      </c>
      <c r="J39" s="92"/>
      <c r="K39" s="91">
        <f t="shared" si="12"/>
        <v>52083.3333333333</v>
      </c>
      <c r="L39" s="92"/>
      <c r="M39" s="91">
        <f t="shared" si="12"/>
        <v>52083.3333333333</v>
      </c>
      <c r="N39" s="92"/>
      <c r="O39" s="91">
        <f t="shared" si="12"/>
        <v>52083.3333333333</v>
      </c>
      <c r="P39" s="92"/>
      <c r="Q39" s="91">
        <f t="shared" si="12"/>
        <v>52083.3333333333</v>
      </c>
      <c r="R39" s="92"/>
      <c r="S39" s="91">
        <f t="shared" si="12"/>
        <v>52083.3333333333</v>
      </c>
      <c r="T39" s="92"/>
      <c r="U39" s="91">
        <f t="shared" si="12"/>
        <v>52083.3333333333</v>
      </c>
      <c r="V39" s="92"/>
      <c r="W39" s="91">
        <f t="shared" si="12"/>
        <v>52083.3333333333</v>
      </c>
      <c r="X39" s="92"/>
      <c r="Y39" s="91"/>
      <c r="Z39" s="92"/>
      <c r="AA39" s="91"/>
      <c r="AB39" s="92"/>
      <c r="AC39" s="91"/>
      <c r="AD39" s="92"/>
      <c r="AE39" s="91">
        <f>SUM(G39:AC39)</f>
        <v>468750</v>
      </c>
    </row>
    <row r="40" s="67" customFormat="1" spans="1:31">
      <c r="A40" s="68" t="s">
        <v>155</v>
      </c>
      <c r="B40" s="68"/>
      <c r="C40" s="68"/>
      <c r="D40" s="68"/>
      <c r="E40" s="68"/>
      <c r="F40" s="69"/>
      <c r="G40" s="69">
        <f>G39*$F$37</f>
        <v>312500</v>
      </c>
      <c r="H40" s="70"/>
      <c r="I40" s="69">
        <f t="shared" ref="I40:W40" si="13">I39*$F$37</f>
        <v>312500</v>
      </c>
      <c r="J40" s="70"/>
      <c r="K40" s="69">
        <f t="shared" si="13"/>
        <v>312500</v>
      </c>
      <c r="L40" s="70"/>
      <c r="M40" s="69">
        <f t="shared" si="13"/>
        <v>312500</v>
      </c>
      <c r="N40" s="70"/>
      <c r="O40" s="69">
        <f t="shared" si="13"/>
        <v>312500</v>
      </c>
      <c r="P40" s="70"/>
      <c r="Q40" s="69">
        <f t="shared" si="13"/>
        <v>312500</v>
      </c>
      <c r="R40" s="70"/>
      <c r="S40" s="69">
        <f t="shared" si="13"/>
        <v>312500</v>
      </c>
      <c r="T40" s="70"/>
      <c r="U40" s="69">
        <f t="shared" si="13"/>
        <v>312500</v>
      </c>
      <c r="V40" s="70"/>
      <c r="W40" s="69">
        <f t="shared" si="13"/>
        <v>312500</v>
      </c>
      <c r="X40" s="70"/>
      <c r="Y40" s="69"/>
      <c r="Z40" s="70"/>
      <c r="AA40" s="69"/>
      <c r="AB40" s="70"/>
      <c r="AC40" s="69"/>
      <c r="AD40" s="70"/>
      <c r="AE40" s="91">
        <f>SUM(G40:AC40)</f>
        <v>2812500</v>
      </c>
    </row>
    <row r="41" s="67" customFormat="1" spans="1:31">
      <c r="A41" s="79" t="s">
        <v>156</v>
      </c>
      <c r="B41" s="79"/>
      <c r="C41" s="79"/>
      <c r="D41" s="79"/>
      <c r="E41" s="79"/>
      <c r="F41" s="94">
        <v>0.02</v>
      </c>
      <c r="G41" s="95">
        <f>G40*$F$41</f>
        <v>6250</v>
      </c>
      <c r="H41" s="70">
        <v>7011.99</v>
      </c>
      <c r="I41" s="95">
        <f t="shared" ref="I41:AC41" si="14">I40*$F$41</f>
        <v>6250</v>
      </c>
      <c r="J41" s="70">
        <v>7306.48</v>
      </c>
      <c r="K41" s="95">
        <f t="shared" si="14"/>
        <v>6250</v>
      </c>
      <c r="L41" s="70">
        <v>14634.11</v>
      </c>
      <c r="M41" s="95">
        <f t="shared" si="14"/>
        <v>6250</v>
      </c>
      <c r="N41" s="70">
        <v>14724.43</v>
      </c>
      <c r="O41" s="95">
        <f t="shared" si="14"/>
        <v>6250</v>
      </c>
      <c r="P41" s="70">
        <v>9282.13</v>
      </c>
      <c r="Q41" s="95">
        <f t="shared" si="14"/>
        <v>6250</v>
      </c>
      <c r="R41" s="70">
        <v>7445.72</v>
      </c>
      <c r="S41" s="95">
        <f t="shared" si="14"/>
        <v>6250</v>
      </c>
      <c r="T41" s="70">
        <v>7368.1</v>
      </c>
      <c r="U41" s="95">
        <f t="shared" si="14"/>
        <v>6250</v>
      </c>
      <c r="V41" s="70">
        <v>11888.91</v>
      </c>
      <c r="W41" s="95">
        <f t="shared" si="14"/>
        <v>6250</v>
      </c>
      <c r="X41" s="70">
        <v>25927.6</v>
      </c>
      <c r="Y41" s="95">
        <f t="shared" si="14"/>
        <v>0</v>
      </c>
      <c r="Z41" s="70">
        <v>0</v>
      </c>
      <c r="AA41" s="95">
        <f t="shared" si="14"/>
        <v>0</v>
      </c>
      <c r="AB41" s="70">
        <v>0</v>
      </c>
      <c r="AC41" s="95">
        <f t="shared" si="14"/>
        <v>0</v>
      </c>
      <c r="AD41" s="70">
        <v>0</v>
      </c>
      <c r="AE41" s="102">
        <f>SUM(G41:AC41)</f>
        <v>161839.47</v>
      </c>
    </row>
    <row r="43" ht="13.5" spans="1:14">
      <c r="A43" s="96" t="s">
        <v>157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9"/>
    </row>
    <row r="44" spans="1:14">
      <c r="A44" s="68" t="s">
        <v>158</v>
      </c>
      <c r="B44" s="68" t="s">
        <v>101</v>
      </c>
      <c r="C44" s="68" t="s">
        <v>103</v>
      </c>
      <c r="D44" s="68" t="s">
        <v>105</v>
      </c>
      <c r="E44" s="68" t="s">
        <v>107</v>
      </c>
      <c r="F44" s="68" t="s">
        <v>109</v>
      </c>
      <c r="G44" s="68" t="s">
        <v>111</v>
      </c>
      <c r="H44" s="68" t="s">
        <v>113</v>
      </c>
      <c r="I44" s="68" t="s">
        <v>115</v>
      </c>
      <c r="J44" s="68" t="s">
        <v>117</v>
      </c>
      <c r="K44" s="68" t="s">
        <v>119</v>
      </c>
      <c r="L44" s="68" t="s">
        <v>121</v>
      </c>
      <c r="M44" s="68" t="s">
        <v>123</v>
      </c>
      <c r="N44" s="68" t="s">
        <v>28</v>
      </c>
    </row>
    <row r="45" spans="1:14">
      <c r="A45" s="68" t="s">
        <v>159</v>
      </c>
      <c r="B45" s="98">
        <f>G10</f>
        <v>12250</v>
      </c>
      <c r="C45" s="98">
        <f>I10</f>
        <v>19600</v>
      </c>
      <c r="D45" s="98">
        <f>K10</f>
        <v>23800</v>
      </c>
      <c r="E45" s="98">
        <f>M10</f>
        <v>18480</v>
      </c>
      <c r="F45" s="98">
        <f>O10</f>
        <v>21560</v>
      </c>
      <c r="G45" s="98">
        <f>Q10</f>
        <v>10850</v>
      </c>
      <c r="H45" s="98">
        <f>S10</f>
        <v>1155</v>
      </c>
      <c r="I45" s="98">
        <f>U10</f>
        <v>6160</v>
      </c>
      <c r="J45" s="98">
        <f>W10</f>
        <v>16030</v>
      </c>
      <c r="K45" s="98">
        <f>Y10</f>
        <v>52000</v>
      </c>
      <c r="L45" s="98">
        <f>AA10</f>
        <v>9500</v>
      </c>
      <c r="M45" s="98">
        <f>AC10</f>
        <v>0</v>
      </c>
      <c r="N45" s="98">
        <f>SUM(B45:M45)</f>
        <v>191385</v>
      </c>
    </row>
    <row r="46" spans="1:14">
      <c r="A46" s="68" t="s">
        <v>160</v>
      </c>
      <c r="B46" s="98">
        <f>G21</f>
        <v>2082.5</v>
      </c>
      <c r="C46" s="98">
        <f>I21</f>
        <v>4392.5</v>
      </c>
      <c r="D46" s="98">
        <f>K21</f>
        <v>6772.5</v>
      </c>
      <c r="E46" s="98">
        <f>M21</f>
        <v>6335</v>
      </c>
      <c r="F46" s="98">
        <f>O21</f>
        <v>3040.415</v>
      </c>
      <c r="G46" s="98">
        <f>Q21</f>
        <v>3040.415</v>
      </c>
      <c r="H46" s="98">
        <f>S21</f>
        <v>4138.6625</v>
      </c>
      <c r="I46" s="98">
        <f>U21</f>
        <v>4024.9125</v>
      </c>
      <c r="J46" s="98">
        <f>W21</f>
        <v>4668.3</v>
      </c>
      <c r="K46" s="98">
        <f>Y21</f>
        <v>803.25</v>
      </c>
      <c r="L46" s="98">
        <f>AA21</f>
        <v>0</v>
      </c>
      <c r="M46" s="98">
        <f>AC21</f>
        <v>0</v>
      </c>
      <c r="N46" s="98">
        <f>SUM(B46:M46)</f>
        <v>39298.455</v>
      </c>
    </row>
    <row r="47" s="66" customFormat="1" spans="1:14">
      <c r="A47" s="68" t="s">
        <v>161</v>
      </c>
      <c r="B47" s="98">
        <f>G33</f>
        <v>280</v>
      </c>
      <c r="C47" s="98">
        <f>I33</f>
        <v>420</v>
      </c>
      <c r="D47" s="98">
        <f>K33</f>
        <v>700</v>
      </c>
      <c r="E47" s="98">
        <f>M33</f>
        <v>280</v>
      </c>
      <c r="F47" s="98">
        <f>O33</f>
        <v>1820</v>
      </c>
      <c r="G47" s="98">
        <f>Q33</f>
        <v>2240</v>
      </c>
      <c r="H47" s="98">
        <f>S33</f>
        <v>1750</v>
      </c>
      <c r="I47" s="98">
        <f>U33</f>
        <v>700</v>
      </c>
      <c r="J47" s="98">
        <f>W33</f>
        <v>1190</v>
      </c>
      <c r="K47" s="98">
        <f>Y33</f>
        <v>560</v>
      </c>
      <c r="L47" s="98">
        <f>AA33</f>
        <v>2240</v>
      </c>
      <c r="M47" s="98">
        <f>AC33</f>
        <v>1400</v>
      </c>
      <c r="N47" s="98">
        <f>SUM(B47:M47)</f>
        <v>13580</v>
      </c>
    </row>
    <row r="48" s="66" customFormat="1" spans="1:14">
      <c r="A48" s="68" t="s">
        <v>150</v>
      </c>
      <c r="B48" s="98">
        <f>G41</f>
        <v>6250</v>
      </c>
      <c r="C48" s="98">
        <f>I41</f>
        <v>6250</v>
      </c>
      <c r="D48" s="98">
        <f>K41</f>
        <v>6250</v>
      </c>
      <c r="E48" s="98">
        <f>M41</f>
        <v>6250</v>
      </c>
      <c r="F48" s="98">
        <f>O41</f>
        <v>6250</v>
      </c>
      <c r="G48" s="98">
        <f>Q41</f>
        <v>6250</v>
      </c>
      <c r="H48" s="98">
        <f>S41</f>
        <v>6250</v>
      </c>
      <c r="I48" s="98">
        <f>U41</f>
        <v>6250</v>
      </c>
      <c r="J48" s="98">
        <f>W41</f>
        <v>6250</v>
      </c>
      <c r="K48" s="98">
        <f>Y41</f>
        <v>0</v>
      </c>
      <c r="L48" s="98">
        <f>AA41</f>
        <v>0</v>
      </c>
      <c r="M48" s="98">
        <f>AC41</f>
        <v>0</v>
      </c>
      <c r="N48" s="98">
        <f>SUM(B48:M48)</f>
        <v>56250</v>
      </c>
    </row>
    <row r="49" spans="1:14">
      <c r="A49" s="68" t="s">
        <v>162</v>
      </c>
      <c r="B49" s="98">
        <f>G27</f>
        <v>3000</v>
      </c>
      <c r="C49" s="98">
        <f>I27</f>
        <v>3000</v>
      </c>
      <c r="D49" s="98">
        <f>K27</f>
        <v>3000</v>
      </c>
      <c r="E49" s="98">
        <f>M27</f>
        <v>3000</v>
      </c>
      <c r="F49" s="98">
        <f>O27</f>
        <v>6000</v>
      </c>
      <c r="G49" s="98">
        <f>Q27</f>
        <v>4000</v>
      </c>
      <c r="H49" s="98">
        <f>S27</f>
        <v>4000</v>
      </c>
      <c r="I49" s="98">
        <f>U27</f>
        <v>5000</v>
      </c>
      <c r="J49" s="98">
        <f>W27</f>
        <v>6000</v>
      </c>
      <c r="K49" s="98">
        <f>Y27</f>
        <v>7000</v>
      </c>
      <c r="L49" s="98">
        <f>AA27</f>
        <v>8000</v>
      </c>
      <c r="M49" s="98">
        <f>AC27</f>
        <v>40000</v>
      </c>
      <c r="N49" s="98">
        <f>SUM(B49:M49)</f>
        <v>92000</v>
      </c>
    </row>
    <row r="50" spans="1:14">
      <c r="A50" s="68" t="s">
        <v>28</v>
      </c>
      <c r="B50" s="98">
        <f t="shared" ref="B50:N50" si="15">SUM(B45:B49)</f>
        <v>23862.5</v>
      </c>
      <c r="C50" s="98">
        <f t="shared" si="15"/>
        <v>33662.5</v>
      </c>
      <c r="D50" s="98">
        <f t="shared" si="15"/>
        <v>40522.5</v>
      </c>
      <c r="E50" s="98">
        <f t="shared" si="15"/>
        <v>34345</v>
      </c>
      <c r="F50" s="98">
        <f t="shared" si="15"/>
        <v>38670.415</v>
      </c>
      <c r="G50" s="98">
        <f t="shared" si="15"/>
        <v>26380.415</v>
      </c>
      <c r="H50" s="98">
        <f t="shared" si="15"/>
        <v>17293.6625</v>
      </c>
      <c r="I50" s="98">
        <f t="shared" si="15"/>
        <v>22134.9125</v>
      </c>
      <c r="J50" s="98">
        <f t="shared" si="15"/>
        <v>34138.3</v>
      </c>
      <c r="K50" s="98">
        <f t="shared" si="15"/>
        <v>60363.25</v>
      </c>
      <c r="L50" s="98">
        <f t="shared" si="15"/>
        <v>19740</v>
      </c>
      <c r="M50" s="98">
        <f t="shared" si="15"/>
        <v>41400</v>
      </c>
      <c r="N50" s="98">
        <f t="shared" si="15"/>
        <v>392513.455</v>
      </c>
    </row>
  </sheetData>
  <mergeCells count="29">
    <mergeCell ref="A1:AE1"/>
    <mergeCell ref="A8:F8"/>
    <mergeCell ref="A9:F9"/>
    <mergeCell ref="A10:F10"/>
    <mergeCell ref="A12:AE12"/>
    <mergeCell ref="A19:F19"/>
    <mergeCell ref="A20:F20"/>
    <mergeCell ref="A21:F21"/>
    <mergeCell ref="A23:AE23"/>
    <mergeCell ref="A24:E24"/>
    <mergeCell ref="A25:E25"/>
    <mergeCell ref="A26:F26"/>
    <mergeCell ref="A27:F27"/>
    <mergeCell ref="A29:AE29"/>
    <mergeCell ref="A30:E30"/>
    <mergeCell ref="A31:E31"/>
    <mergeCell ref="A32:F32"/>
    <mergeCell ref="A33:F33"/>
    <mergeCell ref="A35:AE35"/>
    <mergeCell ref="A36:E36"/>
    <mergeCell ref="A37:E37"/>
    <mergeCell ref="A38:E38"/>
    <mergeCell ref="A39:E39"/>
    <mergeCell ref="A40:E40"/>
    <mergeCell ref="A41:E41"/>
    <mergeCell ref="C14:C16"/>
    <mergeCell ref="C17:C18"/>
    <mergeCell ref="D14:D18"/>
    <mergeCell ref="A14:B18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zoomScale="85" zoomScaleNormal="85" workbookViewId="0">
      <selection activeCell="I16" sqref="I16:I17"/>
    </sheetView>
  </sheetViews>
  <sheetFormatPr defaultColWidth="9" defaultRowHeight="13.5"/>
  <cols>
    <col min="1" max="1" width="9" style="1"/>
    <col min="2" max="19" width="7.775" style="1" customWidth="1"/>
    <col min="20" max="20" width="12.8833333333333" style="1" customWidth="1"/>
    <col min="21" max="21" width="10.4416666666667" style="1" customWidth="1"/>
    <col min="22" max="22" width="12.8833333333333" style="1" customWidth="1"/>
    <col min="23" max="16384" width="9" style="1"/>
  </cols>
  <sheetData>
    <row r="1" ht="22.5" spans="1:22">
      <c r="A1" s="56" t="s">
        <v>163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19">
      <c r="A2" s="3" t="s">
        <v>164</v>
      </c>
      <c r="B2" s="2">
        <v>1601</v>
      </c>
      <c r="C2" s="2">
        <v>1701</v>
      </c>
      <c r="D2" s="57" t="s">
        <v>165</v>
      </c>
      <c r="E2" s="2">
        <v>1602</v>
      </c>
      <c r="F2" s="2">
        <v>1702</v>
      </c>
      <c r="G2" s="57" t="s">
        <v>165</v>
      </c>
      <c r="H2" s="2">
        <v>1603</v>
      </c>
      <c r="I2" s="2">
        <v>1703</v>
      </c>
      <c r="J2" s="57" t="s">
        <v>165</v>
      </c>
      <c r="K2" s="2">
        <v>1604</v>
      </c>
      <c r="L2" s="2">
        <v>1704</v>
      </c>
      <c r="M2" s="57" t="s">
        <v>165</v>
      </c>
      <c r="N2" s="2">
        <v>1605</v>
      </c>
      <c r="O2" s="2">
        <v>1705</v>
      </c>
      <c r="P2" s="57" t="s">
        <v>165</v>
      </c>
      <c r="Q2" s="2">
        <v>1606</v>
      </c>
      <c r="R2" s="2">
        <v>1706</v>
      </c>
      <c r="S2" s="57" t="s">
        <v>165</v>
      </c>
    </row>
    <row r="3" spans="1:19">
      <c r="A3" s="3" t="s">
        <v>166</v>
      </c>
      <c r="B3" s="2"/>
      <c r="C3" s="2">
        <v>43976</v>
      </c>
      <c r="D3" s="58">
        <f>B3-C3</f>
        <v>-43976</v>
      </c>
      <c r="E3" s="2">
        <v>12566</v>
      </c>
      <c r="F3" s="2">
        <v>86848</v>
      </c>
      <c r="G3" s="58">
        <f>E3-F3</f>
        <v>-74282</v>
      </c>
      <c r="H3" s="2">
        <v>40511</v>
      </c>
      <c r="I3" s="2">
        <v>107855</v>
      </c>
      <c r="J3" s="58">
        <f>H3-I3</f>
        <v>-67344</v>
      </c>
      <c r="K3" s="2">
        <v>72037</v>
      </c>
      <c r="L3" s="2"/>
      <c r="M3" s="58">
        <f>K3-L3</f>
        <v>72037</v>
      </c>
      <c r="N3" s="2">
        <v>25359</v>
      </c>
      <c r="O3" s="2"/>
      <c r="P3" s="58">
        <f>N3-O3</f>
        <v>25359</v>
      </c>
      <c r="Q3" s="2">
        <v>18486</v>
      </c>
      <c r="R3" s="2"/>
      <c r="S3" s="58">
        <f>Q3-R3</f>
        <v>18486</v>
      </c>
    </row>
    <row r="4" spans="1:19">
      <c r="A4" s="3" t="s">
        <v>167</v>
      </c>
      <c r="B4" s="59"/>
      <c r="C4" s="59">
        <v>456023.5</v>
      </c>
      <c r="D4" s="60">
        <f>B4-C4</f>
        <v>-456023.5</v>
      </c>
      <c r="E4" s="59">
        <v>143176.5</v>
      </c>
      <c r="F4" s="59">
        <v>874948</v>
      </c>
      <c r="G4" s="60">
        <f>E4-F4</f>
        <v>-731771.5</v>
      </c>
      <c r="H4" s="59">
        <v>441029</v>
      </c>
      <c r="I4" s="59">
        <v>1037204</v>
      </c>
      <c r="J4" s="60">
        <f>H4-I4</f>
        <v>-596175</v>
      </c>
      <c r="K4" s="59">
        <v>731823.5</v>
      </c>
      <c r="L4" s="59"/>
      <c r="M4" s="60">
        <f>K4-L4</f>
        <v>731823.5</v>
      </c>
      <c r="N4" s="59">
        <v>301290.5</v>
      </c>
      <c r="O4" s="59"/>
      <c r="P4" s="60">
        <f>N4-O4</f>
        <v>301290.5</v>
      </c>
      <c r="Q4" s="59">
        <v>180704.75</v>
      </c>
      <c r="R4" s="59"/>
      <c r="S4" s="60">
        <f>Q4-R4</f>
        <v>180704.75</v>
      </c>
    </row>
    <row r="5" spans="1:19">
      <c r="A5" s="3" t="s">
        <v>168</v>
      </c>
      <c r="B5" s="59" t="str">
        <f>IF(B3="","",B4/B3)</f>
        <v/>
      </c>
      <c r="C5" s="59">
        <f>IF(C3="","",C4/C3)</f>
        <v>10.3698267236675</v>
      </c>
      <c r="D5" s="60" t="str">
        <f>IF(ISERROR(B5-C5),"",VALUE((B5-C5)))</f>
        <v/>
      </c>
      <c r="E5" s="59">
        <f>IF(E3="","",E4/E3)</f>
        <v>11.3939598917714</v>
      </c>
      <c r="F5" s="59">
        <f>IF(F3="","",F4/F3)</f>
        <v>10.074474944731</v>
      </c>
      <c r="G5" s="60">
        <f>IF(ISERROR(E5-F5),"",VALUE((E5-F5)))</f>
        <v>1.31948494704042</v>
      </c>
      <c r="H5" s="59">
        <f>IF(H3="","",H4/H3)</f>
        <v>10.8866480708943</v>
      </c>
      <c r="I5" s="59">
        <f>IF(I3="","",I4/I3)</f>
        <v>9.61665198646331</v>
      </c>
      <c r="J5" s="60">
        <f>IF(ISERROR(H5-I5),"",VALUE((H5-I5)))</f>
        <v>1.26999608443102</v>
      </c>
      <c r="K5" s="59">
        <f>IF(K3="","",K4/K3)</f>
        <v>10.1589946832878</v>
      </c>
      <c r="L5" s="59" t="str">
        <f>IF(L3="","",L4/L3)</f>
        <v/>
      </c>
      <c r="M5" s="60" t="str">
        <f>IF(ISERROR(K5-L5),"",VALUE((K5-L5)))</f>
        <v/>
      </c>
      <c r="N5" s="59">
        <f>IF(N3="","",N4/N3)</f>
        <v>11.8810087148547</v>
      </c>
      <c r="O5" s="59" t="str">
        <f>IF(O3="","",O4/O3)</f>
        <v/>
      </c>
      <c r="P5" s="60" t="str">
        <f>IF(ISERROR(N5-O5),"",VALUE((N5-O5)))</f>
        <v/>
      </c>
      <c r="Q5" s="59">
        <f>IF(Q3="","",Q4/Q3)</f>
        <v>9.7752217894623</v>
      </c>
      <c r="R5" s="59" t="str">
        <f>IF(R3="","",R4/R3)</f>
        <v/>
      </c>
      <c r="S5" s="60" t="str">
        <f>IF(ISERROR(Q5-R5),"",VALUE((Q5-R5)))</f>
        <v/>
      </c>
    </row>
    <row r="6" spans="1:19">
      <c r="A6" s="3" t="s">
        <v>169</v>
      </c>
      <c r="B6" s="59">
        <f>B4*4%</f>
        <v>0</v>
      </c>
      <c r="C6" s="59">
        <f>C4*3.5%</f>
        <v>15960.8225</v>
      </c>
      <c r="D6" s="60">
        <f>B6-C6</f>
        <v>-15960.8225</v>
      </c>
      <c r="E6" s="59">
        <f>E4*4%</f>
        <v>5727.06</v>
      </c>
      <c r="F6" s="59">
        <f>F4*3.5%</f>
        <v>30623.18</v>
      </c>
      <c r="G6" s="60">
        <f>E6-F6</f>
        <v>-24896.12</v>
      </c>
      <c r="H6" s="59">
        <f>H4*4%</f>
        <v>17641.16</v>
      </c>
      <c r="I6" s="59">
        <f>I4*3.5%</f>
        <v>36302.14</v>
      </c>
      <c r="J6" s="60">
        <f>H6-I6</f>
        <v>-18660.98</v>
      </c>
      <c r="K6" s="59">
        <f>K4*4%</f>
        <v>29272.94</v>
      </c>
      <c r="L6" s="59">
        <f>L4*3.5%</f>
        <v>0</v>
      </c>
      <c r="M6" s="60">
        <f>K6-L6</f>
        <v>29272.94</v>
      </c>
      <c r="N6" s="59">
        <f>N4*4%</f>
        <v>12051.62</v>
      </c>
      <c r="O6" s="59">
        <f>O4*3.5%</f>
        <v>0</v>
      </c>
      <c r="P6" s="60">
        <f>N6-O6</f>
        <v>12051.62</v>
      </c>
      <c r="Q6" s="59">
        <f>Q4*4%</f>
        <v>7228.19</v>
      </c>
      <c r="R6" s="59">
        <f>R4*3.5%</f>
        <v>0</v>
      </c>
      <c r="S6" s="60">
        <f>Q6-R6</f>
        <v>7228.19</v>
      </c>
    </row>
    <row r="8" spans="1:22">
      <c r="A8" s="3" t="s">
        <v>164</v>
      </c>
      <c r="B8" s="2">
        <v>1607</v>
      </c>
      <c r="C8" s="2">
        <v>1707</v>
      </c>
      <c r="D8" s="57" t="s">
        <v>165</v>
      </c>
      <c r="E8" s="2">
        <v>1608</v>
      </c>
      <c r="F8" s="2">
        <v>1708</v>
      </c>
      <c r="G8" s="57" t="s">
        <v>165</v>
      </c>
      <c r="H8" s="2">
        <v>1609</v>
      </c>
      <c r="I8" s="2">
        <v>1709</v>
      </c>
      <c r="J8" s="57" t="s">
        <v>165</v>
      </c>
      <c r="K8" s="2">
        <v>1610</v>
      </c>
      <c r="L8" s="2">
        <v>1710</v>
      </c>
      <c r="M8" s="57" t="s">
        <v>165</v>
      </c>
      <c r="N8" s="2">
        <v>1611</v>
      </c>
      <c r="O8" s="2">
        <v>1711</v>
      </c>
      <c r="P8" s="57" t="s">
        <v>165</v>
      </c>
      <c r="Q8" s="2">
        <v>1612</v>
      </c>
      <c r="R8" s="2">
        <v>1712</v>
      </c>
      <c r="S8" s="57" t="s">
        <v>165</v>
      </c>
      <c r="T8" s="64" t="s">
        <v>170</v>
      </c>
      <c r="U8" s="64" t="s">
        <v>171</v>
      </c>
      <c r="V8" s="64" t="s">
        <v>165</v>
      </c>
    </row>
    <row r="9" spans="1:22">
      <c r="A9" s="3" t="s">
        <v>166</v>
      </c>
      <c r="B9" s="61">
        <v>7151</v>
      </c>
      <c r="C9" s="61"/>
      <c r="D9" s="62">
        <f>B9-C9</f>
        <v>7151</v>
      </c>
      <c r="E9" s="61">
        <v>20300</v>
      </c>
      <c r="F9" s="61"/>
      <c r="G9" s="62">
        <f>E9-F9</f>
        <v>20300</v>
      </c>
      <c r="H9" s="61">
        <v>46640</v>
      </c>
      <c r="I9" s="61"/>
      <c r="J9" s="62">
        <f>H9-I9</f>
        <v>46640</v>
      </c>
      <c r="K9" s="61">
        <v>41618</v>
      </c>
      <c r="L9" s="61"/>
      <c r="M9" s="62">
        <f>K9-L9</f>
        <v>41618</v>
      </c>
      <c r="N9" s="61">
        <v>28067</v>
      </c>
      <c r="O9" s="61"/>
      <c r="P9" s="62">
        <f>N9-O9</f>
        <v>28067</v>
      </c>
      <c r="Q9" s="61">
        <v>41544</v>
      </c>
      <c r="R9" s="61"/>
      <c r="S9" s="62">
        <f>Q9-R9</f>
        <v>41544</v>
      </c>
      <c r="T9" s="65">
        <f>SUM(B3,E3,H3,K3,N3,Q3,B9,E9,H9,K9,N9,Q9)</f>
        <v>354279</v>
      </c>
      <c r="U9" s="65">
        <f>SUM(C3,F3,I3,L3,O3,R3,C9,F9,I9,L9,O9,R9)</f>
        <v>238679</v>
      </c>
      <c r="V9" s="65">
        <f>T9-U9</f>
        <v>115600</v>
      </c>
    </row>
    <row r="10" spans="1:22">
      <c r="A10" s="3" t="s">
        <v>167</v>
      </c>
      <c r="B10" s="61">
        <v>57769.1</v>
      </c>
      <c r="C10" s="61"/>
      <c r="D10" s="62">
        <f>B10-C10</f>
        <v>57769.1</v>
      </c>
      <c r="E10" s="61">
        <v>219392.5</v>
      </c>
      <c r="F10" s="61"/>
      <c r="G10" s="62">
        <f>E10-F10</f>
        <v>219392.5</v>
      </c>
      <c r="H10" s="61">
        <v>468941.5</v>
      </c>
      <c r="I10" s="61"/>
      <c r="J10" s="62">
        <f>H10-I10</f>
        <v>468941.5</v>
      </c>
      <c r="K10" s="61">
        <v>377224.5</v>
      </c>
      <c r="L10" s="61"/>
      <c r="M10" s="62">
        <f>K10-L10</f>
        <v>377224.5</v>
      </c>
      <c r="N10" s="61">
        <v>279499</v>
      </c>
      <c r="O10" s="61"/>
      <c r="P10" s="62">
        <f>N10-O10</f>
        <v>279499</v>
      </c>
      <c r="Q10" s="61">
        <v>433752.5</v>
      </c>
      <c r="R10" s="61"/>
      <c r="S10" s="62">
        <f>Q10-R10</f>
        <v>433752.5</v>
      </c>
      <c r="T10" s="65">
        <f>SUM(B4,E4,H4,K4,N4,Q4,B10,E10,H10,K10,N10,Q10)</f>
        <v>3634603.35</v>
      </c>
      <c r="U10" s="65">
        <f>SUM(C4,F4,I4,L4,O4,R4,C10,F10,I10,L10,O10,R10)</f>
        <v>2368175.5</v>
      </c>
      <c r="V10" s="65">
        <f>T10-U10</f>
        <v>1266427.85</v>
      </c>
    </row>
    <row r="11" spans="1:22">
      <c r="A11" s="3" t="s">
        <v>168</v>
      </c>
      <c r="B11" s="61">
        <f>IF(B9="","",B10/B9)</f>
        <v>8.07846455041253</v>
      </c>
      <c r="C11" s="61" t="str">
        <f>IF(C9="","",C10/C9)</f>
        <v/>
      </c>
      <c r="D11" s="63" t="str">
        <f>IF(ISERROR(B11-C11),"",VALUE((B11-C11)))</f>
        <v/>
      </c>
      <c r="E11" s="61">
        <f>IF(E9="","",E10/E9)</f>
        <v>10.8075123152709</v>
      </c>
      <c r="F11" s="61" t="str">
        <f>IF(F9="","",F10/F9)</f>
        <v/>
      </c>
      <c r="G11" s="63" t="str">
        <f>IF(ISERROR(E11-F11),"",VALUE((E11-F11)))</f>
        <v/>
      </c>
      <c r="H11" s="61">
        <f>IF(H9="","",H10/H9)</f>
        <v>10.0544918524871</v>
      </c>
      <c r="I11" s="61" t="str">
        <f>IF(I9="","",I10/I9)</f>
        <v/>
      </c>
      <c r="J11" s="63" t="str">
        <f>IF(ISERROR(H11-I11),"",VALUE((H11-I11)))</f>
        <v/>
      </c>
      <c r="K11" s="61">
        <f>IF(K9="","",K10/K9)</f>
        <v>9.06397472247585</v>
      </c>
      <c r="L11" s="61" t="str">
        <f>IF(L9="","",L10/L9)</f>
        <v/>
      </c>
      <c r="M11" s="63" t="str">
        <f>IF(ISERROR(K11-L11),"",VALUE((K11-L11)))</f>
        <v/>
      </c>
      <c r="N11" s="61">
        <f>IF(N9="","",N10/N9)</f>
        <v>9.95827840524459</v>
      </c>
      <c r="O11" s="61" t="str">
        <f>IF(O9="","",O10/O9)</f>
        <v/>
      </c>
      <c r="P11" s="63" t="str">
        <f>IF(ISERROR(N11-O11),"",VALUE((N11-O11)))</f>
        <v/>
      </c>
      <c r="Q11" s="61">
        <f>IF(Q9="","",Q10/Q9)</f>
        <v>10.4407977084537</v>
      </c>
      <c r="R11" s="61" t="str">
        <f>IF(R9="","",R10/R9)</f>
        <v/>
      </c>
      <c r="S11" s="63" t="str">
        <f>IF(ISERROR(Q11-R11),"",VALUE((Q11-R11)))</f>
        <v/>
      </c>
      <c r="T11" s="65">
        <f>T10/T9</f>
        <v>10.2591554960921</v>
      </c>
      <c r="U11" s="65">
        <f>U10/U9</f>
        <v>9.92201031510941</v>
      </c>
      <c r="V11" s="65">
        <f>T11-U11</f>
        <v>0.337145180982649</v>
      </c>
    </row>
    <row r="12" spans="1:22">
      <c r="A12" s="3" t="s">
        <v>169</v>
      </c>
      <c r="B12" s="61">
        <f>B10*4%</f>
        <v>2310.764</v>
      </c>
      <c r="C12" s="61">
        <f>C10*3.5%</f>
        <v>0</v>
      </c>
      <c r="D12" s="62">
        <f>B12-C12</f>
        <v>2310.764</v>
      </c>
      <c r="E12" s="61">
        <f>E10*3.5%</f>
        <v>7678.7375</v>
      </c>
      <c r="F12" s="61">
        <f>F10*3.5%</f>
        <v>0</v>
      </c>
      <c r="G12" s="62">
        <f>E12-F12</f>
        <v>7678.7375</v>
      </c>
      <c r="H12" s="61">
        <f>H10*3.5%</f>
        <v>16412.9525</v>
      </c>
      <c r="I12" s="61">
        <f>I10*3.5%</f>
        <v>0</v>
      </c>
      <c r="J12" s="62">
        <f>H12-I12</f>
        <v>16412.9525</v>
      </c>
      <c r="K12" s="61">
        <f>K10*3.5%</f>
        <v>13202.8575</v>
      </c>
      <c r="L12" s="61">
        <f>L10*3.5%</f>
        <v>0</v>
      </c>
      <c r="M12" s="62">
        <f>K12-L12</f>
        <v>13202.8575</v>
      </c>
      <c r="N12" s="61">
        <f>N10*3.5%</f>
        <v>9782.465</v>
      </c>
      <c r="O12" s="61">
        <f>O10*3.5%</f>
        <v>0</v>
      </c>
      <c r="P12" s="62">
        <f>N12-O12</f>
        <v>9782.465</v>
      </c>
      <c r="Q12" s="61">
        <f>Q10*3.5%</f>
        <v>15181.3375</v>
      </c>
      <c r="R12" s="61">
        <f>R10*3.5%</f>
        <v>0</v>
      </c>
      <c r="S12" s="62">
        <f>Q12-R12</f>
        <v>15181.3375</v>
      </c>
      <c r="T12" s="65">
        <f>SUM(B6,E6,H6,K6,N6,Q6,B12,E12,H12,K12,N12,Q12)</f>
        <v>136490.084</v>
      </c>
      <c r="U12" s="65">
        <f>SUM(C6,F6,I6,L6,O6,R6,C12,F12,I12,L12,O12,R12)</f>
        <v>82886.1425</v>
      </c>
      <c r="V12" s="65">
        <f>T12-U12</f>
        <v>53603.9415</v>
      </c>
    </row>
    <row r="14" ht="22.5" spans="1:22">
      <c r="A14" s="56" t="s">
        <v>172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</row>
    <row r="15" spans="1:19">
      <c r="A15" s="3" t="s">
        <v>164</v>
      </c>
      <c r="B15" s="2">
        <v>1601</v>
      </c>
      <c r="C15" s="2">
        <v>1701</v>
      </c>
      <c r="D15" s="57" t="s">
        <v>165</v>
      </c>
      <c r="E15" s="2">
        <v>1602</v>
      </c>
      <c r="F15" s="2">
        <v>1702</v>
      </c>
      <c r="G15" s="57" t="s">
        <v>165</v>
      </c>
      <c r="H15" s="2">
        <v>1603</v>
      </c>
      <c r="I15" s="2">
        <v>1703</v>
      </c>
      <c r="J15" s="57" t="s">
        <v>165</v>
      </c>
      <c r="K15" s="2">
        <v>1604</v>
      </c>
      <c r="L15" s="2">
        <v>1704</v>
      </c>
      <c r="M15" s="57" t="s">
        <v>165</v>
      </c>
      <c r="N15" s="2">
        <v>1605</v>
      </c>
      <c r="O15" s="2">
        <v>1705</v>
      </c>
      <c r="P15" s="57" t="s">
        <v>165</v>
      </c>
      <c r="Q15" s="2">
        <v>1606</v>
      </c>
      <c r="R15" s="2">
        <v>1706</v>
      </c>
      <c r="S15" s="57" t="s">
        <v>165</v>
      </c>
    </row>
    <row r="16" spans="1:19">
      <c r="A16" s="3" t="s">
        <v>166</v>
      </c>
      <c r="B16" s="2">
        <v>15044</v>
      </c>
      <c r="C16" s="2">
        <v>5715</v>
      </c>
      <c r="D16" s="58">
        <f>B16-C16</f>
        <v>9329</v>
      </c>
      <c r="E16" s="2">
        <v>89</v>
      </c>
      <c r="F16" s="2">
        <v>7883</v>
      </c>
      <c r="G16" s="58">
        <f>E16-F16</f>
        <v>-7794</v>
      </c>
      <c r="H16" s="2">
        <v>8309</v>
      </c>
      <c r="I16" s="2">
        <v>31600</v>
      </c>
      <c r="J16" s="58">
        <f>H16-I16</f>
        <v>-23291</v>
      </c>
      <c r="K16" s="2">
        <v>13664</v>
      </c>
      <c r="L16" s="2"/>
      <c r="M16" s="58">
        <f>K16-L16</f>
        <v>13664</v>
      </c>
      <c r="N16" s="2">
        <v>21370</v>
      </c>
      <c r="O16" s="2"/>
      <c r="P16" s="58">
        <f>N16-O16</f>
        <v>21370</v>
      </c>
      <c r="Q16" s="2">
        <v>16419</v>
      </c>
      <c r="R16" s="2"/>
      <c r="S16" s="58">
        <f>Q16-R16</f>
        <v>16419</v>
      </c>
    </row>
    <row r="17" spans="1:19">
      <c r="A17" s="3" t="s">
        <v>167</v>
      </c>
      <c r="B17" s="59">
        <v>178291.5</v>
      </c>
      <c r="C17" s="59">
        <v>43614.5</v>
      </c>
      <c r="D17" s="60">
        <f>B17-C17</f>
        <v>134677</v>
      </c>
      <c r="E17" s="59">
        <v>923</v>
      </c>
      <c r="F17" s="59">
        <v>67056.5</v>
      </c>
      <c r="G17" s="60">
        <f>E17-F17</f>
        <v>-66133.5</v>
      </c>
      <c r="H17" s="59">
        <v>99410</v>
      </c>
      <c r="I17" s="59">
        <v>206047</v>
      </c>
      <c r="J17" s="60">
        <f>H17-I17</f>
        <v>-106637</v>
      </c>
      <c r="K17" s="59">
        <v>138017</v>
      </c>
      <c r="L17" s="59"/>
      <c r="M17" s="60">
        <f>K17-L17</f>
        <v>138017</v>
      </c>
      <c r="N17" s="59">
        <v>213481.3</v>
      </c>
      <c r="O17" s="59"/>
      <c r="P17" s="60">
        <f>N17-O17</f>
        <v>213481.3</v>
      </c>
      <c r="Q17" s="59">
        <v>161348.6</v>
      </c>
      <c r="R17" s="59"/>
      <c r="S17" s="60">
        <f>Q17-R17</f>
        <v>161348.6</v>
      </c>
    </row>
    <row r="18" spans="1:19">
      <c r="A18" s="3" t="s">
        <v>168</v>
      </c>
      <c r="B18" s="59">
        <f>IF(B16="","",B17/B16)</f>
        <v>11.8513360808296</v>
      </c>
      <c r="C18" s="59">
        <f>IF(C16="","",C17/C16)</f>
        <v>7.63158355205599</v>
      </c>
      <c r="D18" s="60">
        <f>IF(ISERROR(B18-C18),"",VALUE((B18-C18)))</f>
        <v>4.21975252877357</v>
      </c>
      <c r="E18" s="59">
        <f>IF(E16="","",E17/E16)</f>
        <v>10.3707865168539</v>
      </c>
      <c r="F18" s="59">
        <f>IF(F16="","",F17/F16)</f>
        <v>8.50646961816567</v>
      </c>
      <c r="G18" s="60">
        <f>IF(ISERROR(E18-F18),"",VALUE((E18-F18)))</f>
        <v>1.86431689868826</v>
      </c>
      <c r="H18" s="59">
        <f>IF(H16="","",H17/H16)</f>
        <v>11.964135275003</v>
      </c>
      <c r="I18" s="59">
        <f>IF(I16="","",I17/I16)</f>
        <v>6.5204746835443</v>
      </c>
      <c r="J18" s="60">
        <f>IF(ISERROR(H18-I18),"",VALUE((H18-I18)))</f>
        <v>5.44366059145871</v>
      </c>
      <c r="K18" s="59">
        <f>IF(K16="","",K17/K16)</f>
        <v>10.1007757611241</v>
      </c>
      <c r="L18" s="59" t="str">
        <f>IF(L16="","",L17/L16)</f>
        <v/>
      </c>
      <c r="M18" s="60" t="str">
        <f>IF(ISERROR(K18-L18),"",VALUE((K18-L18)))</f>
        <v/>
      </c>
      <c r="N18" s="59">
        <f>IF(N16="","",N17/N16)</f>
        <v>9.98976602714085</v>
      </c>
      <c r="O18" s="59" t="str">
        <f>IF(O16="","",O17/O16)</f>
        <v/>
      </c>
      <c r="P18" s="60" t="str">
        <f>IF(ISERROR(N18-O18),"",VALUE((N18-O18)))</f>
        <v/>
      </c>
      <c r="Q18" s="59">
        <f>IF(Q16="","",Q17/Q16)</f>
        <v>9.82694439369024</v>
      </c>
      <c r="R18" s="59" t="str">
        <f>IF(R16="","",R17/R16)</f>
        <v/>
      </c>
      <c r="S18" s="60" t="str">
        <f>IF(ISERROR(Q18-R18),"",VALUE((Q18-R18)))</f>
        <v/>
      </c>
    </row>
    <row r="19" spans="1:19">
      <c r="A19" s="3" t="s">
        <v>169</v>
      </c>
      <c r="B19" s="59">
        <f>B17*4%</f>
        <v>7131.66</v>
      </c>
      <c r="C19" s="59">
        <f>C17*3.5%</f>
        <v>1526.5075</v>
      </c>
      <c r="D19" s="60">
        <f>B19-C19</f>
        <v>5605.1525</v>
      </c>
      <c r="E19" s="59">
        <f>E17*4%</f>
        <v>36.92</v>
      </c>
      <c r="F19" s="59">
        <f>F17*3.5%</f>
        <v>2346.9775</v>
      </c>
      <c r="G19" s="60">
        <f>E19-F19</f>
        <v>-2310.0575</v>
      </c>
      <c r="H19" s="59">
        <f>H17*4%</f>
        <v>3976.4</v>
      </c>
      <c r="I19" s="59">
        <f>I17*3.5%</f>
        <v>7211.645</v>
      </c>
      <c r="J19" s="60">
        <f>H19-I19</f>
        <v>-3235.245</v>
      </c>
      <c r="K19" s="59">
        <f>K17*4%</f>
        <v>5520.68</v>
      </c>
      <c r="L19" s="59">
        <f>L17*3.5%</f>
        <v>0</v>
      </c>
      <c r="M19" s="60">
        <f>K19-L19</f>
        <v>5520.68</v>
      </c>
      <c r="N19" s="59">
        <f>N17*4%</f>
        <v>8539.252</v>
      </c>
      <c r="O19" s="59">
        <f>O17*3.5%</f>
        <v>0</v>
      </c>
      <c r="P19" s="60">
        <f>N19-O19</f>
        <v>8539.252</v>
      </c>
      <c r="Q19" s="59">
        <f>Q17*4%</f>
        <v>6453.944</v>
      </c>
      <c r="R19" s="59">
        <f>R17*3.5%</f>
        <v>0</v>
      </c>
      <c r="S19" s="60">
        <f>Q19-R19</f>
        <v>6453.944</v>
      </c>
    </row>
    <row r="21" spans="1:22">
      <c r="A21" s="3" t="s">
        <v>164</v>
      </c>
      <c r="B21" s="2">
        <v>1607</v>
      </c>
      <c r="C21" s="2">
        <v>1707</v>
      </c>
      <c r="D21" s="57" t="s">
        <v>165</v>
      </c>
      <c r="E21" s="2">
        <v>1608</v>
      </c>
      <c r="F21" s="2">
        <v>1708</v>
      </c>
      <c r="G21" s="57" t="s">
        <v>165</v>
      </c>
      <c r="H21" s="2">
        <v>1609</v>
      </c>
      <c r="I21" s="2">
        <v>1709</v>
      </c>
      <c r="J21" s="57" t="s">
        <v>165</v>
      </c>
      <c r="K21" s="2">
        <v>1610</v>
      </c>
      <c r="L21" s="2">
        <v>1710</v>
      </c>
      <c r="M21" s="57" t="s">
        <v>165</v>
      </c>
      <c r="N21" s="2">
        <v>1611</v>
      </c>
      <c r="O21" s="2">
        <v>1711</v>
      </c>
      <c r="P21" s="57" t="s">
        <v>165</v>
      </c>
      <c r="Q21" s="2">
        <v>1612</v>
      </c>
      <c r="R21" s="2">
        <v>1712</v>
      </c>
      <c r="S21" s="57" t="s">
        <v>165</v>
      </c>
      <c r="T21" s="64" t="s">
        <v>170</v>
      </c>
      <c r="U21" s="64" t="s">
        <v>171</v>
      </c>
      <c r="V21" s="64" t="s">
        <v>165</v>
      </c>
    </row>
    <row r="22" spans="1:22">
      <c r="A22" s="3" t="s">
        <v>166</v>
      </c>
      <c r="B22" s="2">
        <v>29395</v>
      </c>
      <c r="C22" s="2"/>
      <c r="D22" s="62">
        <f>B22-C22</f>
        <v>29395</v>
      </c>
      <c r="E22" s="2">
        <v>28953</v>
      </c>
      <c r="F22" s="2"/>
      <c r="G22" s="62">
        <f>E22-F22</f>
        <v>28953</v>
      </c>
      <c r="H22" s="2">
        <v>19332</v>
      </c>
      <c r="I22" s="2"/>
      <c r="J22" s="62">
        <f>H22-I22</f>
        <v>19332</v>
      </c>
      <c r="K22" s="2">
        <v>30224</v>
      </c>
      <c r="L22" s="2"/>
      <c r="M22" s="62">
        <f>K22-L22</f>
        <v>30224</v>
      </c>
      <c r="N22" s="2">
        <v>26265</v>
      </c>
      <c r="O22" s="2"/>
      <c r="P22" s="62">
        <f>N22-O22</f>
        <v>26265</v>
      </c>
      <c r="Q22" s="2">
        <v>15488</v>
      </c>
      <c r="R22" s="2"/>
      <c r="S22" s="62">
        <f>Q22-R22</f>
        <v>15488</v>
      </c>
      <c r="T22" s="65">
        <f>SUM(B16,E16,H16,K16,N16,Q16,B22,E22,H22,K22,N22,Q22)</f>
        <v>224552</v>
      </c>
      <c r="U22" s="65">
        <f>SUM(C16,F16,I16,L16,O16,R16,C22,F22,I22,L22,O22,R22)</f>
        <v>45198</v>
      </c>
      <c r="V22" s="65">
        <f>T22-U22</f>
        <v>179354</v>
      </c>
    </row>
    <row r="23" spans="1:22">
      <c r="A23" s="3" t="s">
        <v>167</v>
      </c>
      <c r="B23" s="59">
        <v>272190.5</v>
      </c>
      <c r="C23" s="59"/>
      <c r="D23" s="62">
        <f>B23-C23</f>
        <v>272190.5</v>
      </c>
      <c r="E23" s="59">
        <v>281557.8</v>
      </c>
      <c r="F23" s="59"/>
      <c r="G23" s="62">
        <f>E23-F23</f>
        <v>281557.8</v>
      </c>
      <c r="H23" s="59">
        <v>209550.5</v>
      </c>
      <c r="I23" s="59"/>
      <c r="J23" s="62">
        <f>H23-I23</f>
        <v>209550.5</v>
      </c>
      <c r="K23" s="59">
        <v>341306.5</v>
      </c>
      <c r="L23" s="59"/>
      <c r="M23" s="62">
        <f>K23-L23</f>
        <v>341306.5</v>
      </c>
      <c r="N23" s="59">
        <v>281849.5</v>
      </c>
      <c r="O23" s="59"/>
      <c r="P23" s="62">
        <f>N23-O23</f>
        <v>281849.5</v>
      </c>
      <c r="Q23" s="59">
        <v>139635</v>
      </c>
      <c r="R23" s="59"/>
      <c r="S23" s="62">
        <f>Q23-R23</f>
        <v>139635</v>
      </c>
      <c r="T23" s="65">
        <f>SUM(B17,E17,H17,K17,N17,Q17,B23,E23,H23,K23,N23,Q23)</f>
        <v>2317561.2</v>
      </c>
      <c r="U23" s="65">
        <f>SUM(C17,F17,I17,L17,O17,R17,C23,F23,I23,L23,O23,R23)</f>
        <v>316718</v>
      </c>
      <c r="V23" s="65">
        <f>T23-U23</f>
        <v>2000843.2</v>
      </c>
    </row>
    <row r="24" spans="1:22">
      <c r="A24" s="3" t="s">
        <v>168</v>
      </c>
      <c r="B24" s="61">
        <f>IF(B22="","",B23/B22)</f>
        <v>9.25975506038442</v>
      </c>
      <c r="C24" s="61" t="str">
        <f>IF(C22="","",C23/C22)</f>
        <v/>
      </c>
      <c r="D24" s="62" t="str">
        <f>IF(ISERROR(B24-C24),"",VALUE((B24-C24)))</f>
        <v/>
      </c>
      <c r="E24" s="61">
        <f>IF(E22="","",E23/E22)</f>
        <v>9.72465029530619</v>
      </c>
      <c r="F24" s="61" t="str">
        <f>IF(F22="","",F23/F22)</f>
        <v/>
      </c>
      <c r="G24" s="62" t="str">
        <f>IF(ISERROR(E24-F24),"",VALUE((E24-F24)))</f>
        <v/>
      </c>
      <c r="H24" s="61">
        <f>IF(H22="","",H23/H22)</f>
        <v>10.8395665218291</v>
      </c>
      <c r="I24" s="61" t="str">
        <f>IF(I22="","",I23/I22)</f>
        <v/>
      </c>
      <c r="J24" s="62" t="str">
        <f>IF(ISERROR(H24-I24),"",VALUE((H24-I24)))</f>
        <v/>
      </c>
      <c r="K24" s="61">
        <f>IF(K22="","",K23/K22)</f>
        <v>11.2925655108523</v>
      </c>
      <c r="L24" s="61" t="str">
        <f>IF(L22="","",L23/L22)</f>
        <v/>
      </c>
      <c r="M24" s="62" t="str">
        <f>IF(ISERROR(K24-L24),"",VALUE((K24-L24)))</f>
        <v/>
      </c>
      <c r="N24" s="61">
        <f>IF(N22="","",N23/N22)</f>
        <v>10.7309918142014</v>
      </c>
      <c r="O24" s="61" t="str">
        <f>IF(O22="","",O23/O22)</f>
        <v/>
      </c>
      <c r="P24" s="62" t="str">
        <f>IF(ISERROR(N24-O24),"",VALUE((N24-O24)))</f>
        <v/>
      </c>
      <c r="Q24" s="61">
        <f>IF(Q22="","",Q23/Q22)</f>
        <v>9.0156895661157</v>
      </c>
      <c r="R24" s="61" t="str">
        <f>IF(R22="","",R23/R22)</f>
        <v/>
      </c>
      <c r="S24" s="62" t="str">
        <f>IF(ISERROR(Q24-R24),"",VALUE((Q24-R24)))</f>
        <v/>
      </c>
      <c r="T24" s="65">
        <f>T23/T22</f>
        <v>10.3208219031672</v>
      </c>
      <c r="U24" s="65">
        <f>U23/U22</f>
        <v>7.00734545776362</v>
      </c>
      <c r="V24" s="65">
        <f>T24-U24</f>
        <v>3.31347644540358</v>
      </c>
    </row>
    <row r="25" spans="1:22">
      <c r="A25" s="3" t="s">
        <v>169</v>
      </c>
      <c r="B25" s="61">
        <f>B23*4%</f>
        <v>10887.62</v>
      </c>
      <c r="C25" s="61">
        <f>C23*3.5%</f>
        <v>0</v>
      </c>
      <c r="D25" s="62">
        <f>B25-C25</f>
        <v>10887.62</v>
      </c>
      <c r="E25" s="61">
        <f>E23*3.5%</f>
        <v>9854.523</v>
      </c>
      <c r="F25" s="61">
        <f>F23*3.5%</f>
        <v>0</v>
      </c>
      <c r="G25" s="62">
        <f>E25-F25</f>
        <v>9854.523</v>
      </c>
      <c r="H25" s="61">
        <f>H23*3.5%</f>
        <v>7334.2675</v>
      </c>
      <c r="I25" s="61">
        <f>I23*3.5%</f>
        <v>0</v>
      </c>
      <c r="J25" s="62">
        <f>H25-I25</f>
        <v>7334.2675</v>
      </c>
      <c r="K25" s="61">
        <f>K23*3.5%</f>
        <v>11945.7275</v>
      </c>
      <c r="L25" s="61">
        <f>L23*3.5%</f>
        <v>0</v>
      </c>
      <c r="M25" s="62">
        <f>K25-L25</f>
        <v>11945.7275</v>
      </c>
      <c r="N25" s="61">
        <f>N23*3.5%</f>
        <v>9864.7325</v>
      </c>
      <c r="O25" s="61">
        <f>O23*3.5%</f>
        <v>0</v>
      </c>
      <c r="P25" s="62">
        <f>N25-O25</f>
        <v>9864.7325</v>
      </c>
      <c r="Q25" s="61">
        <f>Q23*3.5%</f>
        <v>4887.225</v>
      </c>
      <c r="R25" s="61">
        <f>R23*3.5%</f>
        <v>0</v>
      </c>
      <c r="S25" s="62">
        <f>Q25-R25</f>
        <v>4887.225</v>
      </c>
      <c r="T25" s="65">
        <f>SUM(B19,E19,H19,K19,N19,Q19,B25,E25,H25,K25,N25,Q25)</f>
        <v>86432.9515</v>
      </c>
      <c r="U25" s="65">
        <f>SUM(C19,F19,I19,L19,O19,R19,C25,F25,I25,L25,O25,R25)</f>
        <v>11085.13</v>
      </c>
      <c r="V25" s="65">
        <f>T25-U25</f>
        <v>75347.8215</v>
      </c>
    </row>
  </sheetData>
  <mergeCells count="2">
    <mergeCell ref="A1:V1"/>
    <mergeCell ref="A14:V1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zoomScale="85" zoomScaleNormal="85" workbookViewId="0">
      <selection activeCell="F19" sqref="F18:F19"/>
    </sheetView>
  </sheetViews>
  <sheetFormatPr defaultColWidth="9" defaultRowHeight="25.5"/>
  <cols>
    <col min="1" max="1" width="5.21666666666667" style="5" customWidth="1"/>
    <col min="2" max="2" width="21.3333333333333" style="5" customWidth="1"/>
    <col min="3" max="3" width="13.1083333333333" style="5" customWidth="1"/>
    <col min="4" max="4" width="12.1083333333333" style="5" customWidth="1"/>
    <col min="5" max="5" width="20.2166666666667" style="5" customWidth="1"/>
    <col min="6" max="6" width="11.8833333333333" style="5" customWidth="1"/>
    <col min="7" max="7" width="12.6666666666667" style="5" customWidth="1"/>
    <col min="8" max="8" width="13.1083333333333" style="5" customWidth="1"/>
    <col min="9" max="9" width="5.21666666666667" style="20" customWidth="1"/>
    <col min="10" max="10" width="11.8833333333333" style="5" customWidth="1"/>
    <col min="11" max="11" width="13.2166666666667" style="5" customWidth="1"/>
    <col min="12" max="12" width="5.66666666666667" style="20" customWidth="1"/>
    <col min="13" max="13" width="20.3333333333333" style="5" customWidth="1"/>
    <col min="14" max="14" width="4.88333333333333" style="5" customWidth="1"/>
    <col min="15" max="16384" width="9" style="5"/>
  </cols>
  <sheetData>
    <row r="1" ht="30.75" customHeight="1" spans="1:14">
      <c r="A1" s="22"/>
      <c r="B1" s="23" t="s">
        <v>173</v>
      </c>
      <c r="C1" s="22" t="s">
        <v>174</v>
      </c>
      <c r="D1" s="22" t="s">
        <v>175</v>
      </c>
      <c r="E1" s="22" t="s">
        <v>176</v>
      </c>
      <c r="F1" s="22" t="s">
        <v>177</v>
      </c>
      <c r="G1" s="24" t="s">
        <v>178</v>
      </c>
      <c r="H1" s="22" t="s">
        <v>179</v>
      </c>
      <c r="I1" s="46"/>
      <c r="J1" s="24" t="s">
        <v>180</v>
      </c>
      <c r="K1" s="22" t="s">
        <v>179</v>
      </c>
      <c r="L1" s="46"/>
      <c r="M1" s="22" t="s">
        <v>181</v>
      </c>
      <c r="N1" s="3"/>
    </row>
    <row r="2" ht="17.25" customHeight="1" spans="1:14">
      <c r="A2" s="23" t="s">
        <v>182</v>
      </c>
      <c r="B2" s="25">
        <v>9934.92</v>
      </c>
      <c r="C2" s="25">
        <v>-13850.5082</v>
      </c>
      <c r="D2" s="25">
        <v>-13850.5082</v>
      </c>
      <c r="E2" s="23" t="s">
        <v>183</v>
      </c>
      <c r="F2" s="25">
        <f>B14+B17</f>
        <v>191767.921375</v>
      </c>
      <c r="G2" s="25">
        <f>B14-B2+C2</f>
        <v>158143.2133</v>
      </c>
      <c r="H2" s="25">
        <f>G2-F2</f>
        <v>-33624.708075</v>
      </c>
      <c r="I2" s="42" t="str">
        <f>IF(H2&gt;=0,"☻","☹☹")</f>
        <v>☹☹</v>
      </c>
      <c r="J2" s="25">
        <f>B14-B2+D2</f>
        <v>158143.2133</v>
      </c>
      <c r="K2" s="25">
        <f>J2-F2</f>
        <v>-33624.708075</v>
      </c>
      <c r="L2" s="42" t="str">
        <f>IF(K2&gt;=0,"☻","☹☹")</f>
        <v>☹☹</v>
      </c>
      <c r="M2" s="23"/>
      <c r="N2" s="23" t="s">
        <v>182</v>
      </c>
    </row>
    <row r="3" ht="17.25" customHeight="1" spans="1:14">
      <c r="A3" s="23" t="s">
        <v>184</v>
      </c>
      <c r="B3" s="25">
        <v>2321.4959</v>
      </c>
      <c r="C3" s="25">
        <v>31166.9866</v>
      </c>
      <c r="D3" s="25">
        <v>31166.9866</v>
      </c>
      <c r="E3" s="23" t="s">
        <v>185</v>
      </c>
      <c r="F3" s="25">
        <f>F2+B17</f>
        <v>201607.20125</v>
      </c>
      <c r="G3" s="25">
        <f t="shared" ref="G3:G13" si="0">G2-B3+C3</f>
        <v>186988.704</v>
      </c>
      <c r="H3" s="25">
        <f t="shared" ref="H3:H13" si="1">G3-F3</f>
        <v>-14618.49725</v>
      </c>
      <c r="I3" s="42" t="str">
        <f t="shared" ref="I3:I13" si="2">IF(H3&gt;=0,"☻",(IF(H3-H2&gt;=0,"☹","☹☹")))</f>
        <v>☹</v>
      </c>
      <c r="J3" s="25">
        <f t="shared" ref="J3:J13" si="3">J2-B3+D3</f>
        <v>186988.704</v>
      </c>
      <c r="K3" s="25">
        <f t="shared" ref="K3:K13" si="4">J3-F3</f>
        <v>-14618.49725</v>
      </c>
      <c r="L3" s="42" t="str">
        <f t="shared" ref="L3:L13" si="5">IF(K3&gt;=0,"☻",(IF(K3-K2&gt;=0,"☹","☹☹")))</f>
        <v>☹</v>
      </c>
      <c r="M3" s="23"/>
      <c r="N3" s="23" t="s">
        <v>184</v>
      </c>
    </row>
    <row r="4" ht="17.25" customHeight="1" spans="1:14">
      <c r="A4" s="23" t="s">
        <v>186</v>
      </c>
      <c r="B4" s="25">
        <v>34211.292</v>
      </c>
      <c r="C4" s="25">
        <v>43828.4966</v>
      </c>
      <c r="D4" s="25">
        <v>43828.4966</v>
      </c>
      <c r="E4" s="23" t="s">
        <v>187</v>
      </c>
      <c r="F4" s="25">
        <f>F3+B17</f>
        <v>211446.481125</v>
      </c>
      <c r="G4" s="25">
        <f t="shared" si="0"/>
        <v>196605.9086</v>
      </c>
      <c r="H4" s="25">
        <f t="shared" si="1"/>
        <v>-14840.572525</v>
      </c>
      <c r="I4" s="42" t="str">
        <f t="shared" si="2"/>
        <v>☹☹</v>
      </c>
      <c r="J4" s="25">
        <f t="shared" si="3"/>
        <v>196605.9086</v>
      </c>
      <c r="K4" s="25">
        <f t="shared" si="4"/>
        <v>-14840.572525</v>
      </c>
      <c r="L4" s="42" t="str">
        <f t="shared" si="5"/>
        <v>☹☹</v>
      </c>
      <c r="M4" s="23"/>
      <c r="N4" s="23" t="s">
        <v>186</v>
      </c>
    </row>
    <row r="5" ht="17.25" customHeight="1" spans="1:14">
      <c r="A5" s="23" t="s">
        <v>188</v>
      </c>
      <c r="B5" s="25">
        <v>31030.2662</v>
      </c>
      <c r="C5" s="25">
        <v>72170.7716</v>
      </c>
      <c r="D5" s="25">
        <v>72170.7716</v>
      </c>
      <c r="E5" s="23" t="s">
        <v>189</v>
      </c>
      <c r="F5" s="25">
        <f>F4+B17</f>
        <v>221285.761</v>
      </c>
      <c r="G5" s="25">
        <f t="shared" si="0"/>
        <v>237746.414</v>
      </c>
      <c r="H5" s="25">
        <f t="shared" si="1"/>
        <v>16460.653</v>
      </c>
      <c r="I5" s="42" t="str">
        <f t="shared" si="2"/>
        <v>☻</v>
      </c>
      <c r="J5" s="25">
        <f t="shared" si="3"/>
        <v>237746.414</v>
      </c>
      <c r="K5" s="25">
        <f t="shared" si="4"/>
        <v>16460.653</v>
      </c>
      <c r="L5" s="42" t="str">
        <f t="shared" si="5"/>
        <v>☻</v>
      </c>
      <c r="M5" s="23"/>
      <c r="N5" s="23" t="s">
        <v>188</v>
      </c>
    </row>
    <row r="6" ht="17.25" customHeight="1" spans="1:14">
      <c r="A6" s="23" t="s">
        <v>190</v>
      </c>
      <c r="B6" s="25">
        <v>16511.4853</v>
      </c>
      <c r="C6" s="25">
        <v>65825.4206</v>
      </c>
      <c r="D6" s="25">
        <v>65825.4206</v>
      </c>
      <c r="E6" s="23" t="s">
        <v>191</v>
      </c>
      <c r="F6" s="25">
        <f>F5+B17</f>
        <v>231125.040875</v>
      </c>
      <c r="G6" s="25">
        <f t="shared" si="0"/>
        <v>287060.3493</v>
      </c>
      <c r="H6" s="25">
        <f t="shared" si="1"/>
        <v>55935.308425</v>
      </c>
      <c r="I6" s="42" t="str">
        <f t="shared" si="2"/>
        <v>☻</v>
      </c>
      <c r="J6" s="25">
        <f t="shared" si="3"/>
        <v>287060.3493</v>
      </c>
      <c r="K6" s="25">
        <f t="shared" si="4"/>
        <v>55935.308425</v>
      </c>
      <c r="L6" s="42" t="str">
        <f t="shared" si="5"/>
        <v>☻</v>
      </c>
      <c r="M6" s="23"/>
      <c r="N6" s="23" t="s">
        <v>190</v>
      </c>
    </row>
    <row r="7" ht="17.25" customHeight="1" spans="1:14">
      <c r="A7" s="23" t="s">
        <v>192</v>
      </c>
      <c r="B7" s="25">
        <v>11597.758</v>
      </c>
      <c r="C7" s="25">
        <v>21972.1058</v>
      </c>
      <c r="D7" s="25">
        <v>21972.1058</v>
      </c>
      <c r="E7" s="23" t="s">
        <v>193</v>
      </c>
      <c r="F7" s="25">
        <f>F6+B17</f>
        <v>240964.32075</v>
      </c>
      <c r="G7" s="25">
        <f t="shared" si="0"/>
        <v>297434.6971</v>
      </c>
      <c r="H7" s="25">
        <f t="shared" si="1"/>
        <v>56470.37635</v>
      </c>
      <c r="I7" s="43" t="str">
        <f t="shared" si="2"/>
        <v>☻</v>
      </c>
      <c r="J7" s="25">
        <f t="shared" si="3"/>
        <v>297434.6971</v>
      </c>
      <c r="K7" s="25">
        <f t="shared" si="4"/>
        <v>56470.37635</v>
      </c>
      <c r="L7" s="43" t="str">
        <f t="shared" si="5"/>
        <v>☻</v>
      </c>
      <c r="M7" s="23"/>
      <c r="N7" s="23" t="s">
        <v>192</v>
      </c>
    </row>
    <row r="8" ht="17.25" customHeight="1" spans="1:14">
      <c r="A8" s="23" t="s">
        <v>194</v>
      </c>
      <c r="B8" s="25">
        <v>7723.46</v>
      </c>
      <c r="C8" s="25">
        <v>-769.661599999999</v>
      </c>
      <c r="D8" s="25">
        <v>-769.661599999999</v>
      </c>
      <c r="E8" s="23" t="s">
        <v>195</v>
      </c>
      <c r="F8" s="25">
        <f>F7+B17</f>
        <v>250803.600625</v>
      </c>
      <c r="G8" s="25">
        <f t="shared" si="0"/>
        <v>288941.5755</v>
      </c>
      <c r="H8" s="25">
        <f t="shared" si="1"/>
        <v>38137.974875</v>
      </c>
      <c r="I8" s="43" t="str">
        <f t="shared" si="2"/>
        <v>☻</v>
      </c>
      <c r="J8" s="25">
        <f t="shared" si="3"/>
        <v>288941.5755</v>
      </c>
      <c r="K8" s="25">
        <f t="shared" si="4"/>
        <v>38137.974875</v>
      </c>
      <c r="L8" s="43" t="str">
        <f t="shared" si="5"/>
        <v>☻</v>
      </c>
      <c r="M8" s="23"/>
      <c r="N8" s="23" t="s">
        <v>194</v>
      </c>
    </row>
    <row r="9" ht="17.25" customHeight="1" spans="1:14">
      <c r="A9" s="23" t="s">
        <v>196</v>
      </c>
      <c r="B9" s="25">
        <v>18234.9879</v>
      </c>
      <c r="C9" s="25">
        <v>14681.7844</v>
      </c>
      <c r="D9" s="25">
        <v>14681.7844</v>
      </c>
      <c r="E9" s="23" t="s">
        <v>197</v>
      </c>
      <c r="F9" s="25">
        <f>F8+B17</f>
        <v>260642.8805</v>
      </c>
      <c r="G9" s="25">
        <f t="shared" si="0"/>
        <v>285388.372</v>
      </c>
      <c r="H9" s="25">
        <f t="shared" si="1"/>
        <v>24745.4915</v>
      </c>
      <c r="I9" s="43" t="str">
        <f t="shared" si="2"/>
        <v>☻</v>
      </c>
      <c r="J9" s="25">
        <f t="shared" si="3"/>
        <v>285388.372</v>
      </c>
      <c r="K9" s="25">
        <f t="shared" si="4"/>
        <v>24745.4915</v>
      </c>
      <c r="L9" s="43" t="str">
        <f t="shared" si="5"/>
        <v>☻</v>
      </c>
      <c r="M9" s="23"/>
      <c r="N9" s="23" t="s">
        <v>196</v>
      </c>
    </row>
    <row r="10" ht="17.25" customHeight="1" spans="1:14">
      <c r="A10" s="23" t="s">
        <v>198</v>
      </c>
      <c r="B10" s="25">
        <v>23126.2136</v>
      </c>
      <c r="C10" s="25">
        <v>21213.8456</v>
      </c>
      <c r="D10" s="25">
        <v>21213.8456</v>
      </c>
      <c r="E10" s="23" t="s">
        <v>199</v>
      </c>
      <c r="F10" s="25">
        <f>F9+B17</f>
        <v>270482.160375</v>
      </c>
      <c r="G10" s="25">
        <f t="shared" si="0"/>
        <v>283476.004</v>
      </c>
      <c r="H10" s="25">
        <f t="shared" si="1"/>
        <v>12993.843625</v>
      </c>
      <c r="I10" s="43" t="str">
        <f t="shared" si="2"/>
        <v>☻</v>
      </c>
      <c r="J10" s="25">
        <f t="shared" si="3"/>
        <v>283476.004</v>
      </c>
      <c r="K10" s="25">
        <f t="shared" si="4"/>
        <v>12993.843625</v>
      </c>
      <c r="L10" s="43" t="str">
        <f t="shared" si="5"/>
        <v>☻</v>
      </c>
      <c r="M10" s="23"/>
      <c r="N10" s="23" t="s">
        <v>198</v>
      </c>
    </row>
    <row r="11" ht="17.25" customHeight="1" spans="1:14">
      <c r="A11" s="23" t="s">
        <v>200</v>
      </c>
      <c r="B11" s="25">
        <v>24678.6629</v>
      </c>
      <c r="C11" s="25">
        <v>5463.51400000001</v>
      </c>
      <c r="D11" s="25">
        <v>5463.51400000001</v>
      </c>
      <c r="E11" s="23" t="s">
        <v>201</v>
      </c>
      <c r="F11" s="25">
        <f>F10+B17</f>
        <v>280321.44025</v>
      </c>
      <c r="G11" s="25">
        <f t="shared" si="0"/>
        <v>264260.8551</v>
      </c>
      <c r="H11" s="25">
        <f t="shared" si="1"/>
        <v>-16060.58515</v>
      </c>
      <c r="I11" s="43" t="str">
        <f t="shared" si="2"/>
        <v>☹☹</v>
      </c>
      <c r="J11" s="25">
        <f t="shared" si="3"/>
        <v>264260.8551</v>
      </c>
      <c r="K11" s="25">
        <f t="shared" si="4"/>
        <v>-16060.58515</v>
      </c>
      <c r="L11" s="43" t="str">
        <f t="shared" si="5"/>
        <v>☹☹</v>
      </c>
      <c r="M11" s="23"/>
      <c r="N11" s="23" t="s">
        <v>200</v>
      </c>
    </row>
    <row r="12" ht="17.25" customHeight="1" spans="1:14">
      <c r="A12" s="23" t="s">
        <v>202</v>
      </c>
      <c r="B12" s="25">
        <v>14982.2427</v>
      </c>
      <c r="C12" s="25">
        <v>20878.2738</v>
      </c>
      <c r="D12" s="25">
        <v>20878.2738</v>
      </c>
      <c r="E12" s="52" t="s">
        <v>203</v>
      </c>
      <c r="F12" s="53">
        <f>F11+B17</f>
        <v>290160.720125</v>
      </c>
      <c r="G12" s="25">
        <f t="shared" si="0"/>
        <v>270156.8862</v>
      </c>
      <c r="H12" s="53">
        <f t="shared" si="1"/>
        <v>-20003.833925</v>
      </c>
      <c r="I12" s="42" t="str">
        <f t="shared" si="2"/>
        <v>☹☹</v>
      </c>
      <c r="J12" s="25">
        <f t="shared" si="3"/>
        <v>270156.8862</v>
      </c>
      <c r="K12" s="53">
        <f t="shared" si="4"/>
        <v>-20003.833925</v>
      </c>
      <c r="L12" s="42" t="str">
        <f t="shared" si="5"/>
        <v>☹☹</v>
      </c>
      <c r="M12" s="23"/>
      <c r="N12" s="23" t="s">
        <v>202</v>
      </c>
    </row>
    <row r="13" ht="17.25" customHeight="1" spans="1:14">
      <c r="A13" s="23" t="s">
        <v>204</v>
      </c>
      <c r="B13" s="25">
        <v>-12424.143</v>
      </c>
      <c r="C13" s="54">
        <v>18184.6222</v>
      </c>
      <c r="D13" s="54">
        <v>18184.6222</v>
      </c>
      <c r="E13" s="23" t="s">
        <v>205</v>
      </c>
      <c r="F13" s="25">
        <f>F12+B17</f>
        <v>300000</v>
      </c>
      <c r="G13" s="25">
        <f t="shared" si="0"/>
        <v>300765.6514</v>
      </c>
      <c r="H13" s="25">
        <f t="shared" si="1"/>
        <v>765.651400000032</v>
      </c>
      <c r="I13" s="42" t="str">
        <f t="shared" si="2"/>
        <v>☻</v>
      </c>
      <c r="J13" s="25">
        <f t="shared" si="3"/>
        <v>300765.6514</v>
      </c>
      <c r="K13" s="25">
        <f t="shared" si="4"/>
        <v>765.651400000032</v>
      </c>
      <c r="L13" s="42" t="str">
        <f t="shared" si="5"/>
        <v>☻</v>
      </c>
      <c r="M13" s="23"/>
      <c r="N13" s="23" t="s">
        <v>204</v>
      </c>
    </row>
    <row r="14" ht="17.25" customHeight="1" spans="1:13">
      <c r="A14" s="22" t="s">
        <v>28</v>
      </c>
      <c r="B14" s="25">
        <f>SUM(B2:B13)</f>
        <v>181928.6415</v>
      </c>
      <c r="C14" s="28">
        <f>SUM(C2:C13)</f>
        <v>300765.6514</v>
      </c>
      <c r="D14" s="28">
        <f>SUM(D2:D13)</f>
        <v>300765.6514</v>
      </c>
      <c r="E14" s="32"/>
      <c r="F14" s="32"/>
      <c r="G14" s="32"/>
      <c r="H14" s="32"/>
      <c r="I14" s="46"/>
      <c r="J14" s="32"/>
      <c r="K14" s="32"/>
      <c r="L14" s="46"/>
      <c r="M14" s="38"/>
    </row>
    <row r="15" ht="27" customHeight="1" spans="1:13">
      <c r="A15" s="22" t="s">
        <v>206</v>
      </c>
      <c r="B15" s="33">
        <v>300000</v>
      </c>
      <c r="C15" s="22"/>
      <c r="D15" s="22"/>
      <c r="E15" s="32"/>
      <c r="F15" s="32"/>
      <c r="G15" s="32"/>
      <c r="H15" s="32"/>
      <c r="I15" s="46"/>
      <c r="J15" s="32"/>
      <c r="K15" s="32"/>
      <c r="L15" s="46"/>
      <c r="M15" s="38"/>
    </row>
    <row r="16" spans="1:13">
      <c r="A16" s="22" t="s">
        <v>165</v>
      </c>
      <c r="B16" s="28">
        <f>B15-B14</f>
        <v>118071.3585</v>
      </c>
      <c r="C16" s="28">
        <f>C14-B15</f>
        <v>765.651400000032</v>
      </c>
      <c r="D16" s="28">
        <f>D14-B15</f>
        <v>765.651400000032</v>
      </c>
      <c r="E16" s="32"/>
      <c r="H16" s="32"/>
      <c r="I16" s="46"/>
      <c r="J16" s="32"/>
      <c r="K16" s="32"/>
      <c r="L16" s="46"/>
      <c r="M16" s="38"/>
    </row>
    <row r="17" ht="27" customHeight="1" spans="1:13">
      <c r="A17" s="22" t="s">
        <v>207</v>
      </c>
      <c r="B17" s="33">
        <f>B16/12</f>
        <v>9839.279875</v>
      </c>
      <c r="C17" s="28"/>
      <c r="D17" s="28"/>
      <c r="H17" s="32"/>
      <c r="I17" s="46"/>
      <c r="J17" s="32"/>
      <c r="K17" s="32"/>
      <c r="L17" s="46"/>
      <c r="M17" s="38"/>
    </row>
    <row r="18" ht="14.25" customHeight="1" spans="1:13">
      <c r="A18" s="35" t="s">
        <v>208</v>
      </c>
      <c r="B18" s="35"/>
      <c r="C18" s="35"/>
      <c r="D18" s="36"/>
      <c r="H18" s="32"/>
      <c r="I18" s="46"/>
      <c r="J18" s="32"/>
      <c r="K18" s="32"/>
      <c r="L18" s="46"/>
      <c r="M18" s="38"/>
    </row>
    <row r="19" ht="14.25" customHeight="1" spans="1:6">
      <c r="A19" s="37" t="s">
        <v>209</v>
      </c>
      <c r="B19" s="37"/>
      <c r="C19" s="37"/>
      <c r="D19" s="36"/>
      <c r="E19" s="38"/>
      <c r="F19" s="38"/>
    </row>
    <row r="20" ht="14.25" customHeight="1" spans="1:6">
      <c r="A20" s="39" t="s">
        <v>210</v>
      </c>
      <c r="B20" s="39"/>
      <c r="C20" s="39"/>
      <c r="E20" s="38"/>
      <c r="F20" s="38"/>
    </row>
    <row r="21" ht="14.25" customHeight="1" spans="1:5">
      <c r="A21" s="40" t="s">
        <v>211</v>
      </c>
      <c r="B21" s="40"/>
      <c r="C21" s="40"/>
      <c r="D21" s="36"/>
      <c r="E21" s="38"/>
    </row>
    <row r="22" ht="14.25" customHeight="1" spans="1:6">
      <c r="A22" s="40" t="s">
        <v>212</v>
      </c>
      <c r="B22" s="40"/>
      <c r="D22" s="36"/>
      <c r="E22" s="38"/>
      <c r="F22" s="38"/>
    </row>
    <row r="23" ht="17.25" customHeight="1"/>
    <row r="24" ht="17.25" customHeight="1" spans="6:6">
      <c r="F24" s="55"/>
    </row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</sheetData>
  <mergeCells count="5">
    <mergeCell ref="A18:C18"/>
    <mergeCell ref="A19:C19"/>
    <mergeCell ref="A20:C20"/>
    <mergeCell ref="A21:C21"/>
    <mergeCell ref="A22:B22"/>
  </mergeCells>
  <conditionalFormatting sqref="I2:I13 L2:L13">
    <cfRule type="containsText" dxfId="0" priority="11" operator="between" text="☹">
      <formula>NOT(ISERROR(SEARCH("☹",I2)))</formula>
    </cfRule>
    <cfRule type="expression" dxfId="1" priority="12" stopIfTrue="1">
      <formula>$L$18</formula>
    </cfRule>
    <cfRule type="containsText" dxfId="2" priority="10" operator="between" text="☻">
      <formula>NOT(ISERROR(SEARCH("☻",I2)))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zoomScale="85" zoomScaleNormal="85" workbookViewId="0">
      <selection activeCell="Q12" sqref="Q12"/>
    </sheetView>
  </sheetViews>
  <sheetFormatPr defaultColWidth="9" defaultRowHeight="13.5"/>
  <cols>
    <col min="1" max="1" width="9" style="47"/>
    <col min="2" max="2" width="5.66666666666667" style="47" customWidth="1"/>
    <col min="3" max="14" width="7.44166666666667" style="47" customWidth="1"/>
    <col min="15" max="15" width="10.4416666666667" style="47" customWidth="1"/>
    <col min="16" max="16384" width="9" style="47"/>
  </cols>
  <sheetData>
    <row r="1" spans="1:15">
      <c r="A1" s="48" t="s">
        <v>213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 t="s">
        <v>28</v>
      </c>
    </row>
    <row r="2" spans="1:15">
      <c r="A2" s="48" t="s">
        <v>214</v>
      </c>
      <c r="B2" s="48"/>
      <c r="C2" s="48" t="s">
        <v>101</v>
      </c>
      <c r="D2" s="48" t="s">
        <v>103</v>
      </c>
      <c r="E2" s="48" t="s">
        <v>105</v>
      </c>
      <c r="F2" s="48" t="s">
        <v>107</v>
      </c>
      <c r="G2" s="48" t="s">
        <v>109</v>
      </c>
      <c r="H2" s="48" t="s">
        <v>111</v>
      </c>
      <c r="I2" s="48" t="s">
        <v>113</v>
      </c>
      <c r="J2" s="48" t="s">
        <v>115</v>
      </c>
      <c r="K2" s="48" t="s">
        <v>117</v>
      </c>
      <c r="L2" s="48" t="s">
        <v>119</v>
      </c>
      <c r="M2" s="48" t="s">
        <v>121</v>
      </c>
      <c r="N2" s="48" t="s">
        <v>123</v>
      </c>
      <c r="O2" s="48"/>
    </row>
    <row r="3" spans="1:15">
      <c r="A3" s="48" t="s">
        <v>132</v>
      </c>
      <c r="B3" s="48" t="s">
        <v>215</v>
      </c>
      <c r="C3" s="48"/>
      <c r="D3" s="48">
        <v>7336</v>
      </c>
      <c r="E3" s="48">
        <v>17833</v>
      </c>
      <c r="F3" s="48">
        <v>25454</v>
      </c>
      <c r="G3" s="48">
        <v>11897</v>
      </c>
      <c r="H3" s="48">
        <v>2975</v>
      </c>
      <c r="I3" s="48"/>
      <c r="J3" s="48">
        <v>10621</v>
      </c>
      <c r="K3" s="48">
        <v>14766</v>
      </c>
      <c r="L3" s="48"/>
      <c r="M3" s="48"/>
      <c r="N3" s="48"/>
      <c r="O3" s="48">
        <f>SUM(C3:N3)</f>
        <v>90882</v>
      </c>
    </row>
    <row r="4" spans="1:15">
      <c r="A4" s="48"/>
      <c r="B4" s="48" t="s">
        <v>168</v>
      </c>
      <c r="C4" s="48"/>
      <c r="D4" s="49">
        <v>13.840715392562</v>
      </c>
      <c r="E4" s="49">
        <v>14.2066455868724</v>
      </c>
      <c r="F4" s="49">
        <v>12.5859802038706</v>
      </c>
      <c r="G4" s="49">
        <v>14.9193065405831</v>
      </c>
      <c r="H4" s="49">
        <v>13.6867253750815</v>
      </c>
      <c r="I4" s="49"/>
      <c r="J4" s="49">
        <v>12.7127272727273</v>
      </c>
      <c r="K4" s="49">
        <v>12.502</v>
      </c>
      <c r="L4" s="48"/>
      <c r="M4" s="48"/>
      <c r="N4" s="48"/>
      <c r="O4" s="49">
        <f>AVERAGE(C4:N4)</f>
        <v>13.4934429102424</v>
      </c>
    </row>
    <row r="5" spans="1:15">
      <c r="A5" s="48" t="s">
        <v>126</v>
      </c>
      <c r="B5" s="48" t="s">
        <v>215</v>
      </c>
      <c r="C5" s="48"/>
      <c r="D5" s="48">
        <v>5230</v>
      </c>
      <c r="E5" s="48">
        <v>22678</v>
      </c>
      <c r="F5" s="48">
        <v>46583</v>
      </c>
      <c r="G5" s="48">
        <v>12864</v>
      </c>
      <c r="H5" s="48">
        <v>15511</v>
      </c>
      <c r="I5" s="48">
        <v>7151</v>
      </c>
      <c r="J5" s="48">
        <v>9679</v>
      </c>
      <c r="K5" s="48">
        <v>31874</v>
      </c>
      <c r="L5" s="48"/>
      <c r="M5" s="48"/>
      <c r="N5" s="48"/>
      <c r="O5" s="48">
        <f>SUM(C5:N5)</f>
        <v>151570</v>
      </c>
    </row>
    <row r="6" spans="1:15">
      <c r="A6" s="48"/>
      <c r="B6" s="48" t="s">
        <v>168</v>
      </c>
      <c r="C6" s="48"/>
      <c r="D6" s="49">
        <v>7.96612049837856</v>
      </c>
      <c r="E6" s="49">
        <v>8.25390953421893</v>
      </c>
      <c r="F6" s="49">
        <v>8.8168625301914</v>
      </c>
      <c r="G6" s="49">
        <v>8.92587248322148</v>
      </c>
      <c r="H6" s="49">
        <v>9.02483121464631</v>
      </c>
      <c r="I6" s="49">
        <v>8.18313223644119</v>
      </c>
      <c r="J6" s="49">
        <v>8.6425</v>
      </c>
      <c r="K6" s="49">
        <v>8.6</v>
      </c>
      <c r="L6" s="48"/>
      <c r="M6" s="48"/>
      <c r="N6" s="48"/>
      <c r="O6" s="49">
        <f>AVERAGE(C6:N6)</f>
        <v>8.55165356213723</v>
      </c>
    </row>
    <row r="7" spans="1:15">
      <c r="A7" s="50" t="s">
        <v>28</v>
      </c>
      <c r="B7" s="50" t="s">
        <v>215</v>
      </c>
      <c r="C7" s="50"/>
      <c r="D7" s="50">
        <f>D5+D3</f>
        <v>12566</v>
      </c>
      <c r="E7" s="50">
        <f t="shared" ref="E7:K7" si="0">E5+E3</f>
        <v>40511</v>
      </c>
      <c r="F7" s="50">
        <f t="shared" si="0"/>
        <v>72037</v>
      </c>
      <c r="G7" s="50">
        <f t="shared" si="0"/>
        <v>24761</v>
      </c>
      <c r="H7" s="50">
        <f t="shared" si="0"/>
        <v>18486</v>
      </c>
      <c r="I7" s="50">
        <f t="shared" si="0"/>
        <v>7151</v>
      </c>
      <c r="J7" s="50">
        <f t="shared" si="0"/>
        <v>20300</v>
      </c>
      <c r="K7" s="50">
        <f t="shared" si="0"/>
        <v>46640</v>
      </c>
      <c r="L7" s="50"/>
      <c r="M7" s="50"/>
      <c r="N7" s="50"/>
      <c r="O7" s="50">
        <f>SUM(C7:N7)</f>
        <v>242452</v>
      </c>
    </row>
    <row r="8" spans="1:15">
      <c r="A8" s="50"/>
      <c r="B8" s="50" t="s">
        <v>168</v>
      </c>
      <c r="C8" s="50"/>
      <c r="D8" s="51">
        <f>AVERAGE(D6,D4)</f>
        <v>10.9034179454703</v>
      </c>
      <c r="E8" s="51">
        <f t="shared" ref="E8:K8" si="1">AVERAGE(E6,E4)</f>
        <v>11.2302775605457</v>
      </c>
      <c r="F8" s="51">
        <f t="shared" si="1"/>
        <v>10.701421367031</v>
      </c>
      <c r="G8" s="51">
        <f t="shared" si="1"/>
        <v>11.9225895119023</v>
      </c>
      <c r="H8" s="51">
        <f t="shared" si="1"/>
        <v>11.3557782948639</v>
      </c>
      <c r="I8" s="51">
        <f t="shared" si="1"/>
        <v>8.18313223644119</v>
      </c>
      <c r="J8" s="51">
        <f t="shared" si="1"/>
        <v>10.6776136363636</v>
      </c>
      <c r="K8" s="51">
        <f t="shared" si="1"/>
        <v>10.551</v>
      </c>
      <c r="L8" s="50"/>
      <c r="M8" s="50"/>
      <c r="N8" s="50"/>
      <c r="O8" s="51">
        <f>AVERAGE(C8:N8)</f>
        <v>10.6906538190772</v>
      </c>
    </row>
    <row r="10" spans="1:15">
      <c r="A10" s="48" t="s">
        <v>216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 t="s">
        <v>28</v>
      </c>
    </row>
    <row r="11" spans="1:15">
      <c r="A11" s="48" t="s">
        <v>214</v>
      </c>
      <c r="B11" s="48"/>
      <c r="C11" s="48" t="s">
        <v>101</v>
      </c>
      <c r="D11" s="48" t="s">
        <v>103</v>
      </c>
      <c r="E11" s="48" t="s">
        <v>105</v>
      </c>
      <c r="F11" s="48" t="s">
        <v>107</v>
      </c>
      <c r="G11" s="48" t="s">
        <v>109</v>
      </c>
      <c r="H11" s="48" t="s">
        <v>111</v>
      </c>
      <c r="I11" s="48" t="s">
        <v>113</v>
      </c>
      <c r="J11" s="48" t="s">
        <v>115</v>
      </c>
      <c r="K11" s="48" t="s">
        <v>117</v>
      </c>
      <c r="L11" s="48" t="s">
        <v>119</v>
      </c>
      <c r="M11" s="48" t="s">
        <v>121</v>
      </c>
      <c r="N11" s="48" t="s">
        <v>123</v>
      </c>
      <c r="O11" s="48"/>
    </row>
    <row r="12" spans="1:15">
      <c r="A12" s="48" t="s">
        <v>217</v>
      </c>
      <c r="B12" s="48" t="s">
        <v>215</v>
      </c>
      <c r="C12" s="48">
        <v>15044</v>
      </c>
      <c r="D12" s="48">
        <v>89</v>
      </c>
      <c r="E12" s="48">
        <v>8309</v>
      </c>
      <c r="F12" s="48">
        <v>13664</v>
      </c>
      <c r="G12" s="48">
        <v>21370</v>
      </c>
      <c r="H12" s="48">
        <v>16419</v>
      </c>
      <c r="I12" s="48">
        <v>29395</v>
      </c>
      <c r="J12" s="48">
        <v>28953</v>
      </c>
      <c r="K12" s="48">
        <v>19332</v>
      </c>
      <c r="L12" s="48"/>
      <c r="M12" s="48"/>
      <c r="N12" s="48"/>
      <c r="O12" s="48">
        <f>SUM(C12:N12)</f>
        <v>152575</v>
      </c>
    </row>
    <row r="13" spans="1:15">
      <c r="A13" s="48"/>
      <c r="B13" s="48" t="s">
        <v>168</v>
      </c>
      <c r="C13" s="49">
        <v>11.0054680036999</v>
      </c>
      <c r="D13" s="49">
        <v>10.1018784732388</v>
      </c>
      <c r="E13" s="49">
        <v>9.26159031795231</v>
      </c>
      <c r="F13" s="49">
        <v>9.83947445426348</v>
      </c>
      <c r="G13" s="49">
        <v>10.0119491726469</v>
      </c>
      <c r="H13" s="49">
        <v>10.1814748431699</v>
      </c>
      <c r="I13" s="49">
        <v>11.9719411764706</v>
      </c>
      <c r="J13" s="49">
        <v>10.3707865168539</v>
      </c>
      <c r="K13" s="49">
        <v>11.8481634256531</v>
      </c>
      <c r="L13" s="48"/>
      <c r="M13" s="48"/>
      <c r="N13" s="48"/>
      <c r="O13" s="49">
        <f>AVERAGE(C13:N13)</f>
        <v>10.5103029315499</v>
      </c>
    </row>
  </sheetData>
  <mergeCells count="10">
    <mergeCell ref="A1:N1"/>
    <mergeCell ref="A2:B2"/>
    <mergeCell ref="A10:N10"/>
    <mergeCell ref="A11:B11"/>
    <mergeCell ref="A3:A4"/>
    <mergeCell ref="A5:A6"/>
    <mergeCell ref="A7:A8"/>
    <mergeCell ref="A12:A13"/>
    <mergeCell ref="O1:O2"/>
    <mergeCell ref="O10:O1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zoomScale="85" zoomScaleNormal="85" workbookViewId="0">
      <selection activeCell="F21" sqref="F21"/>
    </sheetView>
  </sheetViews>
  <sheetFormatPr defaultColWidth="9" defaultRowHeight="25.5"/>
  <cols>
    <col min="1" max="1" width="5.21666666666667" style="5" customWidth="1"/>
    <col min="2" max="2" width="13.3333333333333" style="5" customWidth="1"/>
    <col min="3" max="3" width="13.1083333333333" style="5" customWidth="1"/>
    <col min="4" max="4" width="12.1083333333333" style="5" customWidth="1"/>
    <col min="5" max="5" width="20.2166666666667" style="5" customWidth="1"/>
    <col min="6" max="6" width="11.8833333333333" style="5" customWidth="1"/>
    <col min="7" max="7" width="12.6666666666667" style="5" customWidth="1"/>
    <col min="8" max="8" width="13.1083333333333" style="5" customWidth="1"/>
    <col min="9" max="9" width="5.21666666666667" style="20" customWidth="1"/>
    <col min="10" max="10" width="11.8833333333333" style="5" customWidth="1"/>
    <col min="11" max="11" width="13.2166666666667" style="5" customWidth="1"/>
    <col min="12" max="12" width="5.66666666666667" style="20" customWidth="1"/>
    <col min="13" max="13" width="20.3333333333333" style="5" customWidth="1"/>
    <col min="14" max="14" width="4.88333333333333" style="5" customWidth="1"/>
    <col min="15" max="16384" width="9" style="5"/>
  </cols>
  <sheetData>
    <row r="1" customHeight="1" spans="1:14">
      <c r="A1" s="21" t="s">
        <v>218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ht="30.75" customHeight="1" spans="1:14">
      <c r="A2" s="22" t="s">
        <v>219</v>
      </c>
      <c r="B2" s="23" t="s">
        <v>173</v>
      </c>
      <c r="C2" s="22" t="s">
        <v>174</v>
      </c>
      <c r="D2" s="22" t="s">
        <v>175</v>
      </c>
      <c r="E2" s="22" t="s">
        <v>176</v>
      </c>
      <c r="F2" s="22" t="s">
        <v>177</v>
      </c>
      <c r="G2" s="24" t="s">
        <v>178</v>
      </c>
      <c r="H2" s="22" t="s">
        <v>179</v>
      </c>
      <c r="I2" s="41"/>
      <c r="J2" s="24" t="s">
        <v>180</v>
      </c>
      <c r="K2" s="22" t="s">
        <v>179</v>
      </c>
      <c r="L2" s="41"/>
      <c r="M2" s="22" t="s">
        <v>181</v>
      </c>
      <c r="N2" s="3"/>
    </row>
    <row r="3" ht="16.5" customHeight="1" spans="1:14">
      <c r="A3" s="23" t="s">
        <v>182</v>
      </c>
      <c r="B3" s="25"/>
      <c r="C3" s="25">
        <v>7259.18</v>
      </c>
      <c r="D3" s="25">
        <v>7259.18</v>
      </c>
      <c r="E3" s="23" t="s">
        <v>183</v>
      </c>
      <c r="F3" s="25">
        <f>B15+B18</f>
        <v>5625</v>
      </c>
      <c r="G3" s="25">
        <f>B15-B3+C3</f>
        <v>7259.18</v>
      </c>
      <c r="H3" s="25">
        <f>G3-F3</f>
        <v>1634.18</v>
      </c>
      <c r="I3" s="42" t="str">
        <f>IF(H3&gt;=0,"☻","☹☹")</f>
        <v>☻</v>
      </c>
      <c r="J3" s="25">
        <f>B15-B3+D3</f>
        <v>7259.18</v>
      </c>
      <c r="K3" s="25">
        <f>J3-F3</f>
        <v>1634.18</v>
      </c>
      <c r="L3" s="42" t="str">
        <f>IF(K3&gt;=0,"☻","☹☹")</f>
        <v>☻</v>
      </c>
      <c r="M3" s="23"/>
      <c r="N3" s="23" t="s">
        <v>182</v>
      </c>
    </row>
    <row r="4" ht="16.5" customHeight="1" spans="1:14">
      <c r="A4" s="23" t="s">
        <v>184</v>
      </c>
      <c r="B4" s="25"/>
      <c r="C4" s="25">
        <v>6926.67</v>
      </c>
      <c r="D4" s="25">
        <v>6926.67</v>
      </c>
      <c r="E4" s="23" t="s">
        <v>185</v>
      </c>
      <c r="F4" s="25">
        <f>F3+B18</f>
        <v>11250</v>
      </c>
      <c r="G4" s="25">
        <f t="shared" ref="G4:G14" si="0">G3-B4+C4</f>
        <v>14185.85</v>
      </c>
      <c r="H4" s="25">
        <f t="shared" ref="H4:H14" si="1">G4-F4</f>
        <v>2935.85</v>
      </c>
      <c r="I4" s="42" t="str">
        <f t="shared" ref="I4:I14" si="2">IF(H4&gt;=0,"☻",(IF(H4-H3&gt;=0,"☹","☹☹")))</f>
        <v>☻</v>
      </c>
      <c r="J4" s="25">
        <f t="shared" ref="J4:J14" si="3">J3-B4+D4</f>
        <v>14185.85</v>
      </c>
      <c r="K4" s="25">
        <f t="shared" ref="K4:K14" si="4">J4-F4</f>
        <v>2935.85</v>
      </c>
      <c r="L4" s="42" t="str">
        <f t="shared" ref="L4:L14" si="5">IF(K4&gt;=0,"☻",(IF(K4-K3&gt;=0,"☹","☹☹")))</f>
        <v>☻</v>
      </c>
      <c r="M4" s="23"/>
      <c r="N4" s="23" t="s">
        <v>184</v>
      </c>
    </row>
    <row r="5" ht="16.5" customHeight="1" spans="1:14">
      <c r="A5" s="23" t="s">
        <v>186</v>
      </c>
      <c r="B5" s="25"/>
      <c r="C5" s="25">
        <v>14804.21</v>
      </c>
      <c r="D5" s="25">
        <v>14804.21</v>
      </c>
      <c r="E5" s="23" t="s">
        <v>187</v>
      </c>
      <c r="F5" s="25">
        <f>F4+B18</f>
        <v>16875</v>
      </c>
      <c r="G5" s="25">
        <f t="shared" si="0"/>
        <v>28990.06</v>
      </c>
      <c r="H5" s="25">
        <f t="shared" si="1"/>
        <v>12115.06</v>
      </c>
      <c r="I5" s="42" t="str">
        <f t="shared" si="2"/>
        <v>☻</v>
      </c>
      <c r="J5" s="25">
        <f t="shared" si="3"/>
        <v>28990.06</v>
      </c>
      <c r="K5" s="25">
        <f t="shared" si="4"/>
        <v>12115.06</v>
      </c>
      <c r="L5" s="42" t="str">
        <f t="shared" si="5"/>
        <v>☻</v>
      </c>
      <c r="M5" s="23"/>
      <c r="N5" s="23" t="s">
        <v>186</v>
      </c>
    </row>
    <row r="6" ht="16.5" customHeight="1" spans="1:14">
      <c r="A6" s="23" t="s">
        <v>188</v>
      </c>
      <c r="B6" s="25"/>
      <c r="C6" s="25">
        <v>14724.43</v>
      </c>
      <c r="D6" s="25">
        <v>14724.43</v>
      </c>
      <c r="E6" s="23" t="s">
        <v>189</v>
      </c>
      <c r="F6" s="25">
        <f>F5+B18</f>
        <v>22500</v>
      </c>
      <c r="G6" s="25">
        <f t="shared" si="0"/>
        <v>43714.49</v>
      </c>
      <c r="H6" s="25">
        <f t="shared" si="1"/>
        <v>21214.49</v>
      </c>
      <c r="I6" s="42" t="str">
        <f t="shared" si="2"/>
        <v>☻</v>
      </c>
      <c r="J6" s="25">
        <f t="shared" si="3"/>
        <v>43714.49</v>
      </c>
      <c r="K6" s="25">
        <f t="shared" si="4"/>
        <v>21214.49</v>
      </c>
      <c r="L6" s="42" t="str">
        <f t="shared" si="5"/>
        <v>☻</v>
      </c>
      <c r="M6" s="23"/>
      <c r="N6" s="23" t="s">
        <v>188</v>
      </c>
    </row>
    <row r="7" ht="16.5" customHeight="1" spans="1:14">
      <c r="A7" s="23" t="s">
        <v>190</v>
      </c>
      <c r="B7" s="25"/>
      <c r="C7" s="25">
        <v>9282.13</v>
      </c>
      <c r="D7" s="25">
        <v>9282.13</v>
      </c>
      <c r="E7" s="23" t="s">
        <v>191</v>
      </c>
      <c r="F7" s="25">
        <f>F6+B18</f>
        <v>28125</v>
      </c>
      <c r="G7" s="25">
        <f t="shared" si="0"/>
        <v>52996.62</v>
      </c>
      <c r="H7" s="25">
        <f t="shared" si="1"/>
        <v>24871.62</v>
      </c>
      <c r="I7" s="42" t="str">
        <f t="shared" si="2"/>
        <v>☻</v>
      </c>
      <c r="J7" s="25">
        <f t="shared" si="3"/>
        <v>52996.62</v>
      </c>
      <c r="K7" s="25">
        <f t="shared" si="4"/>
        <v>24871.62</v>
      </c>
      <c r="L7" s="42" t="str">
        <f t="shared" si="5"/>
        <v>☻</v>
      </c>
      <c r="M7" s="23"/>
      <c r="N7" s="23" t="s">
        <v>190</v>
      </c>
    </row>
    <row r="8" ht="16.5" customHeight="1" spans="1:14">
      <c r="A8" s="23" t="s">
        <v>192</v>
      </c>
      <c r="B8" s="25"/>
      <c r="C8" s="25">
        <v>7445.72</v>
      </c>
      <c r="D8" s="25">
        <v>7445.72</v>
      </c>
      <c r="E8" s="23" t="s">
        <v>193</v>
      </c>
      <c r="F8" s="25">
        <f>F7+B18</f>
        <v>33750</v>
      </c>
      <c r="G8" s="25">
        <f t="shared" si="0"/>
        <v>60442.34</v>
      </c>
      <c r="H8" s="25">
        <f t="shared" si="1"/>
        <v>26692.34</v>
      </c>
      <c r="I8" s="43" t="str">
        <f t="shared" si="2"/>
        <v>☻</v>
      </c>
      <c r="J8" s="25">
        <f t="shared" si="3"/>
        <v>60442.34</v>
      </c>
      <c r="K8" s="25">
        <f t="shared" si="4"/>
        <v>26692.34</v>
      </c>
      <c r="L8" s="43" t="str">
        <f t="shared" si="5"/>
        <v>☻</v>
      </c>
      <c r="M8" s="23"/>
      <c r="N8" s="23" t="s">
        <v>192</v>
      </c>
    </row>
    <row r="9" ht="16.5" customHeight="1" spans="1:14">
      <c r="A9" s="23" t="s">
        <v>194</v>
      </c>
      <c r="B9" s="25"/>
      <c r="C9" s="25">
        <v>25927.6</v>
      </c>
      <c r="D9" s="25">
        <v>25927.6</v>
      </c>
      <c r="E9" s="23" t="s">
        <v>195</v>
      </c>
      <c r="F9" s="25">
        <f>F8+B18</f>
        <v>39375</v>
      </c>
      <c r="G9" s="25">
        <f t="shared" si="0"/>
        <v>86369.94</v>
      </c>
      <c r="H9" s="25">
        <f t="shared" si="1"/>
        <v>46994.94</v>
      </c>
      <c r="I9" s="43" t="str">
        <f t="shared" si="2"/>
        <v>☻</v>
      </c>
      <c r="J9" s="25">
        <f t="shared" si="3"/>
        <v>86369.94</v>
      </c>
      <c r="K9" s="25">
        <f t="shared" si="4"/>
        <v>46994.94</v>
      </c>
      <c r="L9" s="43" t="str">
        <f t="shared" si="5"/>
        <v>☻</v>
      </c>
      <c r="M9" s="23"/>
      <c r="N9" s="23" t="s">
        <v>194</v>
      </c>
    </row>
    <row r="10" ht="16.5" customHeight="1" spans="1:14">
      <c r="A10" s="22" t="s">
        <v>196</v>
      </c>
      <c r="B10" s="25"/>
      <c r="C10" s="26"/>
      <c r="D10" s="26"/>
      <c r="E10" s="22" t="s">
        <v>197</v>
      </c>
      <c r="F10" s="27">
        <f>F9+B18</f>
        <v>45000</v>
      </c>
      <c r="G10" s="28">
        <f t="shared" si="0"/>
        <v>86369.94</v>
      </c>
      <c r="H10" s="27">
        <f t="shared" si="1"/>
        <v>41369.94</v>
      </c>
      <c r="I10" s="44" t="str">
        <f t="shared" si="2"/>
        <v>☻</v>
      </c>
      <c r="J10" s="28">
        <f t="shared" si="3"/>
        <v>86369.94</v>
      </c>
      <c r="K10" s="27">
        <f t="shared" si="4"/>
        <v>41369.94</v>
      </c>
      <c r="L10" s="44" t="str">
        <f t="shared" si="5"/>
        <v>☻</v>
      </c>
      <c r="M10" s="22"/>
      <c r="N10" s="22" t="s">
        <v>196</v>
      </c>
    </row>
    <row r="11" ht="16.5" customHeight="1" spans="1:14">
      <c r="A11" s="22" t="s">
        <v>198</v>
      </c>
      <c r="B11" s="25"/>
      <c r="C11" s="26"/>
      <c r="D11" s="26"/>
      <c r="E11" s="22" t="s">
        <v>199</v>
      </c>
      <c r="F11" s="27">
        <f>F10+B18</f>
        <v>50625</v>
      </c>
      <c r="G11" s="28">
        <f t="shared" si="0"/>
        <v>86369.94</v>
      </c>
      <c r="H11" s="27">
        <f t="shared" si="1"/>
        <v>35744.94</v>
      </c>
      <c r="I11" s="44" t="str">
        <f t="shared" si="2"/>
        <v>☻</v>
      </c>
      <c r="J11" s="28">
        <f t="shared" si="3"/>
        <v>86369.94</v>
      </c>
      <c r="K11" s="27">
        <f t="shared" si="4"/>
        <v>35744.94</v>
      </c>
      <c r="L11" s="44" t="str">
        <f t="shared" si="5"/>
        <v>☻</v>
      </c>
      <c r="M11" s="22"/>
      <c r="N11" s="22" t="s">
        <v>198</v>
      </c>
    </row>
    <row r="12" ht="16.5" customHeight="1" spans="1:14">
      <c r="A12" s="22" t="s">
        <v>200</v>
      </c>
      <c r="B12" s="25"/>
      <c r="C12" s="26"/>
      <c r="D12" s="26"/>
      <c r="E12" s="22" t="s">
        <v>201</v>
      </c>
      <c r="F12" s="27">
        <f>F11+B18</f>
        <v>56250</v>
      </c>
      <c r="G12" s="28">
        <f t="shared" si="0"/>
        <v>86369.94</v>
      </c>
      <c r="H12" s="27">
        <f t="shared" si="1"/>
        <v>30119.94</v>
      </c>
      <c r="I12" s="44" t="str">
        <f t="shared" si="2"/>
        <v>☻</v>
      </c>
      <c r="J12" s="28">
        <f t="shared" si="3"/>
        <v>86369.94</v>
      </c>
      <c r="K12" s="27">
        <f t="shared" si="4"/>
        <v>30119.94</v>
      </c>
      <c r="L12" s="44" t="str">
        <f t="shared" si="5"/>
        <v>☻</v>
      </c>
      <c r="M12" s="22"/>
      <c r="N12" s="22" t="s">
        <v>200</v>
      </c>
    </row>
    <row r="13" ht="16.5" customHeight="1" spans="1:14">
      <c r="A13" s="22" t="s">
        <v>202</v>
      </c>
      <c r="B13" s="25"/>
      <c r="C13" s="26"/>
      <c r="D13" s="26"/>
      <c r="E13" s="22" t="s">
        <v>203</v>
      </c>
      <c r="F13" s="27">
        <f>F12+B18</f>
        <v>61875</v>
      </c>
      <c r="G13" s="28">
        <f t="shared" si="0"/>
        <v>86369.94</v>
      </c>
      <c r="H13" s="27">
        <f t="shared" si="1"/>
        <v>24494.94</v>
      </c>
      <c r="I13" s="45" t="str">
        <f t="shared" si="2"/>
        <v>☻</v>
      </c>
      <c r="J13" s="28">
        <f t="shared" si="3"/>
        <v>86369.94</v>
      </c>
      <c r="K13" s="27">
        <f t="shared" si="4"/>
        <v>24494.94</v>
      </c>
      <c r="L13" s="45" t="str">
        <f t="shared" si="5"/>
        <v>☻</v>
      </c>
      <c r="M13" s="22"/>
      <c r="N13" s="22" t="s">
        <v>202</v>
      </c>
    </row>
    <row r="14" ht="16.5" customHeight="1" spans="1:14">
      <c r="A14" s="22" t="s">
        <v>204</v>
      </c>
      <c r="B14" s="25"/>
      <c r="C14" s="26"/>
      <c r="D14" s="26"/>
      <c r="E14" s="22" t="s">
        <v>205</v>
      </c>
      <c r="F14" s="27">
        <f>F13+B18</f>
        <v>67500</v>
      </c>
      <c r="G14" s="28">
        <f t="shared" si="0"/>
        <v>86369.94</v>
      </c>
      <c r="H14" s="27">
        <f t="shared" si="1"/>
        <v>18869.94</v>
      </c>
      <c r="I14" s="45" t="str">
        <f t="shared" si="2"/>
        <v>☻</v>
      </c>
      <c r="J14" s="28">
        <f t="shared" si="3"/>
        <v>86369.94</v>
      </c>
      <c r="K14" s="27">
        <f t="shared" si="4"/>
        <v>18869.94</v>
      </c>
      <c r="L14" s="45" t="str">
        <f t="shared" si="5"/>
        <v>☻</v>
      </c>
      <c r="M14" s="22"/>
      <c r="N14" s="22" t="s">
        <v>204</v>
      </c>
    </row>
    <row r="15" ht="16.5" customHeight="1" spans="1:13">
      <c r="A15" s="29" t="s">
        <v>28</v>
      </c>
      <c r="B15" s="30">
        <f>SUM(B3:B14)</f>
        <v>0</v>
      </c>
      <c r="C15" s="31">
        <f>SUM(C3:C14)</f>
        <v>86369.94</v>
      </c>
      <c r="D15" s="31">
        <f>SUM(D3:D14)</f>
        <v>86369.94</v>
      </c>
      <c r="E15" s="32"/>
      <c r="F15" s="32"/>
      <c r="G15" s="32"/>
      <c r="H15" s="32"/>
      <c r="I15" s="46"/>
      <c r="J15" s="32"/>
      <c r="K15" s="32"/>
      <c r="L15" s="46"/>
      <c r="M15" s="38"/>
    </row>
    <row r="16" ht="27" customHeight="1" spans="1:13">
      <c r="A16" s="22" t="s">
        <v>206</v>
      </c>
      <c r="B16" s="33">
        <v>67500</v>
      </c>
      <c r="C16" s="22"/>
      <c r="D16" s="22"/>
      <c r="E16" s="32"/>
      <c r="F16" s="32"/>
      <c r="G16" s="32"/>
      <c r="H16" s="32"/>
      <c r="I16" s="46"/>
      <c r="J16" s="32"/>
      <c r="K16" s="32"/>
      <c r="L16" s="46"/>
      <c r="M16" s="38"/>
    </row>
    <row r="17" ht="20.25" customHeight="1" spans="1:13">
      <c r="A17" s="22" t="s">
        <v>165</v>
      </c>
      <c r="B17" s="28">
        <f>B16-B15</f>
        <v>67500</v>
      </c>
      <c r="C17" s="28">
        <f>C15-B16</f>
        <v>18869.94</v>
      </c>
      <c r="D17" s="28">
        <f>D15-B16</f>
        <v>18869.94</v>
      </c>
      <c r="E17" s="32"/>
      <c r="G17" s="34"/>
      <c r="H17" s="32"/>
      <c r="I17" s="46"/>
      <c r="J17" s="32"/>
      <c r="K17" s="32"/>
      <c r="L17" s="46"/>
      <c r="M17" s="38"/>
    </row>
    <row r="18" ht="27" customHeight="1" spans="1:13">
      <c r="A18" s="22" t="s">
        <v>207</v>
      </c>
      <c r="B18" s="33">
        <f>B17/12</f>
        <v>5625</v>
      </c>
      <c r="C18" s="28"/>
      <c r="D18" s="28"/>
      <c r="H18" s="32"/>
      <c r="I18" s="46"/>
      <c r="J18" s="32"/>
      <c r="K18" s="32"/>
      <c r="L18" s="46"/>
      <c r="M18" s="38"/>
    </row>
    <row r="19" ht="14.25" customHeight="1" spans="1:13">
      <c r="A19" s="35" t="s">
        <v>208</v>
      </c>
      <c r="B19" s="35"/>
      <c r="C19" s="35"/>
      <c r="D19" s="36"/>
      <c r="H19" s="32"/>
      <c r="I19" s="46"/>
      <c r="J19" s="32"/>
      <c r="K19" s="32"/>
      <c r="L19" s="46"/>
      <c r="M19" s="38"/>
    </row>
    <row r="20" ht="14.25" customHeight="1" spans="1:6">
      <c r="A20" s="37" t="s">
        <v>209</v>
      </c>
      <c r="B20" s="37"/>
      <c r="C20" s="37"/>
      <c r="D20" s="36"/>
      <c r="E20" s="38"/>
      <c r="F20" s="38"/>
    </row>
    <row r="21" ht="14.25" customHeight="1" spans="1:6">
      <c r="A21" s="39" t="s">
        <v>210</v>
      </c>
      <c r="B21" s="39"/>
      <c r="C21" s="39"/>
      <c r="E21" s="38"/>
      <c r="F21" s="38"/>
    </row>
    <row r="22" ht="14.25" customHeight="1" spans="1:6">
      <c r="A22" s="40" t="s">
        <v>211</v>
      </c>
      <c r="B22" s="40"/>
      <c r="C22" s="40"/>
      <c r="D22" s="36"/>
      <c r="E22" s="38"/>
      <c r="F22" s="38"/>
    </row>
    <row r="23" ht="14.25" customHeight="1" spans="1:6">
      <c r="A23" s="40" t="s">
        <v>212</v>
      </c>
      <c r="B23" s="40"/>
      <c r="D23" s="36"/>
      <c r="E23" s="38"/>
      <c r="F23" s="38"/>
    </row>
  </sheetData>
  <mergeCells count="6">
    <mergeCell ref="A1:N1"/>
    <mergeCell ref="A19:C19"/>
    <mergeCell ref="A20:C20"/>
    <mergeCell ref="A21:C21"/>
    <mergeCell ref="A22:C22"/>
    <mergeCell ref="A23:B23"/>
  </mergeCells>
  <conditionalFormatting sqref="I3:I6">
    <cfRule type="containsText" dxfId="0" priority="8" operator="between" text="☹">
      <formula>NOT(ISERROR(SEARCH("☹",I3)))</formula>
    </cfRule>
    <cfRule type="expression" dxfId="1" priority="9" stopIfTrue="1">
      <formula>$L$19</formula>
    </cfRule>
    <cfRule type="containsText" dxfId="2" priority="7" operator="between" text="☻">
      <formula>NOT(ISERROR(SEARCH("☻",I3)))</formula>
    </cfRule>
  </conditionalFormatting>
  <conditionalFormatting sqref="I7:I14">
    <cfRule type="containsText" dxfId="0" priority="11" operator="between" text="☹">
      <formula>NOT(ISERROR(SEARCH("☹",I7)))</formula>
    </cfRule>
    <cfRule type="expression" dxfId="1" priority="12" stopIfTrue="1">
      <formula>$L$19</formula>
    </cfRule>
    <cfRule type="containsText" dxfId="2" priority="10" operator="between" text="☻">
      <formula>NOT(ISERROR(SEARCH("☻",I7)))</formula>
    </cfRule>
  </conditionalFormatting>
  <conditionalFormatting sqref="L3:L6">
    <cfRule type="containsText" dxfId="0" priority="2" operator="between" text="☹">
      <formula>NOT(ISERROR(SEARCH("☹",L3)))</formula>
    </cfRule>
    <cfRule type="expression" dxfId="1" priority="3" stopIfTrue="1">
      <formula>$L$19</formula>
    </cfRule>
    <cfRule type="containsText" dxfId="2" priority="1" operator="between" text="☻">
      <formula>NOT(ISERROR(SEARCH("☻",L3)))</formula>
    </cfRule>
  </conditionalFormatting>
  <conditionalFormatting sqref="L7:L14">
    <cfRule type="containsText" dxfId="0" priority="5" operator="between" text="☹">
      <formula>NOT(ISERROR(SEARCH("☹",L7)))</formula>
    </cfRule>
    <cfRule type="expression" dxfId="1" priority="6" stopIfTrue="1">
      <formula>$L$19</formula>
    </cfRule>
    <cfRule type="containsText" dxfId="2" priority="4" operator="between" text="☻">
      <formula>NOT(ISERROR(SEARCH("☻",L7)))</formula>
    </cfRule>
  </conditionalFormatting>
  <pageMargins left="0.699305555555556" right="0.699305555555556" top="0.75" bottom="0.75" header="0.3" footer="0.3"/>
  <pageSetup paperSize="9" orientation="portrait" horizontalDpi="203" verticalDpi="20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0"/>
  <sheetViews>
    <sheetView tabSelected="1" zoomScale="115" zoomScaleNormal="115" workbookViewId="0">
      <pane xSplit="1" ySplit="1" topLeftCell="B2" activePane="bottomRight" state="frozen"/>
      <selection/>
      <selection pane="topRight"/>
      <selection pane="bottomLeft"/>
      <selection pane="bottomRight" activeCell="U4" sqref="U4"/>
    </sheetView>
  </sheetViews>
  <sheetFormatPr defaultColWidth="9" defaultRowHeight="13.5"/>
  <cols>
    <col min="1" max="1" width="18.8833333333333" style="1" customWidth="1"/>
    <col min="2" max="6" width="10.8833333333333" style="5" customWidth="1"/>
    <col min="7" max="7" width="11.5583333333333" style="5" customWidth="1"/>
    <col min="8" max="8" width="12" style="5" customWidth="1"/>
    <col min="9" max="9" width="12.1083333333333" style="5" customWidth="1"/>
    <col min="10" max="10" width="11.775" style="5" customWidth="1"/>
    <col min="11" max="11" width="11.4416666666667" style="5" customWidth="1"/>
    <col min="12" max="12" width="11.3333333333333" style="5" customWidth="1"/>
    <col min="13" max="13" width="12.3333333333333" style="5" customWidth="1"/>
    <col min="14" max="14" width="12" style="5" customWidth="1"/>
    <col min="15" max="15" width="11.4416666666667" style="5" customWidth="1"/>
    <col min="16" max="16" width="12.4416666666667" style="5" customWidth="1"/>
    <col min="17" max="17" width="12.1083333333333" style="5" customWidth="1"/>
    <col min="18" max="18" width="12" style="5" customWidth="1"/>
    <col min="19" max="19" width="12.4416666666667" style="5" customWidth="1"/>
    <col min="20" max="20" width="13" style="5" customWidth="1"/>
    <col min="21" max="51" width="11.8833333333333" style="5" customWidth="1"/>
    <col min="52" max="54" width="11" style="5" customWidth="1"/>
    <col min="55" max="55" width="12.6666666666667" style="5" customWidth="1"/>
    <col min="56" max="56" width="13.3333333333333" style="5" customWidth="1"/>
    <col min="57" max="57" width="12.1083333333333" style="5" customWidth="1"/>
    <col min="58" max="16384" width="9" style="1"/>
  </cols>
  <sheetData>
    <row r="1" spans="1:57">
      <c r="A1" s="2" t="s">
        <v>220</v>
      </c>
      <c r="B1" s="6">
        <v>43223</v>
      </c>
      <c r="C1" s="6">
        <v>43252</v>
      </c>
      <c r="D1" s="6">
        <v>43286</v>
      </c>
      <c r="E1" s="6">
        <v>43318</v>
      </c>
      <c r="F1" s="6">
        <v>43350</v>
      </c>
      <c r="G1" s="6">
        <v>43381</v>
      </c>
      <c r="H1" s="6">
        <v>43415</v>
      </c>
      <c r="I1" s="6">
        <v>43446</v>
      </c>
      <c r="J1" s="18">
        <v>43466</v>
      </c>
      <c r="K1" s="18">
        <v>43498</v>
      </c>
      <c r="L1" s="18">
        <v>43527</v>
      </c>
      <c r="M1" s="18">
        <v>43559</v>
      </c>
      <c r="N1" s="18">
        <v>43590</v>
      </c>
      <c r="O1" s="18">
        <v>43622</v>
      </c>
      <c r="P1" s="18">
        <v>43653</v>
      </c>
      <c r="Q1" s="18">
        <v>43685</v>
      </c>
      <c r="R1" s="18">
        <v>43717</v>
      </c>
      <c r="S1" s="18">
        <v>43748</v>
      </c>
      <c r="T1" s="18">
        <v>43780</v>
      </c>
      <c r="U1" s="18">
        <v>43811</v>
      </c>
      <c r="V1" s="18">
        <v>43842</v>
      </c>
      <c r="W1" s="18">
        <v>43873</v>
      </c>
      <c r="X1" s="18">
        <v>43904</v>
      </c>
      <c r="Y1" s="18">
        <v>43935</v>
      </c>
      <c r="Z1" s="18">
        <v>43966</v>
      </c>
      <c r="AA1" s="18">
        <v>43997</v>
      </c>
      <c r="AB1" s="18">
        <v>44028</v>
      </c>
      <c r="AC1" s="18">
        <v>44059</v>
      </c>
      <c r="AD1" s="18">
        <v>44090</v>
      </c>
      <c r="AE1" s="18">
        <v>44121</v>
      </c>
      <c r="AF1" s="18">
        <v>44152</v>
      </c>
      <c r="AG1" s="18">
        <v>44183</v>
      </c>
      <c r="AH1" s="18">
        <v>44214</v>
      </c>
      <c r="AI1" s="18">
        <v>44245</v>
      </c>
      <c r="AJ1" s="18">
        <v>44276</v>
      </c>
      <c r="AK1" s="18">
        <v>44307</v>
      </c>
      <c r="AL1" s="18">
        <v>44338</v>
      </c>
      <c r="AM1" s="18">
        <v>44369</v>
      </c>
      <c r="AN1" s="18">
        <v>44400</v>
      </c>
      <c r="AO1" s="18">
        <v>44431</v>
      </c>
      <c r="AP1" s="18">
        <v>44462</v>
      </c>
      <c r="AQ1" s="18">
        <v>44493</v>
      </c>
      <c r="AR1" s="18">
        <v>44524</v>
      </c>
      <c r="AS1" s="18">
        <v>44555</v>
      </c>
      <c r="AT1" s="18">
        <v>44586</v>
      </c>
      <c r="AU1" s="18">
        <v>44617</v>
      </c>
      <c r="AV1" s="18">
        <v>44648</v>
      </c>
      <c r="AW1" s="18">
        <v>44679</v>
      </c>
      <c r="AX1" s="18">
        <v>44710</v>
      </c>
      <c r="AY1" s="18">
        <v>44741</v>
      </c>
      <c r="AZ1" s="18">
        <v>44772</v>
      </c>
      <c r="BA1" s="18">
        <v>44803</v>
      </c>
      <c r="BB1" s="18">
        <v>44834</v>
      </c>
      <c r="BC1" s="18">
        <v>44865</v>
      </c>
      <c r="BD1" s="18">
        <v>44866</v>
      </c>
      <c r="BE1" s="18">
        <v>44896</v>
      </c>
    </row>
    <row r="2" spans="1:57">
      <c r="A2" s="7" t="s">
        <v>86</v>
      </c>
      <c r="B2" s="8"/>
      <c r="C2" s="9">
        <v>-466275.935517241</v>
      </c>
      <c r="D2" s="9">
        <v>-346499.743471264</v>
      </c>
      <c r="E2" s="9">
        <v>-358581.027471264</v>
      </c>
      <c r="F2" s="9">
        <v>-81364.5355172413</v>
      </c>
      <c r="G2" s="9">
        <v>-80054.4274712643</v>
      </c>
      <c r="H2" s="9">
        <v>-298483.347471264</v>
      </c>
      <c r="I2" s="9">
        <v>-99882.2555172413</v>
      </c>
      <c r="J2" s="9">
        <v>1168505.85172414</v>
      </c>
      <c r="K2" s="9">
        <v>-185466.668275862</v>
      </c>
      <c r="L2" s="9">
        <v>-107359.248275862</v>
      </c>
      <c r="M2" s="9">
        <v>-102621.081609195</v>
      </c>
      <c r="N2" s="9">
        <v>-144777.081609195</v>
      </c>
      <c r="O2" s="9">
        <v>-257114.605747127</v>
      </c>
      <c r="P2" s="9">
        <v>-168352.964275862</v>
      </c>
      <c r="Q2" s="9">
        <v>-164434.548275862</v>
      </c>
      <c r="R2" s="9">
        <v>-133332.805747126</v>
      </c>
      <c r="S2" s="9">
        <v>-131121.548275862</v>
      </c>
      <c r="T2" s="9">
        <v>-390566.628275862</v>
      </c>
      <c r="U2" s="9">
        <v>-179215.405747126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</row>
    <row r="3" spans="1:57">
      <c r="A3" s="7" t="s">
        <v>221</v>
      </c>
      <c r="B3" s="8">
        <v>0</v>
      </c>
      <c r="C3" s="9">
        <v>6615</v>
      </c>
      <c r="D3" s="9">
        <v>6615</v>
      </c>
      <c r="E3" s="9">
        <v>6615</v>
      </c>
      <c r="F3" s="9">
        <v>44689</v>
      </c>
      <c r="G3" s="9">
        <v>44689</v>
      </c>
      <c r="H3" s="9">
        <v>44689</v>
      </c>
      <c r="I3" s="9">
        <v>44689</v>
      </c>
      <c r="J3" s="9">
        <v>99689</v>
      </c>
      <c r="K3" s="9">
        <v>99689</v>
      </c>
      <c r="L3" s="9">
        <v>99689</v>
      </c>
      <c r="M3" s="9">
        <v>99689</v>
      </c>
      <c r="N3" s="9">
        <v>99689</v>
      </c>
      <c r="O3" s="9">
        <v>99689</v>
      </c>
      <c r="P3" s="9">
        <v>99689</v>
      </c>
      <c r="Q3" s="9">
        <v>99689</v>
      </c>
      <c r="R3" s="9">
        <v>99689</v>
      </c>
      <c r="S3" s="9">
        <v>99689</v>
      </c>
      <c r="T3" s="9">
        <v>99689</v>
      </c>
      <c r="U3" s="9">
        <v>99689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</row>
    <row r="4" spans="1:57">
      <c r="A4" s="7" t="s">
        <v>222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</row>
    <row r="5" spans="1:57">
      <c r="A5" s="7" t="s">
        <v>223</v>
      </c>
      <c r="B5" s="8"/>
      <c r="C5" s="8"/>
      <c r="D5" s="8"/>
      <c r="E5" s="8"/>
      <c r="F5" s="8"/>
      <c r="G5" s="8"/>
      <c r="H5" s="8"/>
      <c r="I5" s="8"/>
      <c r="J5" s="10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</row>
    <row r="6" s="1" customFormat="1" spans="1:57">
      <c r="A6" s="7" t="s">
        <v>224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</row>
    <row r="7" spans="1:57">
      <c r="A7" s="7" t="s">
        <v>225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</row>
    <row r="8" spans="1:57">
      <c r="A8" s="7" t="s">
        <v>226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</row>
    <row r="9" spans="1:57">
      <c r="A9" s="7" t="s">
        <v>227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</row>
    <row r="10" spans="1:57">
      <c r="A10" s="7" t="s">
        <v>228</v>
      </c>
      <c r="B10" s="8">
        <v>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</row>
    <row r="11" spans="1:57">
      <c r="A11" s="7" t="s">
        <v>229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</row>
    <row r="12" spans="1:57">
      <c r="A12" s="7" t="s">
        <v>230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</row>
    <row r="13" spans="1:57">
      <c r="A13" s="7" t="s">
        <v>231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</row>
    <row r="14" spans="1:57">
      <c r="A14" s="7" t="s">
        <v>232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</row>
    <row r="15" spans="1:57">
      <c r="A15" s="7" t="s">
        <v>233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</row>
    <row r="16" spans="1:57">
      <c r="A16" s="7" t="s">
        <v>234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</row>
    <row r="17" spans="1:57">
      <c r="A17" s="11" t="s">
        <v>235</v>
      </c>
      <c r="B17" s="8"/>
      <c r="C17" s="8">
        <f>SUM(C2:C16)</f>
        <v>-459660.935517241</v>
      </c>
      <c r="D17" s="8">
        <f>SUM(D2:D16)</f>
        <v>-339884.743471264</v>
      </c>
      <c r="E17" s="8">
        <f>SUM(E2:E16)</f>
        <v>-351966.027471264</v>
      </c>
      <c r="F17" s="8">
        <f>SUM(F2:F16)</f>
        <v>-36675.5355172413</v>
      </c>
      <c r="G17" s="8">
        <f>SUM(G2:G16)</f>
        <v>-35365.4274712643</v>
      </c>
      <c r="H17" s="8">
        <f>SUM(H2:H16)</f>
        <v>-253794.347471264</v>
      </c>
      <c r="I17" s="8">
        <f>SUM(I2:I16)</f>
        <v>-55193.2555172413</v>
      </c>
      <c r="J17" s="8">
        <f>SUM(J2:J16)</f>
        <v>1268194.85172414</v>
      </c>
      <c r="K17" s="8">
        <f>SUM(K2:K16)</f>
        <v>-85777.6682758621</v>
      </c>
      <c r="L17" s="8">
        <f>SUM(L2:L16)</f>
        <v>-7670.24827586208</v>
      </c>
      <c r="M17" s="8">
        <f>SUM(M2:M16)</f>
        <v>-2932.08160919545</v>
      </c>
      <c r="N17" s="8">
        <f>SUM(N2:N16)</f>
        <v>-45088.0816091954</v>
      </c>
      <c r="O17" s="8">
        <f>SUM(O2:O16)</f>
        <v>-157425.605747127</v>
      </c>
      <c r="P17" s="8">
        <f>SUM(P2:P16)</f>
        <v>-68663.9642758621</v>
      </c>
      <c r="Q17" s="8">
        <f>SUM(Q2:Q16)</f>
        <v>-64745.5482758621</v>
      </c>
      <c r="R17" s="8">
        <f>SUM(R2:R16)</f>
        <v>-33643.8057471264</v>
      </c>
      <c r="S17" s="8">
        <f>SUM(S2:S16)</f>
        <v>-31432.5482758621</v>
      </c>
      <c r="T17" s="8">
        <f>SUM(T2:T16)</f>
        <v>-290877.628275862</v>
      </c>
      <c r="U17" s="8">
        <f>SUM(U2:U16)</f>
        <v>-79526.4057471264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>
      <c r="A18" s="12" t="s">
        <v>236</v>
      </c>
      <c r="B18" s="8">
        <v>284081.2678</v>
      </c>
      <c r="C18" s="8">
        <f>B18+C17</f>
        <v>-175579.667717241</v>
      </c>
      <c r="D18" s="8">
        <f t="shared" ref="C18:U18" si="0">C18+D17</f>
        <v>-515464.411188505</v>
      </c>
      <c r="E18" s="8">
        <f t="shared" si="0"/>
        <v>-867430.438659769</v>
      </c>
      <c r="F18" s="8">
        <f t="shared" si="0"/>
        <v>-904105.974177011</v>
      </c>
      <c r="G18" s="8">
        <f t="shared" si="0"/>
        <v>-939471.401648275</v>
      </c>
      <c r="H18" s="8">
        <f t="shared" si="0"/>
        <v>-1193265.74911954</v>
      </c>
      <c r="I18" s="8">
        <f t="shared" si="0"/>
        <v>-1248459.00463678</v>
      </c>
      <c r="J18" s="8">
        <f t="shared" si="0"/>
        <v>19735.8470873574</v>
      </c>
      <c r="K18" s="8">
        <f t="shared" si="0"/>
        <v>-66041.8211885047</v>
      </c>
      <c r="L18" s="8">
        <f t="shared" si="0"/>
        <v>-73712.0694643668</v>
      </c>
      <c r="M18" s="8">
        <f t="shared" si="0"/>
        <v>-76644.1510735622</v>
      </c>
      <c r="N18" s="8">
        <f t="shared" si="0"/>
        <v>-121732.232682758</v>
      </c>
      <c r="O18" s="8">
        <f t="shared" si="0"/>
        <v>-279157.838429884</v>
      </c>
      <c r="P18" s="8">
        <f t="shared" si="0"/>
        <v>-347821.802705746</v>
      </c>
      <c r="Q18" s="8">
        <f t="shared" si="0"/>
        <v>-412567.350981608</v>
      </c>
      <c r="R18" s="8">
        <f t="shared" si="0"/>
        <v>-446211.156728735</v>
      </c>
      <c r="S18" s="8">
        <f t="shared" si="0"/>
        <v>-477643.705004597</v>
      </c>
      <c r="T18" s="8">
        <f t="shared" si="0"/>
        <v>-768521.333280459</v>
      </c>
      <c r="U18" s="8">
        <f t="shared" si="0"/>
        <v>-848047.739027585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="1" customFormat="1" spans="1:57">
      <c r="A19" s="13" t="s">
        <v>237</v>
      </c>
      <c r="B19" s="14"/>
      <c r="C19" s="14">
        <v>20914.4538888889</v>
      </c>
      <c r="D19" s="14">
        <v>21277.7497030651</v>
      </c>
      <c r="E19" s="14">
        <v>23235.889683908</v>
      </c>
      <c r="F19" s="14">
        <v>23490.9841187739</v>
      </c>
      <c r="G19" s="14">
        <v>23434.0199329502</v>
      </c>
      <c r="H19" s="14">
        <v>23292.1940804598</v>
      </c>
      <c r="I19" s="14">
        <v>23228.1435153257</v>
      </c>
      <c r="J19" s="8">
        <v>22898.1787835249</v>
      </c>
      <c r="K19" s="8">
        <v>20919.9009770115</v>
      </c>
      <c r="L19" s="8">
        <v>19491.0975574713</v>
      </c>
      <c r="M19" s="8">
        <v>21601.4051819923</v>
      </c>
      <c r="N19" s="8">
        <v>22202.7777777778</v>
      </c>
      <c r="O19" s="8">
        <v>22638.6973180077</v>
      </c>
      <c r="P19" s="8">
        <v>23048.4674329502</v>
      </c>
      <c r="Q19" s="8">
        <v>21750</v>
      </c>
      <c r="R19" s="8">
        <v>22077.0114942529</v>
      </c>
      <c r="S19" s="8">
        <v>22611.6858237548</v>
      </c>
      <c r="T19" s="8">
        <v>23021.4559386973</v>
      </c>
      <c r="U19" s="8">
        <v>23348.4674329502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ht="18.75" spans="1:57">
      <c r="A20" s="15" t="s">
        <v>238</v>
      </c>
      <c r="B20" s="16"/>
      <c r="C20" s="16">
        <f>C18/C19</f>
        <v>-8.39513518497943</v>
      </c>
      <c r="D20" s="16">
        <f t="shared" ref="D20:E20" si="1">D18/D19</f>
        <v>-24.225513429846</v>
      </c>
      <c r="E20" s="16">
        <f t="shared" si="1"/>
        <v>-37.3314923792442</v>
      </c>
      <c r="F20" s="17">
        <f>F18/F19</f>
        <v>-38.4873604956573</v>
      </c>
      <c r="G20" s="16">
        <f>G18/G19</f>
        <v>-40.090065824656</v>
      </c>
      <c r="H20" s="16">
        <f>H18/H19</f>
        <v>-51.2302853478535</v>
      </c>
      <c r="I20" s="16">
        <f>I18/I19</f>
        <v>-53.7476877484014</v>
      </c>
      <c r="J20" s="16">
        <f>J18/J19</f>
        <v>0.861895929538171</v>
      </c>
      <c r="K20" s="16">
        <f>K18/K19</f>
        <v>-3.15688976066745</v>
      </c>
      <c r="L20" s="16">
        <f>L18/L19</f>
        <v>-3.78183266729952</v>
      </c>
      <c r="M20" s="16">
        <f>M18/M19</f>
        <v>-3.54810950620266</v>
      </c>
      <c r="N20" s="16">
        <f>N18/N19</f>
        <v>-5.48274787511482</v>
      </c>
      <c r="O20" s="16">
        <f>O18/O19</f>
        <v>-12.3310027299067</v>
      </c>
      <c r="P20" s="16">
        <f>P18/P19</f>
        <v>-15.0908863557886</v>
      </c>
      <c r="Q20" s="16">
        <f>Q18/Q19</f>
        <v>-18.9686138382349</v>
      </c>
      <c r="R20" s="16">
        <f>R18/R19</f>
        <v>-20.2115742361638</v>
      </c>
      <c r="S20" s="16">
        <f>S18/S19</f>
        <v>-21.1237547137156</v>
      </c>
      <c r="T20" s="16">
        <f>T18/T19</f>
        <v>-33.3828292757381</v>
      </c>
      <c r="U20" s="16">
        <f>U18/U19</f>
        <v>-36.3213449217994</v>
      </c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</row>
  </sheetData>
  <pageMargins left="0.699305555555556" right="0.699305555555556" top="0.75" bottom="0.75" header="0.3" footer="0.3"/>
  <pageSetup paperSize="9" orientation="portrait"/>
  <headerFooter/>
  <ignoredErrors>
    <ignoredError sqref="D17:G17 H17:U1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3"/>
  <sheetViews>
    <sheetView workbookViewId="0">
      <selection activeCell="A1" sqref="A1:F26"/>
    </sheetView>
  </sheetViews>
  <sheetFormatPr defaultColWidth="9" defaultRowHeight="13.5"/>
  <cols>
    <col min="1" max="1" width="17.4416666666667" style="1" customWidth="1"/>
    <col min="2" max="6" width="9" style="1"/>
    <col min="7" max="15" width="9.44166666666667" style="1" customWidth="1"/>
    <col min="16" max="18" width="10.4416666666667" style="1" customWidth="1"/>
    <col min="19" max="16384" width="9" style="1"/>
  </cols>
  <sheetData>
    <row r="1" spans="1:6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/>
    </row>
    <row r="2" spans="1:6">
      <c r="A2" s="2" t="s">
        <v>244</v>
      </c>
      <c r="B2" s="2">
        <v>1</v>
      </c>
      <c r="C2" s="2" t="s">
        <v>245</v>
      </c>
      <c r="D2" s="2">
        <v>10000</v>
      </c>
      <c r="E2" s="2">
        <f>D2*B2</f>
        <v>10000</v>
      </c>
      <c r="F2" s="2" t="s">
        <v>246</v>
      </c>
    </row>
    <row r="3" spans="1:6">
      <c r="A3" s="2" t="s">
        <v>244</v>
      </c>
      <c r="B3" s="2">
        <v>1</v>
      </c>
      <c r="C3" s="2" t="s">
        <v>245</v>
      </c>
      <c r="D3" s="2">
        <v>2500</v>
      </c>
      <c r="E3" s="2">
        <f>D3*B3</f>
        <v>2500</v>
      </c>
      <c r="F3" s="2" t="s">
        <v>247</v>
      </c>
    </row>
    <row r="4" spans="1:6">
      <c r="A4" s="2" t="s">
        <v>244</v>
      </c>
      <c r="B4" s="2">
        <v>568</v>
      </c>
      <c r="C4" s="2" t="s">
        <v>245</v>
      </c>
      <c r="D4" s="2">
        <v>23</v>
      </c>
      <c r="E4" s="2">
        <f>D4*B4*12</f>
        <v>156768</v>
      </c>
      <c r="F4" s="2" t="s">
        <v>248</v>
      </c>
    </row>
    <row r="5" spans="1:6">
      <c r="A5" s="2" t="s">
        <v>249</v>
      </c>
      <c r="B5" s="2">
        <v>3</v>
      </c>
      <c r="C5" s="2" t="s">
        <v>250</v>
      </c>
      <c r="D5" s="2">
        <f>80*30</f>
        <v>2400</v>
      </c>
      <c r="E5" s="2">
        <f>D5*B5*12</f>
        <v>86400</v>
      </c>
      <c r="F5" s="2"/>
    </row>
    <row r="6" spans="1:6">
      <c r="A6" s="2" t="s">
        <v>251</v>
      </c>
      <c r="B6" s="2">
        <v>30</v>
      </c>
      <c r="C6" s="2" t="s">
        <v>252</v>
      </c>
      <c r="D6" s="2">
        <v>470</v>
      </c>
      <c r="E6" s="2">
        <f>D6*B6</f>
        <v>14100</v>
      </c>
      <c r="F6" s="3" t="s">
        <v>253</v>
      </c>
    </row>
    <row r="7" spans="1:6">
      <c r="A7" s="2" t="s">
        <v>254</v>
      </c>
      <c r="B7" s="2">
        <v>40</v>
      </c>
      <c r="C7" s="2" t="s">
        <v>252</v>
      </c>
      <c r="D7" s="2">
        <v>60</v>
      </c>
      <c r="E7" s="2">
        <f>D7*B7</f>
        <v>2400</v>
      </c>
      <c r="F7" s="3" t="s">
        <v>253</v>
      </c>
    </row>
    <row r="8" spans="1:6">
      <c r="A8" s="2" t="s">
        <v>255</v>
      </c>
      <c r="B8" s="2">
        <v>3</v>
      </c>
      <c r="C8" s="3" t="s">
        <v>256</v>
      </c>
      <c r="D8" s="2">
        <v>5000</v>
      </c>
      <c r="E8" s="2">
        <f>D8*B8</f>
        <v>15000</v>
      </c>
      <c r="F8" s="2"/>
    </row>
    <row r="9" spans="1:6">
      <c r="A9" s="2" t="s">
        <v>257</v>
      </c>
      <c r="B9" s="2">
        <v>3</v>
      </c>
      <c r="C9" s="2" t="s">
        <v>256</v>
      </c>
      <c r="D9" s="2">
        <v>355</v>
      </c>
      <c r="E9" s="2">
        <f t="shared" ref="E9:E17" si="0">D9*B9</f>
        <v>1065</v>
      </c>
      <c r="F9" s="2"/>
    </row>
    <row r="10" spans="1:6">
      <c r="A10" s="2" t="s">
        <v>258</v>
      </c>
      <c r="B10" s="2">
        <v>1</v>
      </c>
      <c r="C10" s="2" t="s">
        <v>256</v>
      </c>
      <c r="D10" s="2">
        <v>2000</v>
      </c>
      <c r="E10" s="2">
        <f t="shared" si="0"/>
        <v>2000</v>
      </c>
      <c r="F10" s="2"/>
    </row>
    <row r="11" spans="1:6">
      <c r="A11" s="2" t="s">
        <v>259</v>
      </c>
      <c r="B11" s="2">
        <v>1</v>
      </c>
      <c r="C11" s="2" t="s">
        <v>260</v>
      </c>
      <c r="D11" s="2">
        <v>1900</v>
      </c>
      <c r="E11" s="2">
        <f t="shared" si="0"/>
        <v>1900</v>
      </c>
      <c r="F11" s="2"/>
    </row>
    <row r="12" spans="1:6">
      <c r="A12" s="2" t="s">
        <v>259</v>
      </c>
      <c r="B12" s="2">
        <v>1</v>
      </c>
      <c r="C12" s="2" t="s">
        <v>261</v>
      </c>
      <c r="D12" s="2">
        <v>1900</v>
      </c>
      <c r="E12" s="2">
        <f t="shared" si="0"/>
        <v>1900</v>
      </c>
      <c r="F12" s="2"/>
    </row>
    <row r="13" spans="1:6">
      <c r="A13" s="2" t="s">
        <v>262</v>
      </c>
      <c r="B13" s="2">
        <v>10</v>
      </c>
      <c r="C13" s="2" t="s">
        <v>263</v>
      </c>
      <c r="D13" s="2">
        <v>35</v>
      </c>
      <c r="E13" s="2">
        <f t="shared" si="0"/>
        <v>350</v>
      </c>
      <c r="F13" s="2"/>
    </row>
    <row r="14" spans="1:6">
      <c r="A14" s="2" t="s">
        <v>262</v>
      </c>
      <c r="B14" s="2">
        <v>10</v>
      </c>
      <c r="C14" s="2" t="s">
        <v>264</v>
      </c>
      <c r="D14" s="2">
        <v>35</v>
      </c>
      <c r="E14" s="2">
        <f t="shared" si="0"/>
        <v>350</v>
      </c>
      <c r="F14" s="2"/>
    </row>
    <row r="15" spans="1:6">
      <c r="A15" s="2" t="s">
        <v>265</v>
      </c>
      <c r="B15" s="2">
        <v>50</v>
      </c>
      <c r="C15" s="2" t="s">
        <v>266</v>
      </c>
      <c r="D15" s="2">
        <v>7.7</v>
      </c>
      <c r="E15" s="2">
        <f t="shared" si="0"/>
        <v>385</v>
      </c>
      <c r="F15" s="2"/>
    </row>
    <row r="16" spans="1:6">
      <c r="A16" s="2" t="s">
        <v>265</v>
      </c>
      <c r="B16" s="2">
        <v>150</v>
      </c>
      <c r="C16" s="2" t="s">
        <v>267</v>
      </c>
      <c r="D16" s="2">
        <v>8</v>
      </c>
      <c r="E16" s="2">
        <f t="shared" si="0"/>
        <v>1200</v>
      </c>
      <c r="F16" s="2"/>
    </row>
    <row r="17" spans="1:6">
      <c r="A17" s="2" t="s">
        <v>265</v>
      </c>
      <c r="B17" s="2">
        <v>150</v>
      </c>
      <c r="C17" s="2" t="s">
        <v>268</v>
      </c>
      <c r="D17" s="2">
        <v>8.6</v>
      </c>
      <c r="E17" s="2">
        <f t="shared" si="0"/>
        <v>1290</v>
      </c>
      <c r="F17" s="2"/>
    </row>
    <row r="18" spans="1:6">
      <c r="A18" s="2" t="s">
        <v>265</v>
      </c>
      <c r="B18" s="2">
        <v>150</v>
      </c>
      <c r="C18" s="2" t="s">
        <v>269</v>
      </c>
      <c r="D18" s="2">
        <v>9.3</v>
      </c>
      <c r="E18" s="2">
        <f t="shared" ref="E18:E26" si="1">D18*B18</f>
        <v>1395</v>
      </c>
      <c r="F18" s="2"/>
    </row>
    <row r="19" spans="1:6">
      <c r="A19" s="2" t="s">
        <v>265</v>
      </c>
      <c r="B19" s="2">
        <v>150</v>
      </c>
      <c r="C19" s="2" t="s">
        <v>270</v>
      </c>
      <c r="D19" s="2">
        <v>10</v>
      </c>
      <c r="E19" s="2">
        <f t="shared" si="1"/>
        <v>1500</v>
      </c>
      <c r="F19" s="2"/>
    </row>
    <row r="20" spans="1:6">
      <c r="A20" s="2" t="s">
        <v>265</v>
      </c>
      <c r="B20" s="2">
        <v>150</v>
      </c>
      <c r="C20" s="2" t="s">
        <v>271</v>
      </c>
      <c r="D20" s="2">
        <v>10.8</v>
      </c>
      <c r="E20" s="2">
        <f t="shared" si="1"/>
        <v>1620</v>
      </c>
      <c r="F20" s="2"/>
    </row>
    <row r="21" spans="1:6">
      <c r="A21" s="2" t="s">
        <v>265</v>
      </c>
      <c r="B21" s="2">
        <v>50</v>
      </c>
      <c r="C21" s="2" t="s">
        <v>272</v>
      </c>
      <c r="D21" s="2">
        <v>11.4</v>
      </c>
      <c r="E21" s="2">
        <f t="shared" si="1"/>
        <v>570</v>
      </c>
      <c r="F21" s="2"/>
    </row>
    <row r="22" spans="1:6">
      <c r="A22" s="2" t="s">
        <v>265</v>
      </c>
      <c r="B22" s="2">
        <v>50</v>
      </c>
      <c r="C22" s="2" t="s">
        <v>273</v>
      </c>
      <c r="D22" s="2">
        <v>12</v>
      </c>
      <c r="E22" s="2">
        <f t="shared" si="1"/>
        <v>600</v>
      </c>
      <c r="F22" s="2"/>
    </row>
    <row r="23" spans="1:6">
      <c r="A23" s="2" t="s">
        <v>265</v>
      </c>
      <c r="B23" s="2">
        <v>50</v>
      </c>
      <c r="C23" s="3" t="s">
        <v>274</v>
      </c>
      <c r="D23" s="2">
        <v>12.6</v>
      </c>
      <c r="E23" s="2">
        <f t="shared" si="1"/>
        <v>630</v>
      </c>
      <c r="F23" s="2"/>
    </row>
    <row r="24" spans="1:6">
      <c r="A24" s="2" t="s">
        <v>275</v>
      </c>
      <c r="B24" s="2">
        <v>108</v>
      </c>
      <c r="C24" s="2" t="s">
        <v>276</v>
      </c>
      <c r="D24" s="2">
        <v>6.5</v>
      </c>
      <c r="E24" s="2">
        <f t="shared" si="1"/>
        <v>702</v>
      </c>
      <c r="F24" s="2"/>
    </row>
    <row r="25" spans="1:6">
      <c r="A25" s="2" t="s">
        <v>277</v>
      </c>
      <c r="B25" s="2">
        <v>24</v>
      </c>
      <c r="C25" s="2" t="s">
        <v>278</v>
      </c>
      <c r="D25" s="2">
        <v>0.55</v>
      </c>
      <c r="E25" s="2">
        <f t="shared" si="1"/>
        <v>13.2</v>
      </c>
      <c r="F25" s="2"/>
    </row>
    <row r="26" spans="1:6">
      <c r="A26" s="2" t="s">
        <v>279</v>
      </c>
      <c r="B26" s="2">
        <v>24</v>
      </c>
      <c r="C26" s="2" t="s">
        <v>278</v>
      </c>
      <c r="D26" s="2">
        <v>0.8</v>
      </c>
      <c r="E26" s="2">
        <f t="shared" si="1"/>
        <v>19.2</v>
      </c>
      <c r="F26" s="2"/>
    </row>
    <row r="27" spans="5:5">
      <c r="E27" s="1">
        <f>SUM(E2:E26)</f>
        <v>304657.4</v>
      </c>
    </row>
    <row r="33" spans="7:47"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">
        <f>'17收入'!AF26</f>
        <v>0</v>
      </c>
      <c r="T33" s="1">
        <f>'17收入'!AG26</f>
        <v>0</v>
      </c>
      <c r="U33" s="1">
        <f>'17收入'!AH26</f>
        <v>0</v>
      </c>
      <c r="V33" s="1">
        <f>'17收入'!AI26</f>
        <v>0</v>
      </c>
      <c r="W33" s="1">
        <f>'17收入'!AJ26</f>
        <v>0</v>
      </c>
      <c r="X33" s="1">
        <f>'17收入'!AK26</f>
        <v>0</v>
      </c>
      <c r="Y33" s="1">
        <f>'17收入'!AL26</f>
        <v>0</v>
      </c>
      <c r="Z33" s="1">
        <f>'17收入'!AM26</f>
        <v>0</v>
      </c>
      <c r="AA33" s="1">
        <f>'17收入'!AN26</f>
        <v>0</v>
      </c>
      <c r="AB33" s="1">
        <f>'17收入'!AO26</f>
        <v>0</v>
      </c>
      <c r="AC33" s="1">
        <f>'17收入'!AP26</f>
        <v>0</v>
      </c>
      <c r="AD33" s="1">
        <f>'17收入'!AQ26</f>
        <v>0</v>
      </c>
      <c r="AE33" s="1">
        <f>'17收入'!AR26</f>
        <v>0</v>
      </c>
      <c r="AF33" s="1">
        <f>'17收入'!AS26</f>
        <v>0</v>
      </c>
      <c r="AG33" s="1">
        <f>'17收入'!AT26</f>
        <v>0</v>
      </c>
      <c r="AH33" s="1">
        <f>'17收入'!AU26</f>
        <v>0</v>
      </c>
      <c r="AI33" s="1">
        <f>'17收入'!AV26</f>
        <v>0</v>
      </c>
      <c r="AJ33" s="1">
        <f>'17收入'!AW26</f>
        <v>0</v>
      </c>
      <c r="AK33" s="1">
        <f>'17收入'!AX26</f>
        <v>0</v>
      </c>
      <c r="AL33" s="1">
        <f>'17收入'!AY26</f>
        <v>0</v>
      </c>
      <c r="AM33" s="1">
        <f>'17收入'!AZ26</f>
        <v>0</v>
      </c>
      <c r="AN33" s="1">
        <f>'17收入'!BA26</f>
        <v>0</v>
      </c>
      <c r="AO33" s="1">
        <f>'17收入'!BB26</f>
        <v>0</v>
      </c>
      <c r="AP33" s="1">
        <f>'17收入'!BC26</f>
        <v>0</v>
      </c>
      <c r="AQ33" s="1">
        <f>'17收入'!BD26</f>
        <v>0</v>
      </c>
      <c r="AR33" s="1">
        <f>'17收入'!BE26</f>
        <v>0</v>
      </c>
      <c r="AS33" s="1">
        <f>'17收入'!BF26</f>
        <v>0</v>
      </c>
      <c r="AT33" s="1">
        <f>'17收入'!BG26</f>
        <v>0</v>
      </c>
      <c r="AU33" s="1">
        <f>'17收入'!BH26</f>
        <v>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17成本</vt:lpstr>
      <vt:lpstr>17收入</vt:lpstr>
      <vt:lpstr>16、17收入对比</vt:lpstr>
      <vt:lpstr>17年追赶表</vt:lpstr>
      <vt:lpstr>16年情况</vt:lpstr>
      <vt:lpstr>关键指标</vt:lpstr>
      <vt:lpstr>现金推算表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</cp:lastModifiedBy>
  <dcterms:created xsi:type="dcterms:W3CDTF">2006-09-13T11:21:00Z</dcterms:created>
  <dcterms:modified xsi:type="dcterms:W3CDTF">2018-06-26T09:07:22Z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