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3.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5.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7.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8.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9.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0.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borno\OneDrive\Ing. En Tecnoloias de la Información\Otoño 2016\Admin. de Proyectos\"/>
    </mc:Choice>
  </mc:AlternateContent>
  <bookViews>
    <workbookView xWindow="0" yWindow="360" windowWidth="11940" windowHeight="6060"/>
  </bookViews>
  <sheets>
    <sheet name="MUJERES" sheetId="35" r:id="rId1"/>
    <sheet name="DM GESTACIONAL" sheetId="43" r:id="rId2"/>
    <sheet name="niños 0 3 años" sheetId="33" r:id="rId3"/>
    <sheet name="niñas 0- 3 años" sheetId="38" r:id="rId4"/>
    <sheet name="niñas 3 -6 años" sheetId="39" r:id="rId5"/>
    <sheet name="niños 3 -6 años " sheetId="40" r:id="rId6"/>
    <sheet name="niñas 6 a 11 años " sheetId="42" r:id="rId7"/>
    <sheet name="niños 6 -11 años" sheetId="41" r:id="rId8"/>
    <sheet name="HOMBRES" sheetId="34" r:id="rId9"/>
    <sheet name="Hoja1" sheetId="37" r:id="rId10"/>
    <sheet name="COLOSTOMIAS E ILEOSTOMIAS" sheetId="36" r:id="rId11"/>
    <sheet name="Hoja3" sheetId="17" r:id="rId12"/>
    <sheet name="Hoja4" sheetId="18" r:id="rId13"/>
    <sheet name="Hoja7" sheetId="19" r:id="rId14"/>
    <sheet name="Hoja8" sheetId="20" r:id="rId15"/>
    <sheet name="Hoja9" sheetId="21" r:id="rId16"/>
    <sheet name="Hoja10" sheetId="22" r:id="rId17"/>
    <sheet name="Hoja11" sheetId="23" r:id="rId18"/>
    <sheet name="Hoja12" sheetId="24" r:id="rId19"/>
    <sheet name="Hoja13" sheetId="25" r:id="rId20"/>
    <sheet name="Hoja14" sheetId="26" r:id="rId21"/>
    <sheet name="Hoja15" sheetId="27" r:id="rId22"/>
    <sheet name="Hoja16" sheetId="28" r:id="rId23"/>
    <sheet name="Hoja17" sheetId="29" r:id="rId24"/>
    <sheet name="Hoja18" sheetId="30" r:id="rId25"/>
    <sheet name="Hoja19" sheetId="31" r:id="rId26"/>
    <sheet name="Hoja20" sheetId="32" r:id="rId27"/>
  </sheets>
  <definedNames>
    <definedName name="__shared_1_0_0" localSheetId="10">(#REF!*4)+(#REF!*4)+(#REF!*9)</definedName>
    <definedName name="__shared_1_0_0" localSheetId="1">(#REF!*4)+(#REF!*4)+(#REF!*9)</definedName>
    <definedName name="__shared_1_0_0" localSheetId="8">(#REF!*4)+(#REF!*4)+(#REF!*9)</definedName>
    <definedName name="__shared_1_0_0" localSheetId="0">(#REF!*4)+(#REF!*4)+(#REF!*9)</definedName>
    <definedName name="__shared_1_0_0" localSheetId="3">(#REF!*4)+(#REF!*4)+(#REF!*9)</definedName>
    <definedName name="__shared_1_0_0" localSheetId="4">(#REF!*4)+(#REF!*4)+(#REF!*9)</definedName>
    <definedName name="__shared_1_0_0" localSheetId="6">(#REF!*4)+(#REF!*4)+(#REF!*9)</definedName>
    <definedName name="__shared_1_0_0" localSheetId="2">(#REF!*4)+(#REF!*4)+(#REF!*9)</definedName>
    <definedName name="__shared_1_0_0" localSheetId="5">(#REF!*4)+(#REF!*4)+(#REF!*9)</definedName>
    <definedName name="__shared_1_0_0" localSheetId="7">(#REF!*4)+(#REF!*4)+(#REF!*9)</definedName>
    <definedName name="__shared_1_0_0">(#REF!*4)+(#REF!*4)+(#REF!*9)</definedName>
    <definedName name="__shared_1_0_1" localSheetId="10">(#REF!*4)+(#REF!*4)+(#REF!*9)</definedName>
    <definedName name="__shared_1_0_1" localSheetId="1">(#REF!*4)+(#REF!*4)+(#REF!*9)</definedName>
    <definedName name="__shared_1_0_1" localSheetId="8">(#REF!*4)+(#REF!*4)+(#REF!*9)</definedName>
    <definedName name="__shared_1_0_1" localSheetId="0">(#REF!*4)+(#REF!*4)+(#REF!*9)</definedName>
    <definedName name="__shared_1_0_1" localSheetId="3">(#REF!*4)+(#REF!*4)+(#REF!*9)</definedName>
    <definedName name="__shared_1_0_1" localSheetId="4">(#REF!*4)+(#REF!*4)+(#REF!*9)</definedName>
    <definedName name="__shared_1_0_1" localSheetId="6">(#REF!*4)+(#REF!*4)+(#REF!*9)</definedName>
    <definedName name="__shared_1_0_1" localSheetId="2">(#REF!*4)+(#REF!*4)+(#REF!*9)</definedName>
    <definedName name="__shared_1_0_1" localSheetId="5">(#REF!*4)+(#REF!*4)+(#REF!*9)</definedName>
    <definedName name="__shared_1_0_1" localSheetId="7">(#REF!*4)+(#REF!*4)+(#REF!*9)</definedName>
    <definedName name="__shared_1_0_1">(#REF!*4)+(#REF!*4)+(#REF!*9)</definedName>
    <definedName name="__shared_1_0_10" localSheetId="10">IF(#REF!&lt;#REF!, "te falta",IF(#REF!=#REF!,"muy bien",IF(#REF!&gt;#REF!,"te pasaste")))</definedName>
    <definedName name="__shared_1_0_10" localSheetId="1">IF(#REF!&lt;#REF!, "te falta",IF(#REF!=#REF!,"muy bien",IF(#REF!&gt;#REF!,"te pasaste")))</definedName>
    <definedName name="__shared_1_0_10" localSheetId="8">IF(#REF!&lt;#REF!, "te falta",IF(#REF!=#REF!,"muy bien",IF(#REF!&gt;#REF!,"te pasaste")))</definedName>
    <definedName name="__shared_1_0_10" localSheetId="0">IF(#REF!&lt;#REF!, "te falta",IF(#REF!=#REF!,"muy bien",IF(#REF!&gt;#REF!,"te pasaste")))</definedName>
    <definedName name="__shared_1_0_10" localSheetId="3">IF(#REF!&lt;#REF!, "te falta",IF(#REF!=#REF!,"muy bien",IF(#REF!&gt;#REF!,"te pasaste")))</definedName>
    <definedName name="__shared_1_0_10" localSheetId="4">IF(#REF!&lt;#REF!, "te falta",IF(#REF!=#REF!,"muy bien",IF(#REF!&gt;#REF!,"te pasaste")))</definedName>
    <definedName name="__shared_1_0_10" localSheetId="6">IF(#REF!&lt;#REF!, "te falta",IF(#REF!=#REF!,"muy bien",IF(#REF!&gt;#REF!,"te pasaste")))</definedName>
    <definedName name="__shared_1_0_10" localSheetId="2">IF(#REF!&lt;#REF!, "te falta",IF(#REF!=#REF!,"muy bien",IF(#REF!&gt;#REF!,"te pasaste")))</definedName>
    <definedName name="__shared_1_0_10" localSheetId="5">IF(#REF!&lt;#REF!, "te falta",IF(#REF!=#REF!,"muy bien",IF(#REF!&gt;#REF!,"te pasaste")))</definedName>
    <definedName name="__shared_1_0_10" localSheetId="7">IF(#REF!&lt;#REF!, "te falta",IF(#REF!=#REF!,"muy bien",IF(#REF!&gt;#REF!,"te pasaste")))</definedName>
    <definedName name="__shared_1_0_10">IF(#REF!&lt;#REF!, "te falta",IF(#REF!=#REF!,"muy bien",IF(#REF!&gt;#REF!,"te pasaste")))</definedName>
    <definedName name="__shared_1_0_11" localSheetId="10">#REF!</definedName>
    <definedName name="__shared_1_0_11" localSheetId="1">#REF!</definedName>
    <definedName name="__shared_1_0_11" localSheetId="8">#REF!</definedName>
    <definedName name="__shared_1_0_11" localSheetId="0">#REF!</definedName>
    <definedName name="__shared_1_0_11" localSheetId="3">#REF!</definedName>
    <definedName name="__shared_1_0_11" localSheetId="4">#REF!</definedName>
    <definedName name="__shared_1_0_11" localSheetId="6">#REF!</definedName>
    <definedName name="__shared_1_0_11" localSheetId="2">#REF!</definedName>
    <definedName name="__shared_1_0_11" localSheetId="5">#REF!</definedName>
    <definedName name="__shared_1_0_11" localSheetId="7">#REF!</definedName>
    <definedName name="__shared_1_0_11">#REF!</definedName>
    <definedName name="__shared_1_0_12" localSheetId="10">#REF!</definedName>
    <definedName name="__shared_1_0_12" localSheetId="1">#REF!</definedName>
    <definedName name="__shared_1_0_12" localSheetId="8">#REF!</definedName>
    <definedName name="__shared_1_0_12" localSheetId="0">#REF!</definedName>
    <definedName name="__shared_1_0_12" localSheetId="3">#REF!</definedName>
    <definedName name="__shared_1_0_12" localSheetId="4">#REF!</definedName>
    <definedName name="__shared_1_0_12" localSheetId="6">#REF!</definedName>
    <definedName name="__shared_1_0_12" localSheetId="2">#REF!</definedName>
    <definedName name="__shared_1_0_12" localSheetId="5">#REF!</definedName>
    <definedName name="__shared_1_0_12" localSheetId="7">#REF!</definedName>
    <definedName name="__shared_1_0_12">#REF!</definedName>
    <definedName name="__shared_1_0_13" localSheetId="10">#REF!</definedName>
    <definedName name="__shared_1_0_13" localSheetId="1">#REF!</definedName>
    <definedName name="__shared_1_0_13" localSheetId="8">#REF!</definedName>
    <definedName name="__shared_1_0_13" localSheetId="0">#REF!</definedName>
    <definedName name="__shared_1_0_13" localSheetId="3">#REF!</definedName>
    <definedName name="__shared_1_0_13" localSheetId="4">#REF!</definedName>
    <definedName name="__shared_1_0_13" localSheetId="6">#REF!</definedName>
    <definedName name="__shared_1_0_13" localSheetId="2">#REF!</definedName>
    <definedName name="__shared_1_0_13" localSheetId="5">#REF!</definedName>
    <definedName name="__shared_1_0_13" localSheetId="7">#REF!</definedName>
    <definedName name="__shared_1_0_13">#REF!</definedName>
    <definedName name="__shared_1_0_14" localSheetId="10">#REF!</definedName>
    <definedName name="__shared_1_0_14" localSheetId="1">#REF!</definedName>
    <definedName name="__shared_1_0_14" localSheetId="8">#REF!</definedName>
    <definedName name="__shared_1_0_14" localSheetId="0">#REF!</definedName>
    <definedName name="__shared_1_0_14" localSheetId="3">#REF!</definedName>
    <definedName name="__shared_1_0_14" localSheetId="4">#REF!</definedName>
    <definedName name="__shared_1_0_14" localSheetId="6">#REF!</definedName>
    <definedName name="__shared_1_0_14" localSheetId="2">#REF!</definedName>
    <definedName name="__shared_1_0_14" localSheetId="5">#REF!</definedName>
    <definedName name="__shared_1_0_14" localSheetId="7">#REF!</definedName>
    <definedName name="__shared_1_0_14">#REF!</definedName>
    <definedName name="__shared_1_0_15" localSheetId="10">#REF!</definedName>
    <definedName name="__shared_1_0_15" localSheetId="1">#REF!</definedName>
    <definedName name="__shared_1_0_15" localSheetId="8">#REF!</definedName>
    <definedName name="__shared_1_0_15" localSheetId="0">#REF!</definedName>
    <definedName name="__shared_1_0_15" localSheetId="3">#REF!</definedName>
    <definedName name="__shared_1_0_15" localSheetId="4">#REF!</definedName>
    <definedName name="__shared_1_0_15" localSheetId="6">#REF!</definedName>
    <definedName name="__shared_1_0_15" localSheetId="2">#REF!</definedName>
    <definedName name="__shared_1_0_15" localSheetId="5">#REF!</definedName>
    <definedName name="__shared_1_0_15" localSheetId="7">#REF!</definedName>
    <definedName name="__shared_1_0_15">#REF!</definedName>
    <definedName name="__shared_1_0_2" localSheetId="10">(#REF!*4)+(#REF!*4)+(#REF!*9)</definedName>
    <definedName name="__shared_1_0_2" localSheetId="1">(#REF!*4)+(#REF!*4)+(#REF!*9)</definedName>
    <definedName name="__shared_1_0_2" localSheetId="8">(#REF!*4)+(#REF!*4)+(#REF!*9)</definedName>
    <definedName name="__shared_1_0_2" localSheetId="0">(#REF!*4)+(#REF!*4)+(#REF!*9)</definedName>
    <definedName name="__shared_1_0_2" localSheetId="3">(#REF!*4)+(#REF!*4)+(#REF!*9)</definedName>
    <definedName name="__shared_1_0_2" localSheetId="4">(#REF!*4)+(#REF!*4)+(#REF!*9)</definedName>
    <definedName name="__shared_1_0_2" localSheetId="6">(#REF!*4)+(#REF!*4)+(#REF!*9)</definedName>
    <definedName name="__shared_1_0_2" localSheetId="2">(#REF!*4)+(#REF!*4)+(#REF!*9)</definedName>
    <definedName name="__shared_1_0_2" localSheetId="5">(#REF!*4)+(#REF!*4)+(#REF!*9)</definedName>
    <definedName name="__shared_1_0_2" localSheetId="7">(#REF!*4)+(#REF!*4)+(#REF!*9)</definedName>
    <definedName name="__shared_1_0_2">(#REF!*4)+(#REF!*4)+(#REF!*9)</definedName>
    <definedName name="__shared_1_0_3" localSheetId="10">(#REF!*4)+(#REF!*4)+(#REF!*9)</definedName>
    <definedName name="__shared_1_0_3" localSheetId="1">(#REF!*4)+(#REF!*4)+(#REF!*9)</definedName>
    <definedName name="__shared_1_0_3" localSheetId="8">(#REF!*4)+(#REF!*4)+(#REF!*9)</definedName>
    <definedName name="__shared_1_0_3" localSheetId="0">(#REF!*4)+(#REF!*4)+(#REF!*9)</definedName>
    <definedName name="__shared_1_0_3" localSheetId="3">(#REF!*4)+(#REF!*4)+(#REF!*9)</definedName>
    <definedName name="__shared_1_0_3" localSheetId="4">(#REF!*4)+(#REF!*4)+(#REF!*9)</definedName>
    <definedName name="__shared_1_0_3" localSheetId="6">(#REF!*4)+(#REF!*4)+(#REF!*9)</definedName>
    <definedName name="__shared_1_0_3" localSheetId="2">(#REF!*4)+(#REF!*4)+(#REF!*9)</definedName>
    <definedName name="__shared_1_0_3" localSheetId="5">(#REF!*4)+(#REF!*4)+(#REF!*9)</definedName>
    <definedName name="__shared_1_0_3" localSheetId="7">(#REF!*4)+(#REF!*4)+(#REF!*9)</definedName>
    <definedName name="__shared_1_0_3">(#REF!*4)+(#REF!*4)+(#REF!*9)</definedName>
    <definedName name="__shared_1_0_4" localSheetId="10">(#REF!*4)+(#REF!*4)+(#REF!*9)</definedName>
    <definedName name="__shared_1_0_4" localSheetId="1">(#REF!*4)+(#REF!*4)+(#REF!*9)</definedName>
    <definedName name="__shared_1_0_4" localSheetId="8">(#REF!*4)+(#REF!*4)+(#REF!*9)</definedName>
    <definedName name="__shared_1_0_4" localSheetId="0">(#REF!*4)+(#REF!*4)+(#REF!*9)</definedName>
    <definedName name="__shared_1_0_4" localSheetId="3">(#REF!*4)+(#REF!*4)+(#REF!*9)</definedName>
    <definedName name="__shared_1_0_4" localSheetId="4">(#REF!*4)+(#REF!*4)+(#REF!*9)</definedName>
    <definedName name="__shared_1_0_4" localSheetId="6">(#REF!*4)+(#REF!*4)+(#REF!*9)</definedName>
    <definedName name="__shared_1_0_4" localSheetId="2">(#REF!*4)+(#REF!*4)+(#REF!*9)</definedName>
    <definedName name="__shared_1_0_4" localSheetId="5">(#REF!*4)+(#REF!*4)+(#REF!*9)</definedName>
    <definedName name="__shared_1_0_4" localSheetId="7">(#REF!*4)+(#REF!*4)+(#REF!*9)</definedName>
    <definedName name="__shared_1_0_4">(#REF!*4)+(#REF!*4)+(#REF!*9)</definedName>
    <definedName name="__shared_1_0_5" localSheetId="10">(#REF!*4)+(#REF!*4)+(#REF!*9)</definedName>
    <definedName name="__shared_1_0_5" localSheetId="1">(#REF!*4)+(#REF!*4)+(#REF!*9)</definedName>
    <definedName name="__shared_1_0_5" localSheetId="8">(#REF!*4)+(#REF!*4)+(#REF!*9)</definedName>
    <definedName name="__shared_1_0_5" localSheetId="0">(#REF!*4)+(#REF!*4)+(#REF!*9)</definedName>
    <definedName name="__shared_1_0_5" localSheetId="3">(#REF!*4)+(#REF!*4)+(#REF!*9)</definedName>
    <definedName name="__shared_1_0_5" localSheetId="4">(#REF!*4)+(#REF!*4)+(#REF!*9)</definedName>
    <definedName name="__shared_1_0_5" localSheetId="6">(#REF!*4)+(#REF!*4)+(#REF!*9)</definedName>
    <definedName name="__shared_1_0_5" localSheetId="2">(#REF!*4)+(#REF!*4)+(#REF!*9)</definedName>
    <definedName name="__shared_1_0_5" localSheetId="5">(#REF!*4)+(#REF!*4)+(#REF!*9)</definedName>
    <definedName name="__shared_1_0_5" localSheetId="7">(#REF!*4)+(#REF!*4)+(#REF!*9)</definedName>
    <definedName name="__shared_1_0_5">(#REF!*4)+(#REF!*4)+(#REF!*9)</definedName>
    <definedName name="__shared_1_0_6" localSheetId="10">(#REF!*4)+(#REF!*4)+(#REF!*9)</definedName>
    <definedName name="__shared_1_0_6" localSheetId="1">(#REF!*4)+(#REF!*4)+(#REF!*9)</definedName>
    <definedName name="__shared_1_0_6" localSheetId="8">(#REF!*4)+(#REF!*4)+(#REF!*9)</definedName>
    <definedName name="__shared_1_0_6" localSheetId="0">(#REF!*4)+(#REF!*4)+(#REF!*9)</definedName>
    <definedName name="__shared_1_0_6" localSheetId="3">(#REF!*4)+(#REF!*4)+(#REF!*9)</definedName>
    <definedName name="__shared_1_0_6" localSheetId="4">(#REF!*4)+(#REF!*4)+(#REF!*9)</definedName>
    <definedName name="__shared_1_0_6" localSheetId="6">(#REF!*4)+(#REF!*4)+(#REF!*9)</definedName>
    <definedName name="__shared_1_0_6" localSheetId="2">(#REF!*4)+(#REF!*4)+(#REF!*9)</definedName>
    <definedName name="__shared_1_0_6" localSheetId="5">(#REF!*4)+(#REF!*4)+(#REF!*9)</definedName>
    <definedName name="__shared_1_0_6" localSheetId="7">(#REF!*4)+(#REF!*4)+(#REF!*9)</definedName>
    <definedName name="__shared_1_0_6">(#REF!*4)+(#REF!*4)+(#REF!*9)</definedName>
    <definedName name="__shared_1_0_7" localSheetId="10">(#REF!*4)+(#REF!*4)+(#REF!*9)</definedName>
    <definedName name="__shared_1_0_7" localSheetId="1">(#REF!*4)+(#REF!*4)+(#REF!*9)</definedName>
    <definedName name="__shared_1_0_7" localSheetId="8">(#REF!*4)+(#REF!*4)+(#REF!*9)</definedName>
    <definedName name="__shared_1_0_7" localSheetId="0">(#REF!*4)+(#REF!*4)+(#REF!*9)</definedName>
    <definedName name="__shared_1_0_7" localSheetId="3">(#REF!*4)+(#REF!*4)+(#REF!*9)</definedName>
    <definedName name="__shared_1_0_7" localSheetId="4">(#REF!*4)+(#REF!*4)+(#REF!*9)</definedName>
    <definedName name="__shared_1_0_7" localSheetId="6">(#REF!*4)+(#REF!*4)+(#REF!*9)</definedName>
    <definedName name="__shared_1_0_7" localSheetId="2">(#REF!*4)+(#REF!*4)+(#REF!*9)</definedName>
    <definedName name="__shared_1_0_7" localSheetId="5">(#REF!*4)+(#REF!*4)+(#REF!*9)</definedName>
    <definedName name="__shared_1_0_7" localSheetId="7">(#REF!*4)+(#REF!*4)+(#REF!*9)</definedName>
    <definedName name="__shared_1_0_7">(#REF!*4)+(#REF!*4)+(#REF!*9)</definedName>
    <definedName name="__shared_1_0_8" localSheetId="10">SUM(#REF!)</definedName>
    <definedName name="__shared_1_0_8" localSheetId="1">SUM(#REF!)</definedName>
    <definedName name="__shared_1_0_8" localSheetId="8">SUM(#REF!)</definedName>
    <definedName name="__shared_1_0_8" localSheetId="0">SUM(#REF!)</definedName>
    <definedName name="__shared_1_0_8" localSheetId="3">SUM(#REF!)</definedName>
    <definedName name="__shared_1_0_8" localSheetId="4">SUM(#REF!)</definedName>
    <definedName name="__shared_1_0_8" localSheetId="6">SUM(#REF!)</definedName>
    <definedName name="__shared_1_0_8" localSheetId="2">SUM(#REF!)</definedName>
    <definedName name="__shared_1_0_8" localSheetId="5">SUM(#REF!)</definedName>
    <definedName name="__shared_1_0_8" localSheetId="7">SUM(#REF!)</definedName>
    <definedName name="__shared_1_0_8">SUM(#REF!)</definedName>
    <definedName name="__shared_1_0_9" localSheetId="10">#REF!</definedName>
    <definedName name="__shared_1_0_9" localSheetId="1">#REF!</definedName>
    <definedName name="__shared_1_0_9" localSheetId="8">#REF!</definedName>
    <definedName name="__shared_1_0_9" localSheetId="0">#REF!</definedName>
    <definedName name="__shared_1_0_9" localSheetId="3">#REF!</definedName>
    <definedName name="__shared_1_0_9" localSheetId="4">#REF!</definedName>
    <definedName name="__shared_1_0_9" localSheetId="6">#REF!</definedName>
    <definedName name="__shared_1_0_9" localSheetId="2">#REF!</definedName>
    <definedName name="__shared_1_0_9" localSheetId="5">#REF!</definedName>
    <definedName name="__shared_1_0_9" localSheetId="7">#REF!</definedName>
    <definedName name="__shared_1_0_9">#REF!</definedName>
    <definedName name="__shared_10_0_0" localSheetId="10">(#REF!*4)+(#REF!*4)+(#REF!*9)</definedName>
    <definedName name="__shared_10_0_0" localSheetId="1">(#REF!*4)+(#REF!*4)+(#REF!*9)</definedName>
    <definedName name="__shared_10_0_0" localSheetId="8">(#REF!*4)+(#REF!*4)+(#REF!*9)</definedName>
    <definedName name="__shared_10_0_0" localSheetId="0">(#REF!*4)+(#REF!*4)+(#REF!*9)</definedName>
    <definedName name="__shared_10_0_0" localSheetId="3">(#REF!*4)+(#REF!*4)+(#REF!*9)</definedName>
    <definedName name="__shared_10_0_0" localSheetId="4">(#REF!*4)+(#REF!*4)+(#REF!*9)</definedName>
    <definedName name="__shared_10_0_0" localSheetId="6">(#REF!*4)+(#REF!*4)+(#REF!*9)</definedName>
    <definedName name="__shared_10_0_0" localSheetId="2">(#REF!*4)+(#REF!*4)+(#REF!*9)</definedName>
    <definedName name="__shared_10_0_0" localSheetId="5">(#REF!*4)+(#REF!*4)+(#REF!*9)</definedName>
    <definedName name="__shared_10_0_0" localSheetId="7">(#REF!*4)+(#REF!*4)+(#REF!*9)</definedName>
    <definedName name="__shared_10_0_0">(#REF!*4)+(#REF!*4)+(#REF!*9)</definedName>
    <definedName name="__shared_10_0_1" localSheetId="10">(#REF!*4)+(#REF!*4)+(#REF!*9)</definedName>
    <definedName name="__shared_10_0_1" localSheetId="1">(#REF!*4)+(#REF!*4)+(#REF!*9)</definedName>
    <definedName name="__shared_10_0_1" localSheetId="8">(#REF!*4)+(#REF!*4)+(#REF!*9)</definedName>
    <definedName name="__shared_10_0_1" localSheetId="0">(#REF!*4)+(#REF!*4)+(#REF!*9)</definedName>
    <definedName name="__shared_10_0_1" localSheetId="3">(#REF!*4)+(#REF!*4)+(#REF!*9)</definedName>
    <definedName name="__shared_10_0_1" localSheetId="4">(#REF!*4)+(#REF!*4)+(#REF!*9)</definedName>
    <definedName name="__shared_10_0_1" localSheetId="6">(#REF!*4)+(#REF!*4)+(#REF!*9)</definedName>
    <definedName name="__shared_10_0_1" localSheetId="2">(#REF!*4)+(#REF!*4)+(#REF!*9)</definedName>
    <definedName name="__shared_10_0_1" localSheetId="5">(#REF!*4)+(#REF!*4)+(#REF!*9)</definedName>
    <definedName name="__shared_10_0_1" localSheetId="7">(#REF!*4)+(#REF!*4)+(#REF!*9)</definedName>
    <definedName name="__shared_10_0_1">(#REF!*4)+(#REF!*4)+(#REF!*9)</definedName>
    <definedName name="__shared_10_0_10" localSheetId="10">#REF!</definedName>
    <definedName name="__shared_10_0_10" localSheetId="1">#REF!</definedName>
    <definedName name="__shared_10_0_10" localSheetId="8">#REF!</definedName>
    <definedName name="__shared_10_0_10" localSheetId="0">#REF!</definedName>
    <definedName name="__shared_10_0_10" localSheetId="3">#REF!</definedName>
    <definedName name="__shared_10_0_10" localSheetId="4">#REF!</definedName>
    <definedName name="__shared_10_0_10" localSheetId="6">#REF!</definedName>
    <definedName name="__shared_10_0_10" localSheetId="2">#REF!</definedName>
    <definedName name="__shared_10_0_10" localSheetId="5">#REF!</definedName>
    <definedName name="__shared_10_0_10" localSheetId="7">#REF!</definedName>
    <definedName name="__shared_10_0_10">#REF!</definedName>
    <definedName name="__shared_10_0_11" localSheetId="10">#REF!</definedName>
    <definedName name="__shared_10_0_11" localSheetId="1">#REF!</definedName>
    <definedName name="__shared_10_0_11" localSheetId="8">#REF!</definedName>
    <definedName name="__shared_10_0_11" localSheetId="0">#REF!</definedName>
    <definedName name="__shared_10_0_11" localSheetId="3">#REF!</definedName>
    <definedName name="__shared_10_0_11" localSheetId="4">#REF!</definedName>
    <definedName name="__shared_10_0_11" localSheetId="6">#REF!</definedName>
    <definedName name="__shared_10_0_11" localSheetId="2">#REF!</definedName>
    <definedName name="__shared_10_0_11" localSheetId="5">#REF!</definedName>
    <definedName name="__shared_10_0_11" localSheetId="7">#REF!</definedName>
    <definedName name="__shared_10_0_11">#REF!</definedName>
    <definedName name="__shared_10_0_12" localSheetId="10">#REF!</definedName>
    <definedName name="__shared_10_0_12" localSheetId="1">#REF!</definedName>
    <definedName name="__shared_10_0_12" localSheetId="8">#REF!</definedName>
    <definedName name="__shared_10_0_12" localSheetId="0">#REF!</definedName>
    <definedName name="__shared_10_0_12" localSheetId="3">#REF!</definedName>
    <definedName name="__shared_10_0_12" localSheetId="4">#REF!</definedName>
    <definedName name="__shared_10_0_12" localSheetId="6">#REF!</definedName>
    <definedName name="__shared_10_0_12" localSheetId="2">#REF!</definedName>
    <definedName name="__shared_10_0_12" localSheetId="5">#REF!</definedName>
    <definedName name="__shared_10_0_12" localSheetId="7">#REF!</definedName>
    <definedName name="__shared_10_0_12">#REF!</definedName>
    <definedName name="__shared_10_0_13" localSheetId="10">#REF!</definedName>
    <definedName name="__shared_10_0_13" localSheetId="1">#REF!</definedName>
    <definedName name="__shared_10_0_13" localSheetId="8">#REF!</definedName>
    <definedName name="__shared_10_0_13" localSheetId="0">#REF!</definedName>
    <definedName name="__shared_10_0_13" localSheetId="3">#REF!</definedName>
    <definedName name="__shared_10_0_13" localSheetId="4">#REF!</definedName>
    <definedName name="__shared_10_0_13" localSheetId="6">#REF!</definedName>
    <definedName name="__shared_10_0_13" localSheetId="2">#REF!</definedName>
    <definedName name="__shared_10_0_13" localSheetId="5">#REF!</definedName>
    <definedName name="__shared_10_0_13" localSheetId="7">#REF!</definedName>
    <definedName name="__shared_10_0_13">#REF!</definedName>
    <definedName name="__shared_10_0_2" localSheetId="10">(#REF!*4)+(#REF!*4)+(#REF!*9)</definedName>
    <definedName name="__shared_10_0_2" localSheetId="1">(#REF!*4)+(#REF!*4)+(#REF!*9)</definedName>
    <definedName name="__shared_10_0_2" localSheetId="8">(#REF!*4)+(#REF!*4)+(#REF!*9)</definedName>
    <definedName name="__shared_10_0_2" localSheetId="0">(#REF!*4)+(#REF!*4)+(#REF!*9)</definedName>
    <definedName name="__shared_10_0_2" localSheetId="3">(#REF!*4)+(#REF!*4)+(#REF!*9)</definedName>
    <definedName name="__shared_10_0_2" localSheetId="4">(#REF!*4)+(#REF!*4)+(#REF!*9)</definedName>
    <definedName name="__shared_10_0_2" localSheetId="6">(#REF!*4)+(#REF!*4)+(#REF!*9)</definedName>
    <definedName name="__shared_10_0_2" localSheetId="2">(#REF!*4)+(#REF!*4)+(#REF!*9)</definedName>
    <definedName name="__shared_10_0_2" localSheetId="5">(#REF!*4)+(#REF!*4)+(#REF!*9)</definedName>
    <definedName name="__shared_10_0_2" localSheetId="7">(#REF!*4)+(#REF!*4)+(#REF!*9)</definedName>
    <definedName name="__shared_10_0_2">(#REF!*4)+(#REF!*4)+(#REF!*9)</definedName>
    <definedName name="__shared_10_0_3" localSheetId="10">#REF!+#REF!+#REF!</definedName>
    <definedName name="__shared_10_0_3" localSheetId="1">#REF!+#REF!+#REF!</definedName>
    <definedName name="__shared_10_0_3" localSheetId="8">#REF!+#REF!+#REF!</definedName>
    <definedName name="__shared_10_0_3" localSheetId="0">#REF!+#REF!+#REF!</definedName>
    <definedName name="__shared_10_0_3" localSheetId="3">#REF!+#REF!+#REF!</definedName>
    <definedName name="__shared_10_0_3" localSheetId="4">#REF!+#REF!+#REF!</definedName>
    <definedName name="__shared_10_0_3" localSheetId="6">#REF!+#REF!+#REF!</definedName>
    <definedName name="__shared_10_0_3" localSheetId="2">#REF!+#REF!+#REF!</definedName>
    <definedName name="__shared_10_0_3" localSheetId="5">#REF!+#REF!+#REF!</definedName>
    <definedName name="__shared_10_0_3" localSheetId="7">#REF!+#REF!+#REF!</definedName>
    <definedName name="__shared_10_0_3">#REF!+#REF!+#REF!</definedName>
    <definedName name="__shared_10_0_4" localSheetId="10">(#REF!*4)+(#REF!*4)+(#REF!*9)</definedName>
    <definedName name="__shared_10_0_4" localSheetId="1">(#REF!*4)+(#REF!*4)+(#REF!*9)</definedName>
    <definedName name="__shared_10_0_4" localSheetId="8">(#REF!*4)+(#REF!*4)+(#REF!*9)</definedName>
    <definedName name="__shared_10_0_4" localSheetId="0">(#REF!*4)+(#REF!*4)+(#REF!*9)</definedName>
    <definedName name="__shared_10_0_4" localSheetId="3">(#REF!*4)+(#REF!*4)+(#REF!*9)</definedName>
    <definedName name="__shared_10_0_4" localSheetId="4">(#REF!*4)+(#REF!*4)+(#REF!*9)</definedName>
    <definedName name="__shared_10_0_4" localSheetId="6">(#REF!*4)+(#REF!*4)+(#REF!*9)</definedName>
    <definedName name="__shared_10_0_4" localSheetId="2">(#REF!*4)+(#REF!*4)+(#REF!*9)</definedName>
    <definedName name="__shared_10_0_4" localSheetId="5">(#REF!*4)+(#REF!*4)+(#REF!*9)</definedName>
    <definedName name="__shared_10_0_4" localSheetId="7">(#REF!*4)+(#REF!*4)+(#REF!*9)</definedName>
    <definedName name="__shared_10_0_4">(#REF!*4)+(#REF!*4)+(#REF!*9)</definedName>
    <definedName name="__shared_10_0_5" localSheetId="10">(#REF!*4)+(#REF!*4)+(#REF!*9)</definedName>
    <definedName name="__shared_10_0_5" localSheetId="1">(#REF!*4)+(#REF!*4)+(#REF!*9)</definedName>
    <definedName name="__shared_10_0_5" localSheetId="8">(#REF!*4)+(#REF!*4)+(#REF!*9)</definedName>
    <definedName name="__shared_10_0_5" localSheetId="0">(#REF!*4)+(#REF!*4)+(#REF!*9)</definedName>
    <definedName name="__shared_10_0_5" localSheetId="3">(#REF!*4)+(#REF!*4)+(#REF!*9)</definedName>
    <definedName name="__shared_10_0_5" localSheetId="4">(#REF!*4)+(#REF!*4)+(#REF!*9)</definedName>
    <definedName name="__shared_10_0_5" localSheetId="6">(#REF!*4)+(#REF!*4)+(#REF!*9)</definedName>
    <definedName name="__shared_10_0_5" localSheetId="2">(#REF!*4)+(#REF!*4)+(#REF!*9)</definedName>
    <definedName name="__shared_10_0_5" localSheetId="5">(#REF!*4)+(#REF!*4)+(#REF!*9)</definedName>
    <definedName name="__shared_10_0_5" localSheetId="7">(#REF!*4)+(#REF!*4)+(#REF!*9)</definedName>
    <definedName name="__shared_10_0_5">(#REF!*4)+(#REF!*4)+(#REF!*9)</definedName>
    <definedName name="__shared_10_0_6" localSheetId="10">SUM(#REF!)</definedName>
    <definedName name="__shared_10_0_6" localSheetId="1">SUM(#REF!)</definedName>
    <definedName name="__shared_10_0_6" localSheetId="8">SUM(#REF!)</definedName>
    <definedName name="__shared_10_0_6" localSheetId="0">SUM(#REF!)</definedName>
    <definedName name="__shared_10_0_6" localSheetId="3">SUM(#REF!)</definedName>
    <definedName name="__shared_10_0_6" localSheetId="4">SUM(#REF!)</definedName>
    <definedName name="__shared_10_0_6" localSheetId="6">SUM(#REF!)</definedName>
    <definedName name="__shared_10_0_6" localSheetId="2">SUM(#REF!)</definedName>
    <definedName name="__shared_10_0_6" localSheetId="5">SUM(#REF!)</definedName>
    <definedName name="__shared_10_0_6" localSheetId="7">SUM(#REF!)</definedName>
    <definedName name="__shared_10_0_6">SUM(#REF!)</definedName>
    <definedName name="__shared_10_0_7" localSheetId="10">#REF!</definedName>
    <definedName name="__shared_10_0_7" localSheetId="1">#REF!</definedName>
    <definedName name="__shared_10_0_7" localSheetId="8">#REF!</definedName>
    <definedName name="__shared_10_0_7" localSheetId="0">#REF!</definedName>
    <definedName name="__shared_10_0_7" localSheetId="3">#REF!</definedName>
    <definedName name="__shared_10_0_7" localSheetId="4">#REF!</definedName>
    <definedName name="__shared_10_0_7" localSheetId="6">#REF!</definedName>
    <definedName name="__shared_10_0_7" localSheetId="2">#REF!</definedName>
    <definedName name="__shared_10_0_7" localSheetId="5">#REF!</definedName>
    <definedName name="__shared_10_0_7" localSheetId="7">#REF!</definedName>
    <definedName name="__shared_10_0_7">#REF!</definedName>
    <definedName name="__shared_10_0_8" localSheetId="10">IF(#REF!&lt;#REF!, "te falta",IF(#REF!=#REF!,"muy bien",IF(#REF!&gt;#REF!,"te pasaste")))</definedName>
    <definedName name="__shared_10_0_8" localSheetId="1">IF(#REF!&lt;#REF!, "te falta",IF(#REF!=#REF!,"muy bien",IF(#REF!&gt;#REF!,"te pasaste")))</definedName>
    <definedName name="__shared_10_0_8" localSheetId="8">IF(#REF!&lt;#REF!, "te falta",IF(#REF!=#REF!,"muy bien",IF(#REF!&gt;#REF!,"te pasaste")))</definedName>
    <definedName name="__shared_10_0_8" localSheetId="0">IF(#REF!&lt;#REF!, "te falta",IF(#REF!=#REF!,"muy bien",IF(#REF!&gt;#REF!,"te pasaste")))</definedName>
    <definedName name="__shared_10_0_8" localSheetId="3">IF(#REF!&lt;#REF!, "te falta",IF(#REF!=#REF!,"muy bien",IF(#REF!&gt;#REF!,"te pasaste")))</definedName>
    <definedName name="__shared_10_0_8" localSheetId="4">IF(#REF!&lt;#REF!, "te falta",IF(#REF!=#REF!,"muy bien",IF(#REF!&gt;#REF!,"te pasaste")))</definedName>
    <definedName name="__shared_10_0_8" localSheetId="6">IF(#REF!&lt;#REF!, "te falta",IF(#REF!=#REF!,"muy bien",IF(#REF!&gt;#REF!,"te pasaste")))</definedName>
    <definedName name="__shared_10_0_8" localSheetId="2">IF(#REF!&lt;#REF!, "te falta",IF(#REF!=#REF!,"muy bien",IF(#REF!&gt;#REF!,"te pasaste")))</definedName>
    <definedName name="__shared_10_0_8" localSheetId="5">IF(#REF!&lt;#REF!, "te falta",IF(#REF!=#REF!,"muy bien",IF(#REF!&gt;#REF!,"te pasaste")))</definedName>
    <definedName name="__shared_10_0_8" localSheetId="7">IF(#REF!&lt;#REF!, "te falta",IF(#REF!=#REF!,"muy bien",IF(#REF!&gt;#REF!,"te pasaste")))</definedName>
    <definedName name="__shared_10_0_8">IF(#REF!&lt;#REF!, "te falta",IF(#REF!=#REF!,"muy bien",IF(#REF!&gt;#REF!,"te pasaste")))</definedName>
    <definedName name="__shared_10_0_9" localSheetId="10">#REF!</definedName>
    <definedName name="__shared_10_0_9" localSheetId="1">#REF!</definedName>
    <definedName name="__shared_10_0_9" localSheetId="8">#REF!</definedName>
    <definedName name="__shared_10_0_9" localSheetId="0">#REF!</definedName>
    <definedName name="__shared_10_0_9" localSheetId="3">#REF!</definedName>
    <definedName name="__shared_10_0_9" localSheetId="4">#REF!</definedName>
    <definedName name="__shared_10_0_9" localSheetId="6">#REF!</definedName>
    <definedName name="__shared_10_0_9" localSheetId="2">#REF!</definedName>
    <definedName name="__shared_10_0_9" localSheetId="5">#REF!</definedName>
    <definedName name="__shared_10_0_9" localSheetId="7">#REF!</definedName>
    <definedName name="__shared_10_0_9">#REF!</definedName>
    <definedName name="__shared_11_0_0" localSheetId="10">(#REF!*4)+(#REF!*4)+(#REF!*9)</definedName>
    <definedName name="__shared_11_0_0" localSheetId="1">(#REF!*4)+(#REF!*4)+(#REF!*9)</definedName>
    <definedName name="__shared_11_0_0" localSheetId="8">(#REF!*4)+(#REF!*4)+(#REF!*9)</definedName>
    <definedName name="__shared_11_0_0" localSheetId="0">(#REF!*4)+(#REF!*4)+(#REF!*9)</definedName>
    <definedName name="__shared_11_0_0" localSheetId="3">(#REF!*4)+(#REF!*4)+(#REF!*9)</definedName>
    <definedName name="__shared_11_0_0" localSheetId="4">(#REF!*4)+(#REF!*4)+(#REF!*9)</definedName>
    <definedName name="__shared_11_0_0" localSheetId="6">(#REF!*4)+(#REF!*4)+(#REF!*9)</definedName>
    <definedName name="__shared_11_0_0" localSheetId="2">(#REF!*4)+(#REF!*4)+(#REF!*9)</definedName>
    <definedName name="__shared_11_0_0" localSheetId="5">(#REF!*4)+(#REF!*4)+(#REF!*9)</definedName>
    <definedName name="__shared_11_0_0" localSheetId="7">(#REF!*4)+(#REF!*4)+(#REF!*9)</definedName>
    <definedName name="__shared_11_0_0">(#REF!*4)+(#REF!*4)+(#REF!*9)</definedName>
    <definedName name="__shared_11_0_1" localSheetId="10">(#REF!*4)+(#REF!*4)+(#REF!*9)</definedName>
    <definedName name="__shared_11_0_1" localSheetId="1">(#REF!*4)+(#REF!*4)+(#REF!*9)</definedName>
    <definedName name="__shared_11_0_1" localSheetId="8">(#REF!*4)+(#REF!*4)+(#REF!*9)</definedName>
    <definedName name="__shared_11_0_1" localSheetId="0">(#REF!*4)+(#REF!*4)+(#REF!*9)</definedName>
    <definedName name="__shared_11_0_1" localSheetId="3">(#REF!*4)+(#REF!*4)+(#REF!*9)</definedName>
    <definedName name="__shared_11_0_1" localSheetId="4">(#REF!*4)+(#REF!*4)+(#REF!*9)</definedName>
    <definedName name="__shared_11_0_1" localSheetId="6">(#REF!*4)+(#REF!*4)+(#REF!*9)</definedName>
    <definedName name="__shared_11_0_1" localSheetId="2">(#REF!*4)+(#REF!*4)+(#REF!*9)</definedName>
    <definedName name="__shared_11_0_1" localSheetId="5">(#REF!*4)+(#REF!*4)+(#REF!*9)</definedName>
    <definedName name="__shared_11_0_1" localSheetId="7">(#REF!*4)+(#REF!*4)+(#REF!*9)</definedName>
    <definedName name="__shared_11_0_1">(#REF!*4)+(#REF!*4)+(#REF!*9)</definedName>
    <definedName name="__shared_11_0_10" localSheetId="10">#REF!</definedName>
    <definedName name="__shared_11_0_10" localSheetId="1">#REF!</definedName>
    <definedName name="__shared_11_0_10" localSheetId="8">#REF!</definedName>
    <definedName name="__shared_11_0_10" localSheetId="0">#REF!</definedName>
    <definedName name="__shared_11_0_10" localSheetId="3">#REF!</definedName>
    <definedName name="__shared_11_0_10" localSheetId="4">#REF!</definedName>
    <definedName name="__shared_11_0_10" localSheetId="6">#REF!</definedName>
    <definedName name="__shared_11_0_10" localSheetId="2">#REF!</definedName>
    <definedName name="__shared_11_0_10" localSheetId="5">#REF!</definedName>
    <definedName name="__shared_11_0_10" localSheetId="7">#REF!</definedName>
    <definedName name="__shared_11_0_10">#REF!</definedName>
    <definedName name="__shared_11_0_11" localSheetId="10">#REF!</definedName>
    <definedName name="__shared_11_0_11" localSheetId="1">#REF!</definedName>
    <definedName name="__shared_11_0_11" localSheetId="8">#REF!</definedName>
    <definedName name="__shared_11_0_11" localSheetId="0">#REF!</definedName>
    <definedName name="__shared_11_0_11" localSheetId="3">#REF!</definedName>
    <definedName name="__shared_11_0_11" localSheetId="4">#REF!</definedName>
    <definedName name="__shared_11_0_11" localSheetId="6">#REF!</definedName>
    <definedName name="__shared_11_0_11" localSheetId="2">#REF!</definedName>
    <definedName name="__shared_11_0_11" localSheetId="5">#REF!</definedName>
    <definedName name="__shared_11_0_11" localSheetId="7">#REF!</definedName>
    <definedName name="__shared_11_0_11">#REF!</definedName>
    <definedName name="__shared_11_0_12" localSheetId="10">#REF!</definedName>
    <definedName name="__shared_11_0_12" localSheetId="1">#REF!</definedName>
    <definedName name="__shared_11_0_12" localSheetId="8">#REF!</definedName>
    <definedName name="__shared_11_0_12" localSheetId="0">#REF!</definedName>
    <definedName name="__shared_11_0_12" localSheetId="3">#REF!</definedName>
    <definedName name="__shared_11_0_12" localSheetId="4">#REF!</definedName>
    <definedName name="__shared_11_0_12" localSheetId="6">#REF!</definedName>
    <definedName name="__shared_11_0_12" localSheetId="2">#REF!</definedName>
    <definedName name="__shared_11_0_12" localSheetId="5">#REF!</definedName>
    <definedName name="__shared_11_0_12" localSheetId="7">#REF!</definedName>
    <definedName name="__shared_11_0_12">#REF!</definedName>
    <definedName name="__shared_11_0_13" localSheetId="10">#REF!</definedName>
    <definedName name="__shared_11_0_13" localSheetId="1">#REF!</definedName>
    <definedName name="__shared_11_0_13" localSheetId="8">#REF!</definedName>
    <definedName name="__shared_11_0_13" localSheetId="0">#REF!</definedName>
    <definedName name="__shared_11_0_13" localSheetId="3">#REF!</definedName>
    <definedName name="__shared_11_0_13" localSheetId="4">#REF!</definedName>
    <definedName name="__shared_11_0_13" localSheetId="6">#REF!</definedName>
    <definedName name="__shared_11_0_13" localSheetId="2">#REF!</definedName>
    <definedName name="__shared_11_0_13" localSheetId="5">#REF!</definedName>
    <definedName name="__shared_11_0_13" localSheetId="7">#REF!</definedName>
    <definedName name="__shared_11_0_13">#REF!</definedName>
    <definedName name="__shared_11_0_2" localSheetId="10">(#REF!*4)+(#REF!*4)+(#REF!*9)</definedName>
    <definedName name="__shared_11_0_2" localSheetId="1">(#REF!*4)+(#REF!*4)+(#REF!*9)</definedName>
    <definedName name="__shared_11_0_2" localSheetId="8">(#REF!*4)+(#REF!*4)+(#REF!*9)</definedName>
    <definedName name="__shared_11_0_2" localSheetId="0">(#REF!*4)+(#REF!*4)+(#REF!*9)</definedName>
    <definedName name="__shared_11_0_2" localSheetId="3">(#REF!*4)+(#REF!*4)+(#REF!*9)</definedName>
    <definedName name="__shared_11_0_2" localSheetId="4">(#REF!*4)+(#REF!*4)+(#REF!*9)</definedName>
    <definedName name="__shared_11_0_2" localSheetId="6">(#REF!*4)+(#REF!*4)+(#REF!*9)</definedName>
    <definedName name="__shared_11_0_2" localSheetId="2">(#REF!*4)+(#REF!*4)+(#REF!*9)</definedName>
    <definedName name="__shared_11_0_2" localSheetId="5">(#REF!*4)+(#REF!*4)+(#REF!*9)</definedName>
    <definedName name="__shared_11_0_2" localSheetId="7">(#REF!*4)+(#REF!*4)+(#REF!*9)</definedName>
    <definedName name="__shared_11_0_2">(#REF!*4)+(#REF!*4)+(#REF!*9)</definedName>
    <definedName name="__shared_11_0_3" localSheetId="10">#REF!+#REF!+#REF!</definedName>
    <definedName name="__shared_11_0_3" localSheetId="1">#REF!+#REF!+#REF!</definedName>
    <definedName name="__shared_11_0_3" localSheetId="8">#REF!+#REF!+#REF!</definedName>
    <definedName name="__shared_11_0_3" localSheetId="0">#REF!+#REF!+#REF!</definedName>
    <definedName name="__shared_11_0_3" localSheetId="3">#REF!+#REF!+#REF!</definedName>
    <definedName name="__shared_11_0_3" localSheetId="4">#REF!+#REF!+#REF!</definedName>
    <definedName name="__shared_11_0_3" localSheetId="6">#REF!+#REF!+#REF!</definedName>
    <definedName name="__shared_11_0_3" localSheetId="2">#REF!+#REF!+#REF!</definedName>
    <definedName name="__shared_11_0_3" localSheetId="5">#REF!+#REF!+#REF!</definedName>
    <definedName name="__shared_11_0_3" localSheetId="7">#REF!+#REF!+#REF!</definedName>
    <definedName name="__shared_11_0_3">#REF!+#REF!+#REF!</definedName>
    <definedName name="__shared_11_0_4" localSheetId="10">(#REF!*4)+(#REF!*4)+(#REF!*9)</definedName>
    <definedName name="__shared_11_0_4" localSheetId="1">(#REF!*4)+(#REF!*4)+(#REF!*9)</definedName>
    <definedName name="__shared_11_0_4" localSheetId="8">(#REF!*4)+(#REF!*4)+(#REF!*9)</definedName>
    <definedName name="__shared_11_0_4" localSheetId="0">(#REF!*4)+(#REF!*4)+(#REF!*9)</definedName>
    <definedName name="__shared_11_0_4" localSheetId="3">(#REF!*4)+(#REF!*4)+(#REF!*9)</definedName>
    <definedName name="__shared_11_0_4" localSheetId="4">(#REF!*4)+(#REF!*4)+(#REF!*9)</definedName>
    <definedName name="__shared_11_0_4" localSheetId="6">(#REF!*4)+(#REF!*4)+(#REF!*9)</definedName>
    <definedName name="__shared_11_0_4" localSheetId="2">(#REF!*4)+(#REF!*4)+(#REF!*9)</definedName>
    <definedName name="__shared_11_0_4" localSheetId="5">(#REF!*4)+(#REF!*4)+(#REF!*9)</definedName>
    <definedName name="__shared_11_0_4" localSheetId="7">(#REF!*4)+(#REF!*4)+(#REF!*9)</definedName>
    <definedName name="__shared_11_0_4">(#REF!*4)+(#REF!*4)+(#REF!*9)</definedName>
    <definedName name="__shared_11_0_5" localSheetId="10">(#REF!*4)+(#REF!*4)+(#REF!*9)</definedName>
    <definedName name="__shared_11_0_5" localSheetId="1">(#REF!*4)+(#REF!*4)+(#REF!*9)</definedName>
    <definedName name="__shared_11_0_5" localSheetId="8">(#REF!*4)+(#REF!*4)+(#REF!*9)</definedName>
    <definedName name="__shared_11_0_5" localSheetId="0">(#REF!*4)+(#REF!*4)+(#REF!*9)</definedName>
    <definedName name="__shared_11_0_5" localSheetId="3">(#REF!*4)+(#REF!*4)+(#REF!*9)</definedName>
    <definedName name="__shared_11_0_5" localSheetId="4">(#REF!*4)+(#REF!*4)+(#REF!*9)</definedName>
    <definedName name="__shared_11_0_5" localSheetId="6">(#REF!*4)+(#REF!*4)+(#REF!*9)</definedName>
    <definedName name="__shared_11_0_5" localSheetId="2">(#REF!*4)+(#REF!*4)+(#REF!*9)</definedName>
    <definedName name="__shared_11_0_5" localSheetId="5">(#REF!*4)+(#REF!*4)+(#REF!*9)</definedName>
    <definedName name="__shared_11_0_5" localSheetId="7">(#REF!*4)+(#REF!*4)+(#REF!*9)</definedName>
    <definedName name="__shared_11_0_5">(#REF!*4)+(#REF!*4)+(#REF!*9)</definedName>
    <definedName name="__shared_11_0_6" localSheetId="10">SUM(#REF!)</definedName>
    <definedName name="__shared_11_0_6" localSheetId="1">SUM(#REF!)</definedName>
    <definedName name="__shared_11_0_6" localSheetId="8">SUM(#REF!)</definedName>
    <definedName name="__shared_11_0_6" localSheetId="0">SUM(#REF!)</definedName>
    <definedName name="__shared_11_0_6" localSheetId="3">SUM(#REF!)</definedName>
    <definedName name="__shared_11_0_6" localSheetId="4">SUM(#REF!)</definedName>
    <definedName name="__shared_11_0_6" localSheetId="6">SUM(#REF!)</definedName>
    <definedName name="__shared_11_0_6" localSheetId="2">SUM(#REF!)</definedName>
    <definedName name="__shared_11_0_6" localSheetId="5">SUM(#REF!)</definedName>
    <definedName name="__shared_11_0_6" localSheetId="7">SUM(#REF!)</definedName>
    <definedName name="__shared_11_0_6">SUM(#REF!)</definedName>
    <definedName name="__shared_11_0_7" localSheetId="10">#REF!</definedName>
    <definedName name="__shared_11_0_7" localSheetId="1">#REF!</definedName>
    <definedName name="__shared_11_0_7" localSheetId="8">#REF!</definedName>
    <definedName name="__shared_11_0_7" localSheetId="0">#REF!</definedName>
    <definedName name="__shared_11_0_7" localSheetId="3">#REF!</definedName>
    <definedName name="__shared_11_0_7" localSheetId="4">#REF!</definedName>
    <definedName name="__shared_11_0_7" localSheetId="6">#REF!</definedName>
    <definedName name="__shared_11_0_7" localSheetId="2">#REF!</definedName>
    <definedName name="__shared_11_0_7" localSheetId="5">#REF!</definedName>
    <definedName name="__shared_11_0_7" localSheetId="7">#REF!</definedName>
    <definedName name="__shared_11_0_7">#REF!</definedName>
    <definedName name="__shared_11_0_8" localSheetId="10">IF(#REF!&lt;#REF!, "te falta",IF(#REF!=#REF!,"muy bien",IF(#REF!&gt;#REF!,"te pasaste")))</definedName>
    <definedName name="__shared_11_0_8" localSheetId="1">IF(#REF!&lt;#REF!, "te falta",IF(#REF!=#REF!,"muy bien",IF(#REF!&gt;#REF!,"te pasaste")))</definedName>
    <definedName name="__shared_11_0_8" localSheetId="8">IF(#REF!&lt;#REF!, "te falta",IF(#REF!=#REF!,"muy bien",IF(#REF!&gt;#REF!,"te pasaste")))</definedName>
    <definedName name="__shared_11_0_8" localSheetId="0">IF(#REF!&lt;#REF!, "te falta",IF(#REF!=#REF!,"muy bien",IF(#REF!&gt;#REF!,"te pasaste")))</definedName>
    <definedName name="__shared_11_0_8" localSheetId="3">IF(#REF!&lt;#REF!, "te falta",IF(#REF!=#REF!,"muy bien",IF(#REF!&gt;#REF!,"te pasaste")))</definedName>
    <definedName name="__shared_11_0_8" localSheetId="4">IF(#REF!&lt;#REF!, "te falta",IF(#REF!=#REF!,"muy bien",IF(#REF!&gt;#REF!,"te pasaste")))</definedName>
    <definedName name="__shared_11_0_8" localSheetId="6">IF(#REF!&lt;#REF!, "te falta",IF(#REF!=#REF!,"muy bien",IF(#REF!&gt;#REF!,"te pasaste")))</definedName>
    <definedName name="__shared_11_0_8" localSheetId="2">IF(#REF!&lt;#REF!, "te falta",IF(#REF!=#REF!,"muy bien",IF(#REF!&gt;#REF!,"te pasaste")))</definedName>
    <definedName name="__shared_11_0_8" localSheetId="5">IF(#REF!&lt;#REF!, "te falta",IF(#REF!=#REF!,"muy bien",IF(#REF!&gt;#REF!,"te pasaste")))</definedName>
    <definedName name="__shared_11_0_8" localSheetId="7">IF(#REF!&lt;#REF!, "te falta",IF(#REF!=#REF!,"muy bien",IF(#REF!&gt;#REF!,"te pasaste")))</definedName>
    <definedName name="__shared_11_0_8">IF(#REF!&lt;#REF!, "te falta",IF(#REF!=#REF!,"muy bien",IF(#REF!&gt;#REF!,"te pasaste")))</definedName>
    <definedName name="__shared_11_0_9" localSheetId="10">#REF!</definedName>
    <definedName name="__shared_11_0_9" localSheetId="1">#REF!</definedName>
    <definedName name="__shared_11_0_9" localSheetId="8">#REF!</definedName>
    <definedName name="__shared_11_0_9" localSheetId="0">#REF!</definedName>
    <definedName name="__shared_11_0_9" localSheetId="3">#REF!</definedName>
    <definedName name="__shared_11_0_9" localSheetId="4">#REF!</definedName>
    <definedName name="__shared_11_0_9" localSheetId="6">#REF!</definedName>
    <definedName name="__shared_11_0_9" localSheetId="2">#REF!</definedName>
    <definedName name="__shared_11_0_9" localSheetId="5">#REF!</definedName>
    <definedName name="__shared_11_0_9" localSheetId="7">#REF!</definedName>
    <definedName name="__shared_11_0_9">#REF!</definedName>
    <definedName name="__shared_12_0_0" localSheetId="10">(#REF!*4)+(#REF!*4)+(#REF!*9)</definedName>
    <definedName name="__shared_12_0_0" localSheetId="1">(#REF!*4)+(#REF!*4)+(#REF!*9)</definedName>
    <definedName name="__shared_12_0_0" localSheetId="8">(#REF!*4)+(#REF!*4)+(#REF!*9)</definedName>
    <definedName name="__shared_12_0_0" localSheetId="0">(#REF!*4)+(#REF!*4)+(#REF!*9)</definedName>
    <definedName name="__shared_12_0_0" localSheetId="3">(#REF!*4)+(#REF!*4)+(#REF!*9)</definedName>
    <definedName name="__shared_12_0_0" localSheetId="4">(#REF!*4)+(#REF!*4)+(#REF!*9)</definedName>
    <definedName name="__shared_12_0_0" localSheetId="6">(#REF!*4)+(#REF!*4)+(#REF!*9)</definedName>
    <definedName name="__shared_12_0_0" localSheetId="2">(#REF!*4)+(#REF!*4)+(#REF!*9)</definedName>
    <definedName name="__shared_12_0_0" localSheetId="5">(#REF!*4)+(#REF!*4)+(#REF!*9)</definedName>
    <definedName name="__shared_12_0_0" localSheetId="7">(#REF!*4)+(#REF!*4)+(#REF!*9)</definedName>
    <definedName name="__shared_12_0_0">(#REF!*4)+(#REF!*4)+(#REF!*9)</definedName>
    <definedName name="__shared_12_0_1" localSheetId="10">(#REF!*4)+(#REF!*4)+(#REF!*9)</definedName>
    <definedName name="__shared_12_0_1" localSheetId="1">(#REF!*4)+(#REF!*4)+(#REF!*9)</definedName>
    <definedName name="__shared_12_0_1" localSheetId="8">(#REF!*4)+(#REF!*4)+(#REF!*9)</definedName>
    <definedName name="__shared_12_0_1" localSheetId="0">(#REF!*4)+(#REF!*4)+(#REF!*9)</definedName>
    <definedName name="__shared_12_0_1" localSheetId="3">(#REF!*4)+(#REF!*4)+(#REF!*9)</definedName>
    <definedName name="__shared_12_0_1" localSheetId="4">(#REF!*4)+(#REF!*4)+(#REF!*9)</definedName>
    <definedName name="__shared_12_0_1" localSheetId="6">(#REF!*4)+(#REF!*4)+(#REF!*9)</definedName>
    <definedName name="__shared_12_0_1" localSheetId="2">(#REF!*4)+(#REF!*4)+(#REF!*9)</definedName>
    <definedName name="__shared_12_0_1" localSheetId="5">(#REF!*4)+(#REF!*4)+(#REF!*9)</definedName>
    <definedName name="__shared_12_0_1" localSheetId="7">(#REF!*4)+(#REF!*4)+(#REF!*9)</definedName>
    <definedName name="__shared_12_0_1">(#REF!*4)+(#REF!*4)+(#REF!*9)</definedName>
    <definedName name="__shared_12_0_10" localSheetId="10">#REF!</definedName>
    <definedName name="__shared_12_0_10" localSheetId="1">#REF!</definedName>
    <definedName name="__shared_12_0_10" localSheetId="8">#REF!</definedName>
    <definedName name="__shared_12_0_10" localSheetId="0">#REF!</definedName>
    <definedName name="__shared_12_0_10" localSheetId="3">#REF!</definedName>
    <definedName name="__shared_12_0_10" localSheetId="4">#REF!</definedName>
    <definedName name="__shared_12_0_10" localSheetId="6">#REF!</definedName>
    <definedName name="__shared_12_0_10" localSheetId="2">#REF!</definedName>
    <definedName name="__shared_12_0_10" localSheetId="5">#REF!</definedName>
    <definedName name="__shared_12_0_10" localSheetId="7">#REF!</definedName>
    <definedName name="__shared_12_0_10">#REF!</definedName>
    <definedName name="__shared_12_0_11" localSheetId="10">#REF!</definedName>
    <definedName name="__shared_12_0_11" localSheetId="1">#REF!</definedName>
    <definedName name="__shared_12_0_11" localSheetId="8">#REF!</definedName>
    <definedName name="__shared_12_0_11" localSheetId="0">#REF!</definedName>
    <definedName name="__shared_12_0_11" localSheetId="3">#REF!</definedName>
    <definedName name="__shared_12_0_11" localSheetId="4">#REF!</definedName>
    <definedName name="__shared_12_0_11" localSheetId="6">#REF!</definedName>
    <definedName name="__shared_12_0_11" localSheetId="2">#REF!</definedName>
    <definedName name="__shared_12_0_11" localSheetId="5">#REF!</definedName>
    <definedName name="__shared_12_0_11" localSheetId="7">#REF!</definedName>
    <definedName name="__shared_12_0_11">#REF!</definedName>
    <definedName name="__shared_12_0_12" localSheetId="10">#REF!</definedName>
    <definedName name="__shared_12_0_12" localSheetId="1">#REF!</definedName>
    <definedName name="__shared_12_0_12" localSheetId="8">#REF!</definedName>
    <definedName name="__shared_12_0_12" localSheetId="0">#REF!</definedName>
    <definedName name="__shared_12_0_12" localSheetId="3">#REF!</definedName>
    <definedName name="__shared_12_0_12" localSheetId="4">#REF!</definedName>
    <definedName name="__shared_12_0_12" localSheetId="6">#REF!</definedName>
    <definedName name="__shared_12_0_12" localSheetId="2">#REF!</definedName>
    <definedName name="__shared_12_0_12" localSheetId="5">#REF!</definedName>
    <definedName name="__shared_12_0_12" localSheetId="7">#REF!</definedName>
    <definedName name="__shared_12_0_12">#REF!</definedName>
    <definedName name="__shared_12_0_13" localSheetId="10">#REF!</definedName>
    <definedName name="__shared_12_0_13" localSheetId="1">#REF!</definedName>
    <definedName name="__shared_12_0_13" localSheetId="8">#REF!</definedName>
    <definedName name="__shared_12_0_13" localSheetId="0">#REF!</definedName>
    <definedName name="__shared_12_0_13" localSheetId="3">#REF!</definedName>
    <definedName name="__shared_12_0_13" localSheetId="4">#REF!</definedName>
    <definedName name="__shared_12_0_13" localSheetId="6">#REF!</definedName>
    <definedName name="__shared_12_0_13" localSheetId="2">#REF!</definedName>
    <definedName name="__shared_12_0_13" localSheetId="5">#REF!</definedName>
    <definedName name="__shared_12_0_13" localSheetId="7">#REF!</definedName>
    <definedName name="__shared_12_0_13">#REF!</definedName>
    <definedName name="__shared_12_0_2" localSheetId="10">(#REF!*4)+(#REF!*4)+(#REF!*9)</definedName>
    <definedName name="__shared_12_0_2" localSheetId="1">(#REF!*4)+(#REF!*4)+(#REF!*9)</definedName>
    <definedName name="__shared_12_0_2" localSheetId="8">(#REF!*4)+(#REF!*4)+(#REF!*9)</definedName>
    <definedName name="__shared_12_0_2" localSheetId="0">(#REF!*4)+(#REF!*4)+(#REF!*9)</definedName>
    <definedName name="__shared_12_0_2" localSheetId="3">(#REF!*4)+(#REF!*4)+(#REF!*9)</definedName>
    <definedName name="__shared_12_0_2" localSheetId="4">(#REF!*4)+(#REF!*4)+(#REF!*9)</definedName>
    <definedName name="__shared_12_0_2" localSheetId="6">(#REF!*4)+(#REF!*4)+(#REF!*9)</definedName>
    <definedName name="__shared_12_0_2" localSheetId="2">(#REF!*4)+(#REF!*4)+(#REF!*9)</definedName>
    <definedName name="__shared_12_0_2" localSheetId="5">(#REF!*4)+(#REF!*4)+(#REF!*9)</definedName>
    <definedName name="__shared_12_0_2" localSheetId="7">(#REF!*4)+(#REF!*4)+(#REF!*9)</definedName>
    <definedName name="__shared_12_0_2">(#REF!*4)+(#REF!*4)+(#REF!*9)</definedName>
    <definedName name="__shared_12_0_3" localSheetId="10">#REF!+#REF!+#REF!</definedName>
    <definedName name="__shared_12_0_3" localSheetId="1">#REF!+#REF!+#REF!</definedName>
    <definedName name="__shared_12_0_3" localSheetId="8">#REF!+#REF!+#REF!</definedName>
    <definedName name="__shared_12_0_3" localSheetId="0">#REF!+#REF!+#REF!</definedName>
    <definedName name="__shared_12_0_3" localSheetId="3">#REF!+#REF!+#REF!</definedName>
    <definedName name="__shared_12_0_3" localSheetId="4">#REF!+#REF!+#REF!</definedName>
    <definedName name="__shared_12_0_3" localSheetId="6">#REF!+#REF!+#REF!</definedName>
    <definedName name="__shared_12_0_3" localSheetId="2">#REF!+#REF!+#REF!</definedName>
    <definedName name="__shared_12_0_3" localSheetId="5">#REF!+#REF!+#REF!</definedName>
    <definedName name="__shared_12_0_3" localSheetId="7">#REF!+#REF!+#REF!</definedName>
    <definedName name="__shared_12_0_3">#REF!+#REF!+#REF!</definedName>
    <definedName name="__shared_12_0_4" localSheetId="10">(#REF!*4)+(#REF!*4)+(#REF!*9)</definedName>
    <definedName name="__shared_12_0_4" localSheetId="1">(#REF!*4)+(#REF!*4)+(#REF!*9)</definedName>
    <definedName name="__shared_12_0_4" localSheetId="8">(#REF!*4)+(#REF!*4)+(#REF!*9)</definedName>
    <definedName name="__shared_12_0_4" localSheetId="0">(#REF!*4)+(#REF!*4)+(#REF!*9)</definedName>
    <definedName name="__shared_12_0_4" localSheetId="3">(#REF!*4)+(#REF!*4)+(#REF!*9)</definedName>
    <definedName name="__shared_12_0_4" localSheetId="4">(#REF!*4)+(#REF!*4)+(#REF!*9)</definedName>
    <definedName name="__shared_12_0_4" localSheetId="6">(#REF!*4)+(#REF!*4)+(#REF!*9)</definedName>
    <definedName name="__shared_12_0_4" localSheetId="2">(#REF!*4)+(#REF!*4)+(#REF!*9)</definedName>
    <definedName name="__shared_12_0_4" localSheetId="5">(#REF!*4)+(#REF!*4)+(#REF!*9)</definedName>
    <definedName name="__shared_12_0_4" localSheetId="7">(#REF!*4)+(#REF!*4)+(#REF!*9)</definedName>
    <definedName name="__shared_12_0_4">(#REF!*4)+(#REF!*4)+(#REF!*9)</definedName>
    <definedName name="__shared_12_0_5" localSheetId="10">(#REF!*4)+(#REF!*4)+(#REF!*9)</definedName>
    <definedName name="__shared_12_0_5" localSheetId="1">(#REF!*4)+(#REF!*4)+(#REF!*9)</definedName>
    <definedName name="__shared_12_0_5" localSheetId="8">(#REF!*4)+(#REF!*4)+(#REF!*9)</definedName>
    <definedName name="__shared_12_0_5" localSheetId="0">(#REF!*4)+(#REF!*4)+(#REF!*9)</definedName>
    <definedName name="__shared_12_0_5" localSheetId="3">(#REF!*4)+(#REF!*4)+(#REF!*9)</definedName>
    <definedName name="__shared_12_0_5" localSheetId="4">(#REF!*4)+(#REF!*4)+(#REF!*9)</definedName>
    <definedName name="__shared_12_0_5" localSheetId="6">(#REF!*4)+(#REF!*4)+(#REF!*9)</definedName>
    <definedName name="__shared_12_0_5" localSheetId="2">(#REF!*4)+(#REF!*4)+(#REF!*9)</definedName>
    <definedName name="__shared_12_0_5" localSheetId="5">(#REF!*4)+(#REF!*4)+(#REF!*9)</definedName>
    <definedName name="__shared_12_0_5" localSheetId="7">(#REF!*4)+(#REF!*4)+(#REF!*9)</definedName>
    <definedName name="__shared_12_0_5">(#REF!*4)+(#REF!*4)+(#REF!*9)</definedName>
    <definedName name="__shared_12_0_6" localSheetId="10">SUM(#REF!)</definedName>
    <definedName name="__shared_12_0_6" localSheetId="1">SUM(#REF!)</definedName>
    <definedName name="__shared_12_0_6" localSheetId="8">SUM(#REF!)</definedName>
    <definedName name="__shared_12_0_6" localSheetId="0">SUM(#REF!)</definedName>
    <definedName name="__shared_12_0_6" localSheetId="3">SUM(#REF!)</definedName>
    <definedName name="__shared_12_0_6" localSheetId="4">SUM(#REF!)</definedName>
    <definedName name="__shared_12_0_6" localSheetId="6">SUM(#REF!)</definedName>
    <definedName name="__shared_12_0_6" localSheetId="2">SUM(#REF!)</definedName>
    <definedName name="__shared_12_0_6" localSheetId="5">SUM(#REF!)</definedName>
    <definedName name="__shared_12_0_6" localSheetId="7">SUM(#REF!)</definedName>
    <definedName name="__shared_12_0_6">SUM(#REF!)</definedName>
    <definedName name="__shared_12_0_7" localSheetId="10">#REF!</definedName>
    <definedName name="__shared_12_0_7" localSheetId="1">#REF!</definedName>
    <definedName name="__shared_12_0_7" localSheetId="8">#REF!</definedName>
    <definedName name="__shared_12_0_7" localSheetId="0">#REF!</definedName>
    <definedName name="__shared_12_0_7" localSheetId="3">#REF!</definedName>
    <definedName name="__shared_12_0_7" localSheetId="4">#REF!</definedName>
    <definedName name="__shared_12_0_7" localSheetId="6">#REF!</definedName>
    <definedName name="__shared_12_0_7" localSheetId="2">#REF!</definedName>
    <definedName name="__shared_12_0_7" localSheetId="5">#REF!</definedName>
    <definedName name="__shared_12_0_7" localSheetId="7">#REF!</definedName>
    <definedName name="__shared_12_0_7">#REF!</definedName>
    <definedName name="__shared_12_0_8" localSheetId="10">IF(#REF!&lt;#REF!, "te falta",IF(#REF!=#REF!,"muy bien",IF(#REF!&gt;#REF!,"te pasaste")))</definedName>
    <definedName name="__shared_12_0_8" localSheetId="1">IF(#REF!&lt;#REF!, "te falta",IF(#REF!=#REF!,"muy bien",IF(#REF!&gt;#REF!,"te pasaste")))</definedName>
    <definedName name="__shared_12_0_8" localSheetId="8">IF(#REF!&lt;#REF!, "te falta",IF(#REF!=#REF!,"muy bien",IF(#REF!&gt;#REF!,"te pasaste")))</definedName>
    <definedName name="__shared_12_0_8" localSheetId="0">IF(#REF!&lt;#REF!, "te falta",IF(#REF!=#REF!,"muy bien",IF(#REF!&gt;#REF!,"te pasaste")))</definedName>
    <definedName name="__shared_12_0_8" localSheetId="3">IF(#REF!&lt;#REF!, "te falta",IF(#REF!=#REF!,"muy bien",IF(#REF!&gt;#REF!,"te pasaste")))</definedName>
    <definedName name="__shared_12_0_8" localSheetId="4">IF(#REF!&lt;#REF!, "te falta",IF(#REF!=#REF!,"muy bien",IF(#REF!&gt;#REF!,"te pasaste")))</definedName>
    <definedName name="__shared_12_0_8" localSheetId="6">IF(#REF!&lt;#REF!, "te falta",IF(#REF!=#REF!,"muy bien",IF(#REF!&gt;#REF!,"te pasaste")))</definedName>
    <definedName name="__shared_12_0_8" localSheetId="2">IF(#REF!&lt;#REF!, "te falta",IF(#REF!=#REF!,"muy bien",IF(#REF!&gt;#REF!,"te pasaste")))</definedName>
    <definedName name="__shared_12_0_8" localSheetId="5">IF(#REF!&lt;#REF!, "te falta",IF(#REF!=#REF!,"muy bien",IF(#REF!&gt;#REF!,"te pasaste")))</definedName>
    <definedName name="__shared_12_0_8" localSheetId="7">IF(#REF!&lt;#REF!, "te falta",IF(#REF!=#REF!,"muy bien",IF(#REF!&gt;#REF!,"te pasaste")))</definedName>
    <definedName name="__shared_12_0_8">IF(#REF!&lt;#REF!, "te falta",IF(#REF!=#REF!,"muy bien",IF(#REF!&gt;#REF!,"te pasaste")))</definedName>
    <definedName name="__shared_12_0_9" localSheetId="10">#REF!</definedName>
    <definedName name="__shared_12_0_9" localSheetId="1">#REF!</definedName>
    <definedName name="__shared_12_0_9" localSheetId="8">#REF!</definedName>
    <definedName name="__shared_12_0_9" localSheetId="0">#REF!</definedName>
    <definedName name="__shared_12_0_9" localSheetId="3">#REF!</definedName>
    <definedName name="__shared_12_0_9" localSheetId="4">#REF!</definedName>
    <definedName name="__shared_12_0_9" localSheetId="6">#REF!</definedName>
    <definedName name="__shared_12_0_9" localSheetId="2">#REF!</definedName>
    <definedName name="__shared_12_0_9" localSheetId="5">#REF!</definedName>
    <definedName name="__shared_12_0_9" localSheetId="7">#REF!</definedName>
    <definedName name="__shared_12_0_9">#REF!</definedName>
    <definedName name="__shared_13_0_0" localSheetId="10">(#REF!*4)+(#REF!*4)+(#REF!*9)</definedName>
    <definedName name="__shared_13_0_0" localSheetId="1">(#REF!*4)+(#REF!*4)+(#REF!*9)</definedName>
    <definedName name="__shared_13_0_0" localSheetId="8">(#REF!*4)+(#REF!*4)+(#REF!*9)</definedName>
    <definedName name="__shared_13_0_0" localSheetId="0">(#REF!*4)+(#REF!*4)+(#REF!*9)</definedName>
    <definedName name="__shared_13_0_0" localSheetId="3">(#REF!*4)+(#REF!*4)+(#REF!*9)</definedName>
    <definedName name="__shared_13_0_0" localSheetId="4">(#REF!*4)+(#REF!*4)+(#REF!*9)</definedName>
    <definedName name="__shared_13_0_0" localSheetId="6">(#REF!*4)+(#REF!*4)+(#REF!*9)</definedName>
    <definedName name="__shared_13_0_0" localSheetId="2">(#REF!*4)+(#REF!*4)+(#REF!*9)</definedName>
    <definedName name="__shared_13_0_0" localSheetId="5">(#REF!*4)+(#REF!*4)+(#REF!*9)</definedName>
    <definedName name="__shared_13_0_0" localSheetId="7">(#REF!*4)+(#REF!*4)+(#REF!*9)</definedName>
    <definedName name="__shared_13_0_0">(#REF!*4)+(#REF!*4)+(#REF!*9)</definedName>
    <definedName name="__shared_13_0_1" localSheetId="10">(#REF!*4)+(#REF!*4)+(#REF!*9)</definedName>
    <definedName name="__shared_13_0_1" localSheetId="1">(#REF!*4)+(#REF!*4)+(#REF!*9)</definedName>
    <definedName name="__shared_13_0_1" localSheetId="8">(#REF!*4)+(#REF!*4)+(#REF!*9)</definedName>
    <definedName name="__shared_13_0_1" localSheetId="0">(#REF!*4)+(#REF!*4)+(#REF!*9)</definedName>
    <definedName name="__shared_13_0_1" localSheetId="3">(#REF!*4)+(#REF!*4)+(#REF!*9)</definedName>
    <definedName name="__shared_13_0_1" localSheetId="4">(#REF!*4)+(#REF!*4)+(#REF!*9)</definedName>
    <definedName name="__shared_13_0_1" localSheetId="6">(#REF!*4)+(#REF!*4)+(#REF!*9)</definedName>
    <definedName name="__shared_13_0_1" localSheetId="2">(#REF!*4)+(#REF!*4)+(#REF!*9)</definedName>
    <definedName name="__shared_13_0_1" localSheetId="5">(#REF!*4)+(#REF!*4)+(#REF!*9)</definedName>
    <definedName name="__shared_13_0_1" localSheetId="7">(#REF!*4)+(#REF!*4)+(#REF!*9)</definedName>
    <definedName name="__shared_13_0_1">(#REF!*4)+(#REF!*4)+(#REF!*9)</definedName>
    <definedName name="__shared_13_0_10" localSheetId="10">#REF!</definedName>
    <definedName name="__shared_13_0_10" localSheetId="1">#REF!</definedName>
    <definedName name="__shared_13_0_10" localSheetId="8">#REF!</definedName>
    <definedName name="__shared_13_0_10" localSheetId="0">#REF!</definedName>
    <definedName name="__shared_13_0_10" localSheetId="3">#REF!</definedName>
    <definedName name="__shared_13_0_10" localSheetId="4">#REF!</definedName>
    <definedName name="__shared_13_0_10" localSheetId="6">#REF!</definedName>
    <definedName name="__shared_13_0_10" localSheetId="2">#REF!</definedName>
    <definedName name="__shared_13_0_10" localSheetId="5">#REF!</definedName>
    <definedName name="__shared_13_0_10" localSheetId="7">#REF!</definedName>
    <definedName name="__shared_13_0_10">#REF!</definedName>
    <definedName name="__shared_13_0_11" localSheetId="10">#REF!</definedName>
    <definedName name="__shared_13_0_11" localSheetId="1">#REF!</definedName>
    <definedName name="__shared_13_0_11" localSheetId="8">#REF!</definedName>
    <definedName name="__shared_13_0_11" localSheetId="0">#REF!</definedName>
    <definedName name="__shared_13_0_11" localSheetId="3">#REF!</definedName>
    <definedName name="__shared_13_0_11" localSheetId="4">#REF!</definedName>
    <definedName name="__shared_13_0_11" localSheetId="6">#REF!</definedName>
    <definedName name="__shared_13_0_11" localSheetId="2">#REF!</definedName>
    <definedName name="__shared_13_0_11" localSheetId="5">#REF!</definedName>
    <definedName name="__shared_13_0_11" localSheetId="7">#REF!</definedName>
    <definedName name="__shared_13_0_11">#REF!</definedName>
    <definedName name="__shared_13_0_12" localSheetId="10">#REF!</definedName>
    <definedName name="__shared_13_0_12" localSheetId="1">#REF!</definedName>
    <definedName name="__shared_13_0_12" localSheetId="8">#REF!</definedName>
    <definedName name="__shared_13_0_12" localSheetId="0">#REF!</definedName>
    <definedName name="__shared_13_0_12" localSheetId="3">#REF!</definedName>
    <definedName name="__shared_13_0_12" localSheetId="4">#REF!</definedName>
    <definedName name="__shared_13_0_12" localSheetId="6">#REF!</definedName>
    <definedName name="__shared_13_0_12" localSheetId="2">#REF!</definedName>
    <definedName name="__shared_13_0_12" localSheetId="5">#REF!</definedName>
    <definedName name="__shared_13_0_12" localSheetId="7">#REF!</definedName>
    <definedName name="__shared_13_0_12">#REF!</definedName>
    <definedName name="__shared_13_0_13" localSheetId="10">#REF!</definedName>
    <definedName name="__shared_13_0_13" localSheetId="1">#REF!</definedName>
    <definedName name="__shared_13_0_13" localSheetId="8">#REF!</definedName>
    <definedName name="__shared_13_0_13" localSheetId="0">#REF!</definedName>
    <definedName name="__shared_13_0_13" localSheetId="3">#REF!</definedName>
    <definedName name="__shared_13_0_13" localSheetId="4">#REF!</definedName>
    <definedName name="__shared_13_0_13" localSheetId="6">#REF!</definedName>
    <definedName name="__shared_13_0_13" localSheetId="2">#REF!</definedName>
    <definedName name="__shared_13_0_13" localSheetId="5">#REF!</definedName>
    <definedName name="__shared_13_0_13" localSheetId="7">#REF!</definedName>
    <definedName name="__shared_13_0_13">#REF!</definedName>
    <definedName name="__shared_13_0_2" localSheetId="10">(#REF!*4)+(#REF!*4)+(#REF!*9)</definedName>
    <definedName name="__shared_13_0_2" localSheetId="1">(#REF!*4)+(#REF!*4)+(#REF!*9)</definedName>
    <definedName name="__shared_13_0_2" localSheetId="8">(#REF!*4)+(#REF!*4)+(#REF!*9)</definedName>
    <definedName name="__shared_13_0_2" localSheetId="0">(#REF!*4)+(#REF!*4)+(#REF!*9)</definedName>
    <definedName name="__shared_13_0_2" localSheetId="3">(#REF!*4)+(#REF!*4)+(#REF!*9)</definedName>
    <definedName name="__shared_13_0_2" localSheetId="4">(#REF!*4)+(#REF!*4)+(#REF!*9)</definedName>
    <definedName name="__shared_13_0_2" localSheetId="6">(#REF!*4)+(#REF!*4)+(#REF!*9)</definedName>
    <definedName name="__shared_13_0_2" localSheetId="2">(#REF!*4)+(#REF!*4)+(#REF!*9)</definedName>
    <definedName name="__shared_13_0_2" localSheetId="5">(#REF!*4)+(#REF!*4)+(#REF!*9)</definedName>
    <definedName name="__shared_13_0_2" localSheetId="7">(#REF!*4)+(#REF!*4)+(#REF!*9)</definedName>
    <definedName name="__shared_13_0_2">(#REF!*4)+(#REF!*4)+(#REF!*9)</definedName>
    <definedName name="__shared_13_0_3" localSheetId="10">#REF!+#REF!+#REF!</definedName>
    <definedName name="__shared_13_0_3" localSheetId="1">#REF!+#REF!+#REF!</definedName>
    <definedName name="__shared_13_0_3" localSheetId="8">#REF!+#REF!+#REF!</definedName>
    <definedName name="__shared_13_0_3" localSheetId="0">#REF!+#REF!+#REF!</definedName>
    <definedName name="__shared_13_0_3" localSheetId="3">#REF!+#REF!+#REF!</definedName>
    <definedName name="__shared_13_0_3" localSheetId="4">#REF!+#REF!+#REF!</definedName>
    <definedName name="__shared_13_0_3" localSheetId="6">#REF!+#REF!+#REF!</definedName>
    <definedName name="__shared_13_0_3" localSheetId="2">#REF!+#REF!+#REF!</definedName>
    <definedName name="__shared_13_0_3" localSheetId="5">#REF!+#REF!+#REF!</definedName>
    <definedName name="__shared_13_0_3" localSheetId="7">#REF!+#REF!+#REF!</definedName>
    <definedName name="__shared_13_0_3">#REF!+#REF!+#REF!</definedName>
    <definedName name="__shared_13_0_4" localSheetId="10">(#REF!*4)+(#REF!*4)+(#REF!*9)</definedName>
    <definedName name="__shared_13_0_4" localSheetId="1">(#REF!*4)+(#REF!*4)+(#REF!*9)</definedName>
    <definedName name="__shared_13_0_4" localSheetId="8">(#REF!*4)+(#REF!*4)+(#REF!*9)</definedName>
    <definedName name="__shared_13_0_4" localSheetId="0">(#REF!*4)+(#REF!*4)+(#REF!*9)</definedName>
    <definedName name="__shared_13_0_4" localSheetId="3">(#REF!*4)+(#REF!*4)+(#REF!*9)</definedName>
    <definedName name="__shared_13_0_4" localSheetId="4">(#REF!*4)+(#REF!*4)+(#REF!*9)</definedName>
    <definedName name="__shared_13_0_4" localSheetId="6">(#REF!*4)+(#REF!*4)+(#REF!*9)</definedName>
    <definedName name="__shared_13_0_4" localSheetId="2">(#REF!*4)+(#REF!*4)+(#REF!*9)</definedName>
    <definedName name="__shared_13_0_4" localSheetId="5">(#REF!*4)+(#REF!*4)+(#REF!*9)</definedName>
    <definedName name="__shared_13_0_4" localSheetId="7">(#REF!*4)+(#REF!*4)+(#REF!*9)</definedName>
    <definedName name="__shared_13_0_4">(#REF!*4)+(#REF!*4)+(#REF!*9)</definedName>
    <definedName name="__shared_13_0_5" localSheetId="10">(#REF!*4)+(#REF!*4)+(#REF!*9)</definedName>
    <definedName name="__shared_13_0_5" localSheetId="1">(#REF!*4)+(#REF!*4)+(#REF!*9)</definedName>
    <definedName name="__shared_13_0_5" localSheetId="8">(#REF!*4)+(#REF!*4)+(#REF!*9)</definedName>
    <definedName name="__shared_13_0_5" localSheetId="0">(#REF!*4)+(#REF!*4)+(#REF!*9)</definedName>
    <definedName name="__shared_13_0_5" localSheetId="3">(#REF!*4)+(#REF!*4)+(#REF!*9)</definedName>
    <definedName name="__shared_13_0_5" localSheetId="4">(#REF!*4)+(#REF!*4)+(#REF!*9)</definedName>
    <definedName name="__shared_13_0_5" localSheetId="6">(#REF!*4)+(#REF!*4)+(#REF!*9)</definedName>
    <definedName name="__shared_13_0_5" localSheetId="2">(#REF!*4)+(#REF!*4)+(#REF!*9)</definedName>
    <definedName name="__shared_13_0_5" localSheetId="5">(#REF!*4)+(#REF!*4)+(#REF!*9)</definedName>
    <definedName name="__shared_13_0_5" localSheetId="7">(#REF!*4)+(#REF!*4)+(#REF!*9)</definedName>
    <definedName name="__shared_13_0_5">(#REF!*4)+(#REF!*4)+(#REF!*9)</definedName>
    <definedName name="__shared_13_0_6" localSheetId="10">SUM(#REF!)</definedName>
    <definedName name="__shared_13_0_6" localSheetId="1">SUM(#REF!)</definedName>
    <definedName name="__shared_13_0_6" localSheetId="8">SUM(#REF!)</definedName>
    <definedName name="__shared_13_0_6" localSheetId="0">SUM(#REF!)</definedName>
    <definedName name="__shared_13_0_6" localSheetId="3">SUM(#REF!)</definedName>
    <definedName name="__shared_13_0_6" localSheetId="4">SUM(#REF!)</definedName>
    <definedName name="__shared_13_0_6" localSheetId="6">SUM(#REF!)</definedName>
    <definedName name="__shared_13_0_6" localSheetId="2">SUM(#REF!)</definedName>
    <definedName name="__shared_13_0_6" localSheetId="5">SUM(#REF!)</definedName>
    <definedName name="__shared_13_0_6" localSheetId="7">SUM(#REF!)</definedName>
    <definedName name="__shared_13_0_6">SUM(#REF!)</definedName>
    <definedName name="__shared_13_0_7" localSheetId="10">#REF!</definedName>
    <definedName name="__shared_13_0_7" localSheetId="1">#REF!</definedName>
    <definedName name="__shared_13_0_7" localSheetId="8">#REF!</definedName>
    <definedName name="__shared_13_0_7" localSheetId="0">#REF!</definedName>
    <definedName name="__shared_13_0_7" localSheetId="3">#REF!</definedName>
    <definedName name="__shared_13_0_7" localSheetId="4">#REF!</definedName>
    <definedName name="__shared_13_0_7" localSheetId="6">#REF!</definedName>
    <definedName name="__shared_13_0_7" localSheetId="2">#REF!</definedName>
    <definedName name="__shared_13_0_7" localSheetId="5">#REF!</definedName>
    <definedName name="__shared_13_0_7" localSheetId="7">#REF!</definedName>
    <definedName name="__shared_13_0_7">#REF!</definedName>
    <definedName name="__shared_13_0_8" localSheetId="10">IF(#REF!&lt;#REF!, "te falta",IF(#REF!=#REF!,"muy bien",IF(#REF!&gt;#REF!,"te pasaste")))</definedName>
    <definedName name="__shared_13_0_8" localSheetId="1">IF(#REF!&lt;#REF!, "te falta",IF(#REF!=#REF!,"muy bien",IF(#REF!&gt;#REF!,"te pasaste")))</definedName>
    <definedName name="__shared_13_0_8" localSheetId="8">IF(#REF!&lt;#REF!, "te falta",IF(#REF!=#REF!,"muy bien",IF(#REF!&gt;#REF!,"te pasaste")))</definedName>
    <definedName name="__shared_13_0_8" localSheetId="0">IF(#REF!&lt;#REF!, "te falta",IF(#REF!=#REF!,"muy bien",IF(#REF!&gt;#REF!,"te pasaste")))</definedName>
    <definedName name="__shared_13_0_8" localSheetId="3">IF(#REF!&lt;#REF!, "te falta",IF(#REF!=#REF!,"muy bien",IF(#REF!&gt;#REF!,"te pasaste")))</definedName>
    <definedName name="__shared_13_0_8" localSheetId="4">IF(#REF!&lt;#REF!, "te falta",IF(#REF!=#REF!,"muy bien",IF(#REF!&gt;#REF!,"te pasaste")))</definedName>
    <definedName name="__shared_13_0_8" localSheetId="6">IF(#REF!&lt;#REF!, "te falta",IF(#REF!=#REF!,"muy bien",IF(#REF!&gt;#REF!,"te pasaste")))</definedName>
    <definedName name="__shared_13_0_8" localSheetId="2">IF(#REF!&lt;#REF!, "te falta",IF(#REF!=#REF!,"muy bien",IF(#REF!&gt;#REF!,"te pasaste")))</definedName>
    <definedName name="__shared_13_0_8" localSheetId="5">IF(#REF!&lt;#REF!, "te falta",IF(#REF!=#REF!,"muy bien",IF(#REF!&gt;#REF!,"te pasaste")))</definedName>
    <definedName name="__shared_13_0_8" localSheetId="7">IF(#REF!&lt;#REF!, "te falta",IF(#REF!=#REF!,"muy bien",IF(#REF!&gt;#REF!,"te pasaste")))</definedName>
    <definedName name="__shared_13_0_8">IF(#REF!&lt;#REF!, "te falta",IF(#REF!=#REF!,"muy bien",IF(#REF!&gt;#REF!,"te pasaste")))</definedName>
    <definedName name="__shared_13_0_9" localSheetId="10">#REF!</definedName>
    <definedName name="__shared_13_0_9" localSheetId="1">#REF!</definedName>
    <definedName name="__shared_13_0_9" localSheetId="8">#REF!</definedName>
    <definedName name="__shared_13_0_9" localSheetId="0">#REF!</definedName>
    <definedName name="__shared_13_0_9" localSheetId="3">#REF!</definedName>
    <definedName name="__shared_13_0_9" localSheetId="4">#REF!</definedName>
    <definedName name="__shared_13_0_9" localSheetId="6">#REF!</definedName>
    <definedName name="__shared_13_0_9" localSheetId="2">#REF!</definedName>
    <definedName name="__shared_13_0_9" localSheetId="5">#REF!</definedName>
    <definedName name="__shared_13_0_9" localSheetId="7">#REF!</definedName>
    <definedName name="__shared_13_0_9">#REF!</definedName>
    <definedName name="__shared_14_0_0" localSheetId="10">(#REF!*4)+(#REF!*4)+(#REF!*9)</definedName>
    <definedName name="__shared_14_0_0" localSheetId="1">(#REF!*4)+(#REF!*4)+(#REF!*9)</definedName>
    <definedName name="__shared_14_0_0" localSheetId="8">(#REF!*4)+(#REF!*4)+(#REF!*9)</definedName>
    <definedName name="__shared_14_0_0" localSheetId="0">(#REF!*4)+(#REF!*4)+(#REF!*9)</definedName>
    <definedName name="__shared_14_0_0" localSheetId="3">(#REF!*4)+(#REF!*4)+(#REF!*9)</definedName>
    <definedName name="__shared_14_0_0" localSheetId="4">(#REF!*4)+(#REF!*4)+(#REF!*9)</definedName>
    <definedName name="__shared_14_0_0" localSheetId="6">(#REF!*4)+(#REF!*4)+(#REF!*9)</definedName>
    <definedName name="__shared_14_0_0" localSheetId="2">(#REF!*4)+(#REF!*4)+(#REF!*9)</definedName>
    <definedName name="__shared_14_0_0" localSheetId="5">(#REF!*4)+(#REF!*4)+(#REF!*9)</definedName>
    <definedName name="__shared_14_0_0" localSheetId="7">(#REF!*4)+(#REF!*4)+(#REF!*9)</definedName>
    <definedName name="__shared_14_0_0">(#REF!*4)+(#REF!*4)+(#REF!*9)</definedName>
    <definedName name="__shared_14_0_1" localSheetId="10">(#REF!*4)+(#REF!*4)+(#REF!*9)</definedName>
    <definedName name="__shared_14_0_1" localSheetId="1">(#REF!*4)+(#REF!*4)+(#REF!*9)</definedName>
    <definedName name="__shared_14_0_1" localSheetId="8">(#REF!*4)+(#REF!*4)+(#REF!*9)</definedName>
    <definedName name="__shared_14_0_1" localSheetId="0">(#REF!*4)+(#REF!*4)+(#REF!*9)</definedName>
    <definedName name="__shared_14_0_1" localSheetId="3">(#REF!*4)+(#REF!*4)+(#REF!*9)</definedName>
    <definedName name="__shared_14_0_1" localSheetId="4">(#REF!*4)+(#REF!*4)+(#REF!*9)</definedName>
    <definedName name="__shared_14_0_1" localSheetId="6">(#REF!*4)+(#REF!*4)+(#REF!*9)</definedName>
    <definedName name="__shared_14_0_1" localSheetId="2">(#REF!*4)+(#REF!*4)+(#REF!*9)</definedName>
    <definedName name="__shared_14_0_1" localSheetId="5">(#REF!*4)+(#REF!*4)+(#REF!*9)</definedName>
    <definedName name="__shared_14_0_1" localSheetId="7">(#REF!*4)+(#REF!*4)+(#REF!*9)</definedName>
    <definedName name="__shared_14_0_1">(#REF!*4)+(#REF!*4)+(#REF!*9)</definedName>
    <definedName name="__shared_14_0_10" localSheetId="10">#REF!</definedName>
    <definedName name="__shared_14_0_10" localSheetId="1">#REF!</definedName>
    <definedName name="__shared_14_0_10" localSheetId="8">#REF!</definedName>
    <definedName name="__shared_14_0_10" localSheetId="0">#REF!</definedName>
    <definedName name="__shared_14_0_10" localSheetId="3">#REF!</definedName>
    <definedName name="__shared_14_0_10" localSheetId="4">#REF!</definedName>
    <definedName name="__shared_14_0_10" localSheetId="6">#REF!</definedName>
    <definedName name="__shared_14_0_10" localSheetId="2">#REF!</definedName>
    <definedName name="__shared_14_0_10" localSheetId="5">#REF!</definedName>
    <definedName name="__shared_14_0_10" localSheetId="7">#REF!</definedName>
    <definedName name="__shared_14_0_10">#REF!</definedName>
    <definedName name="__shared_14_0_11" localSheetId="10">#REF!</definedName>
    <definedName name="__shared_14_0_11" localSheetId="1">#REF!</definedName>
    <definedName name="__shared_14_0_11" localSheetId="8">#REF!</definedName>
    <definedName name="__shared_14_0_11" localSheetId="0">#REF!</definedName>
    <definedName name="__shared_14_0_11" localSheetId="3">#REF!</definedName>
    <definedName name="__shared_14_0_11" localSheetId="4">#REF!</definedName>
    <definedName name="__shared_14_0_11" localSheetId="6">#REF!</definedName>
    <definedName name="__shared_14_0_11" localSheetId="2">#REF!</definedName>
    <definedName name="__shared_14_0_11" localSheetId="5">#REF!</definedName>
    <definedName name="__shared_14_0_11" localSheetId="7">#REF!</definedName>
    <definedName name="__shared_14_0_11">#REF!</definedName>
    <definedName name="__shared_14_0_12" localSheetId="10">#REF!</definedName>
    <definedName name="__shared_14_0_12" localSheetId="1">#REF!</definedName>
    <definedName name="__shared_14_0_12" localSheetId="8">#REF!</definedName>
    <definedName name="__shared_14_0_12" localSheetId="0">#REF!</definedName>
    <definedName name="__shared_14_0_12" localSheetId="3">#REF!</definedName>
    <definedName name="__shared_14_0_12" localSheetId="4">#REF!</definedName>
    <definedName name="__shared_14_0_12" localSheetId="6">#REF!</definedName>
    <definedName name="__shared_14_0_12" localSheetId="2">#REF!</definedName>
    <definedName name="__shared_14_0_12" localSheetId="5">#REF!</definedName>
    <definedName name="__shared_14_0_12" localSheetId="7">#REF!</definedName>
    <definedName name="__shared_14_0_12">#REF!</definedName>
    <definedName name="__shared_14_0_13" localSheetId="10">#REF!</definedName>
    <definedName name="__shared_14_0_13" localSheetId="1">#REF!</definedName>
    <definedName name="__shared_14_0_13" localSheetId="8">#REF!</definedName>
    <definedName name="__shared_14_0_13" localSheetId="0">#REF!</definedName>
    <definedName name="__shared_14_0_13" localSheetId="3">#REF!</definedName>
    <definedName name="__shared_14_0_13" localSheetId="4">#REF!</definedName>
    <definedName name="__shared_14_0_13" localSheetId="6">#REF!</definedName>
    <definedName name="__shared_14_0_13" localSheetId="2">#REF!</definedName>
    <definedName name="__shared_14_0_13" localSheetId="5">#REF!</definedName>
    <definedName name="__shared_14_0_13" localSheetId="7">#REF!</definedName>
    <definedName name="__shared_14_0_13">#REF!</definedName>
    <definedName name="__shared_14_0_2" localSheetId="10">(#REF!*4)+(#REF!*4)+(#REF!*9)</definedName>
    <definedName name="__shared_14_0_2" localSheetId="1">(#REF!*4)+(#REF!*4)+(#REF!*9)</definedName>
    <definedName name="__shared_14_0_2" localSheetId="8">(#REF!*4)+(#REF!*4)+(#REF!*9)</definedName>
    <definedName name="__shared_14_0_2" localSheetId="0">(#REF!*4)+(#REF!*4)+(#REF!*9)</definedName>
    <definedName name="__shared_14_0_2" localSheetId="3">(#REF!*4)+(#REF!*4)+(#REF!*9)</definedName>
    <definedName name="__shared_14_0_2" localSheetId="4">(#REF!*4)+(#REF!*4)+(#REF!*9)</definedName>
    <definedName name="__shared_14_0_2" localSheetId="6">(#REF!*4)+(#REF!*4)+(#REF!*9)</definedName>
    <definedName name="__shared_14_0_2" localSheetId="2">(#REF!*4)+(#REF!*4)+(#REF!*9)</definedName>
    <definedName name="__shared_14_0_2" localSheetId="5">(#REF!*4)+(#REF!*4)+(#REF!*9)</definedName>
    <definedName name="__shared_14_0_2" localSheetId="7">(#REF!*4)+(#REF!*4)+(#REF!*9)</definedName>
    <definedName name="__shared_14_0_2">(#REF!*4)+(#REF!*4)+(#REF!*9)</definedName>
    <definedName name="__shared_14_0_3" localSheetId="10">#REF!+#REF!+#REF!</definedName>
    <definedName name="__shared_14_0_3" localSheetId="1">#REF!+#REF!+#REF!</definedName>
    <definedName name="__shared_14_0_3" localSheetId="8">#REF!+#REF!+#REF!</definedName>
    <definedName name="__shared_14_0_3" localSheetId="0">#REF!+#REF!+#REF!</definedName>
    <definedName name="__shared_14_0_3" localSheetId="3">#REF!+#REF!+#REF!</definedName>
    <definedName name="__shared_14_0_3" localSheetId="4">#REF!+#REF!+#REF!</definedName>
    <definedName name="__shared_14_0_3" localSheetId="6">#REF!+#REF!+#REF!</definedName>
    <definedName name="__shared_14_0_3" localSheetId="2">#REF!+#REF!+#REF!</definedName>
    <definedName name="__shared_14_0_3" localSheetId="5">#REF!+#REF!+#REF!</definedName>
    <definedName name="__shared_14_0_3" localSheetId="7">#REF!+#REF!+#REF!</definedName>
    <definedName name="__shared_14_0_3">#REF!+#REF!+#REF!</definedName>
    <definedName name="__shared_14_0_4" localSheetId="10">(#REF!*4)+(#REF!*4)+(#REF!*9)</definedName>
    <definedName name="__shared_14_0_4" localSheetId="1">(#REF!*4)+(#REF!*4)+(#REF!*9)</definedName>
    <definedName name="__shared_14_0_4" localSheetId="8">(#REF!*4)+(#REF!*4)+(#REF!*9)</definedName>
    <definedName name="__shared_14_0_4" localSheetId="0">(#REF!*4)+(#REF!*4)+(#REF!*9)</definedName>
    <definedName name="__shared_14_0_4" localSheetId="3">(#REF!*4)+(#REF!*4)+(#REF!*9)</definedName>
    <definedName name="__shared_14_0_4" localSheetId="4">(#REF!*4)+(#REF!*4)+(#REF!*9)</definedName>
    <definedName name="__shared_14_0_4" localSheetId="6">(#REF!*4)+(#REF!*4)+(#REF!*9)</definedName>
    <definedName name="__shared_14_0_4" localSheetId="2">(#REF!*4)+(#REF!*4)+(#REF!*9)</definedName>
    <definedName name="__shared_14_0_4" localSheetId="5">(#REF!*4)+(#REF!*4)+(#REF!*9)</definedName>
    <definedName name="__shared_14_0_4" localSheetId="7">(#REF!*4)+(#REF!*4)+(#REF!*9)</definedName>
    <definedName name="__shared_14_0_4">(#REF!*4)+(#REF!*4)+(#REF!*9)</definedName>
    <definedName name="__shared_14_0_5" localSheetId="10">(#REF!*4)+(#REF!*4)+(#REF!*9)</definedName>
    <definedName name="__shared_14_0_5" localSheetId="1">(#REF!*4)+(#REF!*4)+(#REF!*9)</definedName>
    <definedName name="__shared_14_0_5" localSheetId="8">(#REF!*4)+(#REF!*4)+(#REF!*9)</definedName>
    <definedName name="__shared_14_0_5" localSheetId="0">(#REF!*4)+(#REF!*4)+(#REF!*9)</definedName>
    <definedName name="__shared_14_0_5" localSheetId="3">(#REF!*4)+(#REF!*4)+(#REF!*9)</definedName>
    <definedName name="__shared_14_0_5" localSheetId="4">(#REF!*4)+(#REF!*4)+(#REF!*9)</definedName>
    <definedName name="__shared_14_0_5" localSheetId="6">(#REF!*4)+(#REF!*4)+(#REF!*9)</definedName>
    <definedName name="__shared_14_0_5" localSheetId="2">(#REF!*4)+(#REF!*4)+(#REF!*9)</definedName>
    <definedName name="__shared_14_0_5" localSheetId="5">(#REF!*4)+(#REF!*4)+(#REF!*9)</definedName>
    <definedName name="__shared_14_0_5" localSheetId="7">(#REF!*4)+(#REF!*4)+(#REF!*9)</definedName>
    <definedName name="__shared_14_0_5">(#REF!*4)+(#REF!*4)+(#REF!*9)</definedName>
    <definedName name="__shared_14_0_6" localSheetId="10">SUM(#REF!)</definedName>
    <definedName name="__shared_14_0_6" localSheetId="1">SUM(#REF!)</definedName>
    <definedName name="__shared_14_0_6" localSheetId="8">SUM(#REF!)</definedName>
    <definedName name="__shared_14_0_6" localSheetId="0">SUM(#REF!)</definedName>
    <definedName name="__shared_14_0_6" localSheetId="3">SUM(#REF!)</definedName>
    <definedName name="__shared_14_0_6" localSheetId="4">SUM(#REF!)</definedName>
    <definedName name="__shared_14_0_6" localSheetId="6">SUM(#REF!)</definedName>
    <definedName name="__shared_14_0_6" localSheetId="2">SUM(#REF!)</definedName>
    <definedName name="__shared_14_0_6" localSheetId="5">SUM(#REF!)</definedName>
    <definedName name="__shared_14_0_6" localSheetId="7">SUM(#REF!)</definedName>
    <definedName name="__shared_14_0_6">SUM(#REF!)</definedName>
    <definedName name="__shared_14_0_7" localSheetId="10">#REF!</definedName>
    <definedName name="__shared_14_0_7" localSheetId="1">#REF!</definedName>
    <definedName name="__shared_14_0_7" localSheetId="8">#REF!</definedName>
    <definedName name="__shared_14_0_7" localSheetId="0">#REF!</definedName>
    <definedName name="__shared_14_0_7" localSheetId="3">#REF!</definedName>
    <definedName name="__shared_14_0_7" localSheetId="4">#REF!</definedName>
    <definedName name="__shared_14_0_7" localSheetId="6">#REF!</definedName>
    <definedName name="__shared_14_0_7" localSheetId="2">#REF!</definedName>
    <definedName name="__shared_14_0_7" localSheetId="5">#REF!</definedName>
    <definedName name="__shared_14_0_7" localSheetId="7">#REF!</definedName>
    <definedName name="__shared_14_0_7">#REF!</definedName>
    <definedName name="__shared_14_0_8" localSheetId="10">IF(#REF!&lt;#REF!, "te falta",IF(#REF!=#REF!,"muy bien",IF(#REF!&gt;#REF!,"te pasaste")))</definedName>
    <definedName name="__shared_14_0_8" localSheetId="1">IF(#REF!&lt;#REF!, "te falta",IF(#REF!=#REF!,"muy bien",IF(#REF!&gt;#REF!,"te pasaste")))</definedName>
    <definedName name="__shared_14_0_8" localSheetId="8">IF(#REF!&lt;#REF!, "te falta",IF(#REF!=#REF!,"muy bien",IF(#REF!&gt;#REF!,"te pasaste")))</definedName>
    <definedName name="__shared_14_0_8" localSheetId="0">IF(#REF!&lt;#REF!, "te falta",IF(#REF!=#REF!,"muy bien",IF(#REF!&gt;#REF!,"te pasaste")))</definedName>
    <definedName name="__shared_14_0_8" localSheetId="3">IF(#REF!&lt;#REF!, "te falta",IF(#REF!=#REF!,"muy bien",IF(#REF!&gt;#REF!,"te pasaste")))</definedName>
    <definedName name="__shared_14_0_8" localSheetId="4">IF(#REF!&lt;#REF!, "te falta",IF(#REF!=#REF!,"muy bien",IF(#REF!&gt;#REF!,"te pasaste")))</definedName>
    <definedName name="__shared_14_0_8" localSheetId="6">IF(#REF!&lt;#REF!, "te falta",IF(#REF!=#REF!,"muy bien",IF(#REF!&gt;#REF!,"te pasaste")))</definedName>
    <definedName name="__shared_14_0_8" localSheetId="2">IF(#REF!&lt;#REF!, "te falta",IF(#REF!=#REF!,"muy bien",IF(#REF!&gt;#REF!,"te pasaste")))</definedName>
    <definedName name="__shared_14_0_8" localSheetId="5">IF(#REF!&lt;#REF!, "te falta",IF(#REF!=#REF!,"muy bien",IF(#REF!&gt;#REF!,"te pasaste")))</definedName>
    <definedName name="__shared_14_0_8" localSheetId="7">IF(#REF!&lt;#REF!, "te falta",IF(#REF!=#REF!,"muy bien",IF(#REF!&gt;#REF!,"te pasaste")))</definedName>
    <definedName name="__shared_14_0_8">IF(#REF!&lt;#REF!, "te falta",IF(#REF!=#REF!,"muy bien",IF(#REF!&gt;#REF!,"te pasaste")))</definedName>
    <definedName name="__shared_14_0_9" localSheetId="10">#REF!</definedName>
    <definedName name="__shared_14_0_9" localSheetId="1">#REF!</definedName>
    <definedName name="__shared_14_0_9" localSheetId="8">#REF!</definedName>
    <definedName name="__shared_14_0_9" localSheetId="0">#REF!</definedName>
    <definedName name="__shared_14_0_9" localSheetId="3">#REF!</definedName>
    <definedName name="__shared_14_0_9" localSheetId="4">#REF!</definedName>
    <definedName name="__shared_14_0_9" localSheetId="6">#REF!</definedName>
    <definedName name="__shared_14_0_9" localSheetId="2">#REF!</definedName>
    <definedName name="__shared_14_0_9" localSheetId="5">#REF!</definedName>
    <definedName name="__shared_14_0_9" localSheetId="7">#REF!</definedName>
    <definedName name="__shared_14_0_9">#REF!</definedName>
    <definedName name="__shared_15_0_0" localSheetId="10">(#REF!*4)+(#REF!*4)+(#REF!*9)</definedName>
    <definedName name="__shared_15_0_0" localSheetId="1">(#REF!*4)+(#REF!*4)+(#REF!*9)</definedName>
    <definedName name="__shared_15_0_0" localSheetId="8">(#REF!*4)+(#REF!*4)+(#REF!*9)</definedName>
    <definedName name="__shared_15_0_0" localSheetId="0">(#REF!*4)+(#REF!*4)+(#REF!*9)</definedName>
    <definedName name="__shared_15_0_0" localSheetId="3">(#REF!*4)+(#REF!*4)+(#REF!*9)</definedName>
    <definedName name="__shared_15_0_0" localSheetId="4">(#REF!*4)+(#REF!*4)+(#REF!*9)</definedName>
    <definedName name="__shared_15_0_0" localSheetId="6">(#REF!*4)+(#REF!*4)+(#REF!*9)</definedName>
    <definedName name="__shared_15_0_0" localSheetId="2">(#REF!*4)+(#REF!*4)+(#REF!*9)</definedName>
    <definedName name="__shared_15_0_0" localSheetId="5">(#REF!*4)+(#REF!*4)+(#REF!*9)</definedName>
    <definedName name="__shared_15_0_0" localSheetId="7">(#REF!*4)+(#REF!*4)+(#REF!*9)</definedName>
    <definedName name="__shared_15_0_0">(#REF!*4)+(#REF!*4)+(#REF!*9)</definedName>
    <definedName name="__shared_15_0_1" localSheetId="10">(#REF!*4)+(#REF!*4)+(#REF!*9)</definedName>
    <definedName name="__shared_15_0_1" localSheetId="1">(#REF!*4)+(#REF!*4)+(#REF!*9)</definedName>
    <definedName name="__shared_15_0_1" localSheetId="8">(#REF!*4)+(#REF!*4)+(#REF!*9)</definedName>
    <definedName name="__shared_15_0_1" localSheetId="0">(#REF!*4)+(#REF!*4)+(#REF!*9)</definedName>
    <definedName name="__shared_15_0_1" localSheetId="3">(#REF!*4)+(#REF!*4)+(#REF!*9)</definedName>
    <definedName name="__shared_15_0_1" localSheetId="4">(#REF!*4)+(#REF!*4)+(#REF!*9)</definedName>
    <definedName name="__shared_15_0_1" localSheetId="6">(#REF!*4)+(#REF!*4)+(#REF!*9)</definedName>
    <definedName name="__shared_15_0_1" localSheetId="2">(#REF!*4)+(#REF!*4)+(#REF!*9)</definedName>
    <definedName name="__shared_15_0_1" localSheetId="5">(#REF!*4)+(#REF!*4)+(#REF!*9)</definedName>
    <definedName name="__shared_15_0_1" localSheetId="7">(#REF!*4)+(#REF!*4)+(#REF!*9)</definedName>
    <definedName name="__shared_15_0_1">(#REF!*4)+(#REF!*4)+(#REF!*9)</definedName>
    <definedName name="__shared_15_0_10" localSheetId="10">#REF!</definedName>
    <definedName name="__shared_15_0_10" localSheetId="1">#REF!</definedName>
    <definedName name="__shared_15_0_10" localSheetId="8">#REF!</definedName>
    <definedName name="__shared_15_0_10" localSheetId="0">#REF!</definedName>
    <definedName name="__shared_15_0_10" localSheetId="3">#REF!</definedName>
    <definedName name="__shared_15_0_10" localSheetId="4">#REF!</definedName>
    <definedName name="__shared_15_0_10" localSheetId="6">#REF!</definedName>
    <definedName name="__shared_15_0_10" localSheetId="2">#REF!</definedName>
    <definedName name="__shared_15_0_10" localSheetId="5">#REF!</definedName>
    <definedName name="__shared_15_0_10" localSheetId="7">#REF!</definedName>
    <definedName name="__shared_15_0_10">#REF!</definedName>
    <definedName name="__shared_15_0_11" localSheetId="10">#REF!</definedName>
    <definedName name="__shared_15_0_11" localSheetId="1">#REF!</definedName>
    <definedName name="__shared_15_0_11" localSheetId="8">#REF!</definedName>
    <definedName name="__shared_15_0_11" localSheetId="0">#REF!</definedName>
    <definedName name="__shared_15_0_11" localSheetId="3">#REF!</definedName>
    <definedName name="__shared_15_0_11" localSheetId="4">#REF!</definedName>
    <definedName name="__shared_15_0_11" localSheetId="6">#REF!</definedName>
    <definedName name="__shared_15_0_11" localSheetId="2">#REF!</definedName>
    <definedName name="__shared_15_0_11" localSheetId="5">#REF!</definedName>
    <definedName name="__shared_15_0_11" localSheetId="7">#REF!</definedName>
    <definedName name="__shared_15_0_11">#REF!</definedName>
    <definedName name="__shared_15_0_12" localSheetId="10">#REF!</definedName>
    <definedName name="__shared_15_0_12" localSheetId="1">#REF!</definedName>
    <definedName name="__shared_15_0_12" localSheetId="8">#REF!</definedName>
    <definedName name="__shared_15_0_12" localSheetId="0">#REF!</definedName>
    <definedName name="__shared_15_0_12" localSheetId="3">#REF!</definedName>
    <definedName name="__shared_15_0_12" localSheetId="4">#REF!</definedName>
    <definedName name="__shared_15_0_12" localSheetId="6">#REF!</definedName>
    <definedName name="__shared_15_0_12" localSheetId="2">#REF!</definedName>
    <definedName name="__shared_15_0_12" localSheetId="5">#REF!</definedName>
    <definedName name="__shared_15_0_12" localSheetId="7">#REF!</definedName>
    <definedName name="__shared_15_0_12">#REF!</definedName>
    <definedName name="__shared_15_0_13" localSheetId="10">#REF!</definedName>
    <definedName name="__shared_15_0_13" localSheetId="1">#REF!</definedName>
    <definedName name="__shared_15_0_13" localSheetId="8">#REF!</definedName>
    <definedName name="__shared_15_0_13" localSheetId="0">#REF!</definedName>
    <definedName name="__shared_15_0_13" localSheetId="3">#REF!</definedName>
    <definedName name="__shared_15_0_13" localSheetId="4">#REF!</definedName>
    <definedName name="__shared_15_0_13" localSheetId="6">#REF!</definedName>
    <definedName name="__shared_15_0_13" localSheetId="2">#REF!</definedName>
    <definedName name="__shared_15_0_13" localSheetId="5">#REF!</definedName>
    <definedName name="__shared_15_0_13" localSheetId="7">#REF!</definedName>
    <definedName name="__shared_15_0_13">#REF!</definedName>
    <definedName name="__shared_15_0_2" localSheetId="10">(#REF!*4)+(#REF!*4)+(#REF!*9)</definedName>
    <definedName name="__shared_15_0_2" localSheetId="1">(#REF!*4)+(#REF!*4)+(#REF!*9)</definedName>
    <definedName name="__shared_15_0_2" localSheetId="8">(#REF!*4)+(#REF!*4)+(#REF!*9)</definedName>
    <definedName name="__shared_15_0_2" localSheetId="0">(#REF!*4)+(#REF!*4)+(#REF!*9)</definedName>
    <definedName name="__shared_15_0_2" localSheetId="3">(#REF!*4)+(#REF!*4)+(#REF!*9)</definedName>
    <definedName name="__shared_15_0_2" localSheetId="4">(#REF!*4)+(#REF!*4)+(#REF!*9)</definedName>
    <definedName name="__shared_15_0_2" localSheetId="6">(#REF!*4)+(#REF!*4)+(#REF!*9)</definedName>
    <definedName name="__shared_15_0_2" localSheetId="2">(#REF!*4)+(#REF!*4)+(#REF!*9)</definedName>
    <definedName name="__shared_15_0_2" localSheetId="5">(#REF!*4)+(#REF!*4)+(#REF!*9)</definedName>
    <definedName name="__shared_15_0_2" localSheetId="7">(#REF!*4)+(#REF!*4)+(#REF!*9)</definedName>
    <definedName name="__shared_15_0_2">(#REF!*4)+(#REF!*4)+(#REF!*9)</definedName>
    <definedName name="__shared_15_0_3" localSheetId="10">#REF!+#REF!+#REF!</definedName>
    <definedName name="__shared_15_0_3" localSheetId="1">#REF!+#REF!+#REF!</definedName>
    <definedName name="__shared_15_0_3" localSheetId="8">#REF!+#REF!+#REF!</definedName>
    <definedName name="__shared_15_0_3" localSheetId="0">#REF!+#REF!+#REF!</definedName>
    <definedName name="__shared_15_0_3" localSheetId="3">#REF!+#REF!+#REF!</definedName>
    <definedName name="__shared_15_0_3" localSheetId="4">#REF!+#REF!+#REF!</definedName>
    <definedName name="__shared_15_0_3" localSheetId="6">#REF!+#REF!+#REF!</definedName>
    <definedName name="__shared_15_0_3" localSheetId="2">#REF!+#REF!+#REF!</definedName>
    <definedName name="__shared_15_0_3" localSheetId="5">#REF!+#REF!+#REF!</definedName>
    <definedName name="__shared_15_0_3" localSheetId="7">#REF!+#REF!+#REF!</definedName>
    <definedName name="__shared_15_0_3">#REF!+#REF!+#REF!</definedName>
    <definedName name="__shared_15_0_4" localSheetId="10">(#REF!*4)+(#REF!*4)+(#REF!*9)</definedName>
    <definedName name="__shared_15_0_4" localSheetId="1">(#REF!*4)+(#REF!*4)+(#REF!*9)</definedName>
    <definedName name="__shared_15_0_4" localSheetId="8">(#REF!*4)+(#REF!*4)+(#REF!*9)</definedName>
    <definedName name="__shared_15_0_4" localSheetId="0">(#REF!*4)+(#REF!*4)+(#REF!*9)</definedName>
    <definedName name="__shared_15_0_4" localSheetId="3">(#REF!*4)+(#REF!*4)+(#REF!*9)</definedName>
    <definedName name="__shared_15_0_4" localSheetId="4">(#REF!*4)+(#REF!*4)+(#REF!*9)</definedName>
    <definedName name="__shared_15_0_4" localSheetId="6">(#REF!*4)+(#REF!*4)+(#REF!*9)</definedName>
    <definedName name="__shared_15_0_4" localSheetId="2">(#REF!*4)+(#REF!*4)+(#REF!*9)</definedName>
    <definedName name="__shared_15_0_4" localSheetId="5">(#REF!*4)+(#REF!*4)+(#REF!*9)</definedName>
    <definedName name="__shared_15_0_4" localSheetId="7">(#REF!*4)+(#REF!*4)+(#REF!*9)</definedName>
    <definedName name="__shared_15_0_4">(#REF!*4)+(#REF!*4)+(#REF!*9)</definedName>
    <definedName name="__shared_15_0_5" localSheetId="10">(#REF!*4)+(#REF!*4)+(#REF!*9)</definedName>
    <definedName name="__shared_15_0_5" localSheetId="1">(#REF!*4)+(#REF!*4)+(#REF!*9)</definedName>
    <definedName name="__shared_15_0_5" localSheetId="8">(#REF!*4)+(#REF!*4)+(#REF!*9)</definedName>
    <definedName name="__shared_15_0_5" localSheetId="0">(#REF!*4)+(#REF!*4)+(#REF!*9)</definedName>
    <definedName name="__shared_15_0_5" localSheetId="3">(#REF!*4)+(#REF!*4)+(#REF!*9)</definedName>
    <definedName name="__shared_15_0_5" localSheetId="4">(#REF!*4)+(#REF!*4)+(#REF!*9)</definedName>
    <definedName name="__shared_15_0_5" localSheetId="6">(#REF!*4)+(#REF!*4)+(#REF!*9)</definedName>
    <definedName name="__shared_15_0_5" localSheetId="2">(#REF!*4)+(#REF!*4)+(#REF!*9)</definedName>
    <definedName name="__shared_15_0_5" localSheetId="5">(#REF!*4)+(#REF!*4)+(#REF!*9)</definedName>
    <definedName name="__shared_15_0_5" localSheetId="7">(#REF!*4)+(#REF!*4)+(#REF!*9)</definedName>
    <definedName name="__shared_15_0_5">(#REF!*4)+(#REF!*4)+(#REF!*9)</definedName>
    <definedName name="__shared_15_0_6" localSheetId="10">SUM(#REF!)</definedName>
    <definedName name="__shared_15_0_6" localSheetId="1">SUM(#REF!)</definedName>
    <definedName name="__shared_15_0_6" localSheetId="8">SUM(#REF!)</definedName>
    <definedName name="__shared_15_0_6" localSheetId="0">SUM(#REF!)</definedName>
    <definedName name="__shared_15_0_6" localSheetId="3">SUM(#REF!)</definedName>
    <definedName name="__shared_15_0_6" localSheetId="4">SUM(#REF!)</definedName>
    <definedName name="__shared_15_0_6" localSheetId="6">SUM(#REF!)</definedName>
    <definedName name="__shared_15_0_6" localSheetId="2">SUM(#REF!)</definedName>
    <definedName name="__shared_15_0_6" localSheetId="5">SUM(#REF!)</definedName>
    <definedName name="__shared_15_0_6" localSheetId="7">SUM(#REF!)</definedName>
    <definedName name="__shared_15_0_6">SUM(#REF!)</definedName>
    <definedName name="__shared_15_0_7" localSheetId="10">#REF!</definedName>
    <definedName name="__shared_15_0_7" localSheetId="1">#REF!</definedName>
    <definedName name="__shared_15_0_7" localSheetId="8">#REF!</definedName>
    <definedName name="__shared_15_0_7" localSheetId="0">#REF!</definedName>
    <definedName name="__shared_15_0_7" localSheetId="3">#REF!</definedName>
    <definedName name="__shared_15_0_7" localSheetId="4">#REF!</definedName>
    <definedName name="__shared_15_0_7" localSheetId="6">#REF!</definedName>
    <definedName name="__shared_15_0_7" localSheetId="2">#REF!</definedName>
    <definedName name="__shared_15_0_7" localSheetId="5">#REF!</definedName>
    <definedName name="__shared_15_0_7" localSheetId="7">#REF!</definedName>
    <definedName name="__shared_15_0_7">#REF!</definedName>
    <definedName name="__shared_15_0_8" localSheetId="10">IF(#REF!&lt;#REF!, "te falta",IF(#REF!=#REF!,"muy bien",IF(#REF!&gt;#REF!,"te pasaste")))</definedName>
    <definedName name="__shared_15_0_8" localSheetId="1">IF(#REF!&lt;#REF!, "te falta",IF(#REF!=#REF!,"muy bien",IF(#REF!&gt;#REF!,"te pasaste")))</definedName>
    <definedName name="__shared_15_0_8" localSheetId="8">IF(#REF!&lt;#REF!, "te falta",IF(#REF!=#REF!,"muy bien",IF(#REF!&gt;#REF!,"te pasaste")))</definedName>
    <definedName name="__shared_15_0_8" localSheetId="0">IF(#REF!&lt;#REF!, "te falta",IF(#REF!=#REF!,"muy bien",IF(#REF!&gt;#REF!,"te pasaste")))</definedName>
    <definedName name="__shared_15_0_8" localSheetId="3">IF(#REF!&lt;#REF!, "te falta",IF(#REF!=#REF!,"muy bien",IF(#REF!&gt;#REF!,"te pasaste")))</definedName>
    <definedName name="__shared_15_0_8" localSheetId="4">IF(#REF!&lt;#REF!, "te falta",IF(#REF!=#REF!,"muy bien",IF(#REF!&gt;#REF!,"te pasaste")))</definedName>
    <definedName name="__shared_15_0_8" localSheetId="6">IF(#REF!&lt;#REF!, "te falta",IF(#REF!=#REF!,"muy bien",IF(#REF!&gt;#REF!,"te pasaste")))</definedName>
    <definedName name="__shared_15_0_8" localSheetId="2">IF(#REF!&lt;#REF!, "te falta",IF(#REF!=#REF!,"muy bien",IF(#REF!&gt;#REF!,"te pasaste")))</definedName>
    <definedName name="__shared_15_0_8" localSheetId="5">IF(#REF!&lt;#REF!, "te falta",IF(#REF!=#REF!,"muy bien",IF(#REF!&gt;#REF!,"te pasaste")))</definedName>
    <definedName name="__shared_15_0_8" localSheetId="7">IF(#REF!&lt;#REF!, "te falta",IF(#REF!=#REF!,"muy bien",IF(#REF!&gt;#REF!,"te pasaste")))</definedName>
    <definedName name="__shared_15_0_8">IF(#REF!&lt;#REF!, "te falta",IF(#REF!=#REF!,"muy bien",IF(#REF!&gt;#REF!,"te pasaste")))</definedName>
    <definedName name="__shared_15_0_9" localSheetId="10">#REF!</definedName>
    <definedName name="__shared_15_0_9" localSheetId="1">#REF!</definedName>
    <definedName name="__shared_15_0_9" localSheetId="8">#REF!</definedName>
    <definedName name="__shared_15_0_9" localSheetId="0">#REF!</definedName>
    <definedName name="__shared_15_0_9" localSheetId="3">#REF!</definedName>
    <definedName name="__shared_15_0_9" localSheetId="4">#REF!</definedName>
    <definedName name="__shared_15_0_9" localSheetId="6">#REF!</definedName>
    <definedName name="__shared_15_0_9" localSheetId="2">#REF!</definedName>
    <definedName name="__shared_15_0_9" localSheetId="5">#REF!</definedName>
    <definedName name="__shared_15_0_9" localSheetId="7">#REF!</definedName>
    <definedName name="__shared_15_0_9">#REF!</definedName>
    <definedName name="__shared_2_0_0" localSheetId="10">(#REF!*4)+(#REF!*4)+(#REF!*9)</definedName>
    <definedName name="__shared_2_0_0" localSheetId="1">(#REF!*4)+(#REF!*4)+(#REF!*9)</definedName>
    <definedName name="__shared_2_0_0" localSheetId="8">(#REF!*4)+(#REF!*4)+(#REF!*9)</definedName>
    <definedName name="__shared_2_0_0" localSheetId="0">(#REF!*4)+(#REF!*4)+(#REF!*9)</definedName>
    <definedName name="__shared_2_0_0" localSheetId="3">(#REF!*4)+(#REF!*4)+(#REF!*9)</definedName>
    <definedName name="__shared_2_0_0" localSheetId="4">(#REF!*4)+(#REF!*4)+(#REF!*9)</definedName>
    <definedName name="__shared_2_0_0" localSheetId="6">(#REF!*4)+(#REF!*4)+(#REF!*9)</definedName>
    <definedName name="__shared_2_0_0" localSheetId="2">(#REF!*4)+(#REF!*4)+(#REF!*9)</definedName>
    <definedName name="__shared_2_0_0" localSheetId="5">(#REF!*4)+(#REF!*4)+(#REF!*9)</definedName>
    <definedName name="__shared_2_0_0" localSheetId="7">(#REF!*4)+(#REF!*4)+(#REF!*9)</definedName>
    <definedName name="__shared_2_0_0">(#REF!*4)+(#REF!*4)+(#REF!*9)</definedName>
    <definedName name="__shared_2_0_1" localSheetId="10">(#REF!*4)+(#REF!*4)+(#REF!*9)</definedName>
    <definedName name="__shared_2_0_1" localSheetId="1">(#REF!*4)+(#REF!*4)+(#REF!*9)</definedName>
    <definedName name="__shared_2_0_1" localSheetId="8">(#REF!*4)+(#REF!*4)+(#REF!*9)</definedName>
    <definedName name="__shared_2_0_1" localSheetId="0">(#REF!*4)+(#REF!*4)+(#REF!*9)</definedName>
    <definedName name="__shared_2_0_1" localSheetId="3">(#REF!*4)+(#REF!*4)+(#REF!*9)</definedName>
    <definedName name="__shared_2_0_1" localSheetId="4">(#REF!*4)+(#REF!*4)+(#REF!*9)</definedName>
    <definedName name="__shared_2_0_1" localSheetId="6">(#REF!*4)+(#REF!*4)+(#REF!*9)</definedName>
    <definedName name="__shared_2_0_1" localSheetId="2">(#REF!*4)+(#REF!*4)+(#REF!*9)</definedName>
    <definedName name="__shared_2_0_1" localSheetId="5">(#REF!*4)+(#REF!*4)+(#REF!*9)</definedName>
    <definedName name="__shared_2_0_1" localSheetId="7">(#REF!*4)+(#REF!*4)+(#REF!*9)</definedName>
    <definedName name="__shared_2_0_1">(#REF!*4)+(#REF!*4)+(#REF!*9)</definedName>
    <definedName name="__shared_2_0_2" localSheetId="10">SUM(#REF!)</definedName>
    <definedName name="__shared_2_0_2" localSheetId="1">SUM(#REF!)</definedName>
    <definedName name="__shared_2_0_2" localSheetId="8">SUM(#REF!)</definedName>
    <definedName name="__shared_2_0_2" localSheetId="0">SUM(#REF!)</definedName>
    <definedName name="__shared_2_0_2" localSheetId="3">SUM(#REF!)</definedName>
    <definedName name="__shared_2_0_2" localSheetId="4">SUM(#REF!)</definedName>
    <definedName name="__shared_2_0_2" localSheetId="6">SUM(#REF!)</definedName>
    <definedName name="__shared_2_0_2" localSheetId="2">SUM(#REF!)</definedName>
    <definedName name="__shared_2_0_2" localSheetId="5">SUM(#REF!)</definedName>
    <definedName name="__shared_2_0_2" localSheetId="7">SUM(#REF!)</definedName>
    <definedName name="__shared_2_0_2">SUM(#REF!)</definedName>
    <definedName name="__shared_2_0_3" localSheetId="10">#REF!</definedName>
    <definedName name="__shared_2_0_3" localSheetId="1">#REF!</definedName>
    <definedName name="__shared_2_0_3" localSheetId="8">#REF!</definedName>
    <definedName name="__shared_2_0_3" localSheetId="0">#REF!</definedName>
    <definedName name="__shared_2_0_3" localSheetId="3">#REF!</definedName>
    <definedName name="__shared_2_0_3" localSheetId="4">#REF!</definedName>
    <definedName name="__shared_2_0_3" localSheetId="6">#REF!</definedName>
    <definedName name="__shared_2_0_3" localSheetId="2">#REF!</definedName>
    <definedName name="__shared_2_0_3" localSheetId="5">#REF!</definedName>
    <definedName name="__shared_2_0_3" localSheetId="7">#REF!</definedName>
    <definedName name="__shared_2_0_3">#REF!</definedName>
    <definedName name="__shared_2_0_4" localSheetId="10">IF(#REF!&lt;#REF!, "te falta",IF(#REF!=#REF!,"muy bien",IF(#REF!&gt;#REF!,"te pasaste")))</definedName>
    <definedName name="__shared_2_0_4" localSheetId="1">IF(#REF!&lt;#REF!, "te falta",IF(#REF!=#REF!,"muy bien",IF(#REF!&gt;#REF!,"te pasaste")))</definedName>
    <definedName name="__shared_2_0_4" localSheetId="8">IF(#REF!&lt;#REF!, "te falta",IF(#REF!=#REF!,"muy bien",IF(#REF!&gt;#REF!,"te pasaste")))</definedName>
    <definedName name="__shared_2_0_4" localSheetId="0">IF(#REF!&lt;#REF!, "te falta",IF(#REF!=#REF!,"muy bien",IF(#REF!&gt;#REF!,"te pasaste")))</definedName>
    <definedName name="__shared_2_0_4" localSheetId="3">IF(#REF!&lt;#REF!, "te falta",IF(#REF!=#REF!,"muy bien",IF(#REF!&gt;#REF!,"te pasaste")))</definedName>
    <definedName name="__shared_2_0_4" localSheetId="4">IF(#REF!&lt;#REF!, "te falta",IF(#REF!=#REF!,"muy bien",IF(#REF!&gt;#REF!,"te pasaste")))</definedName>
    <definedName name="__shared_2_0_4" localSheetId="6">IF(#REF!&lt;#REF!, "te falta",IF(#REF!=#REF!,"muy bien",IF(#REF!&gt;#REF!,"te pasaste")))</definedName>
    <definedName name="__shared_2_0_4" localSheetId="2">IF(#REF!&lt;#REF!, "te falta",IF(#REF!=#REF!,"muy bien",IF(#REF!&gt;#REF!,"te pasaste")))</definedName>
    <definedName name="__shared_2_0_4" localSheetId="5">IF(#REF!&lt;#REF!, "te falta",IF(#REF!=#REF!,"muy bien",IF(#REF!&gt;#REF!,"te pasaste")))</definedName>
    <definedName name="__shared_2_0_4" localSheetId="7">IF(#REF!&lt;#REF!, "te falta",IF(#REF!=#REF!,"muy bien",IF(#REF!&gt;#REF!,"te pasaste")))</definedName>
    <definedName name="__shared_2_0_4">IF(#REF!&lt;#REF!, "te falta",IF(#REF!=#REF!,"muy bien",IF(#REF!&gt;#REF!,"te pasaste")))</definedName>
    <definedName name="__shared_2_0_5" localSheetId="10">#REF!</definedName>
    <definedName name="__shared_2_0_5" localSheetId="1">#REF!</definedName>
    <definedName name="__shared_2_0_5" localSheetId="8">#REF!</definedName>
    <definedName name="__shared_2_0_5" localSheetId="0">#REF!</definedName>
    <definedName name="__shared_2_0_5" localSheetId="3">#REF!</definedName>
    <definedName name="__shared_2_0_5" localSheetId="4">#REF!</definedName>
    <definedName name="__shared_2_0_5" localSheetId="6">#REF!</definedName>
    <definedName name="__shared_2_0_5" localSheetId="2">#REF!</definedName>
    <definedName name="__shared_2_0_5" localSheetId="5">#REF!</definedName>
    <definedName name="__shared_2_0_5" localSheetId="7">#REF!</definedName>
    <definedName name="__shared_2_0_5">#REF!</definedName>
    <definedName name="__shared_2_0_6" localSheetId="10">#REF!</definedName>
    <definedName name="__shared_2_0_6" localSheetId="1">#REF!</definedName>
    <definedName name="__shared_2_0_6" localSheetId="8">#REF!</definedName>
    <definedName name="__shared_2_0_6" localSheetId="0">#REF!</definedName>
    <definedName name="__shared_2_0_6" localSheetId="3">#REF!</definedName>
    <definedName name="__shared_2_0_6" localSheetId="4">#REF!</definedName>
    <definedName name="__shared_2_0_6" localSheetId="6">#REF!</definedName>
    <definedName name="__shared_2_0_6" localSheetId="2">#REF!</definedName>
    <definedName name="__shared_2_0_6" localSheetId="5">#REF!</definedName>
    <definedName name="__shared_2_0_6" localSheetId="7">#REF!</definedName>
    <definedName name="__shared_2_0_6">#REF!</definedName>
    <definedName name="__shared_2_0_7" localSheetId="10">#REF!</definedName>
    <definedName name="__shared_2_0_7" localSheetId="1">#REF!</definedName>
    <definedName name="__shared_2_0_7" localSheetId="8">#REF!</definedName>
    <definedName name="__shared_2_0_7" localSheetId="0">#REF!</definedName>
    <definedName name="__shared_2_0_7" localSheetId="3">#REF!</definedName>
    <definedName name="__shared_2_0_7" localSheetId="4">#REF!</definedName>
    <definedName name="__shared_2_0_7" localSheetId="6">#REF!</definedName>
    <definedName name="__shared_2_0_7" localSheetId="2">#REF!</definedName>
    <definedName name="__shared_2_0_7" localSheetId="5">#REF!</definedName>
    <definedName name="__shared_2_0_7" localSheetId="7">#REF!</definedName>
    <definedName name="__shared_2_0_7">#REF!</definedName>
    <definedName name="__shared_2_0_8" localSheetId="10">#REF!</definedName>
    <definedName name="__shared_2_0_8" localSheetId="1">#REF!</definedName>
    <definedName name="__shared_2_0_8" localSheetId="8">#REF!</definedName>
    <definedName name="__shared_2_0_8" localSheetId="0">#REF!</definedName>
    <definedName name="__shared_2_0_8" localSheetId="3">#REF!</definedName>
    <definedName name="__shared_2_0_8" localSheetId="4">#REF!</definedName>
    <definedName name="__shared_2_0_8" localSheetId="6">#REF!</definedName>
    <definedName name="__shared_2_0_8" localSheetId="2">#REF!</definedName>
    <definedName name="__shared_2_0_8" localSheetId="5">#REF!</definedName>
    <definedName name="__shared_2_0_8" localSheetId="7">#REF!</definedName>
    <definedName name="__shared_2_0_8">#REF!</definedName>
    <definedName name="__shared_2_0_9" localSheetId="10">#REF!</definedName>
    <definedName name="__shared_2_0_9" localSheetId="1">#REF!</definedName>
    <definedName name="__shared_2_0_9" localSheetId="8">#REF!</definedName>
    <definedName name="__shared_2_0_9" localSheetId="0">#REF!</definedName>
    <definedName name="__shared_2_0_9" localSheetId="3">#REF!</definedName>
    <definedName name="__shared_2_0_9" localSheetId="4">#REF!</definedName>
    <definedName name="__shared_2_0_9" localSheetId="6">#REF!</definedName>
    <definedName name="__shared_2_0_9" localSheetId="2">#REF!</definedName>
    <definedName name="__shared_2_0_9" localSheetId="5">#REF!</definedName>
    <definedName name="__shared_2_0_9" localSheetId="7">#REF!</definedName>
    <definedName name="__shared_2_0_9">#REF!</definedName>
    <definedName name="__shared_3_0_0" localSheetId="10">(#REF!*4)+(#REF!*4)+(#REF!*9)</definedName>
    <definedName name="__shared_3_0_0" localSheetId="1">(#REF!*4)+(#REF!*4)+(#REF!*9)</definedName>
    <definedName name="__shared_3_0_0" localSheetId="8">(#REF!*4)+(#REF!*4)+(#REF!*9)</definedName>
    <definedName name="__shared_3_0_0" localSheetId="0">(#REF!*4)+(#REF!*4)+(#REF!*9)</definedName>
    <definedName name="__shared_3_0_0" localSheetId="3">(#REF!*4)+(#REF!*4)+(#REF!*9)</definedName>
    <definedName name="__shared_3_0_0" localSheetId="4">(#REF!*4)+(#REF!*4)+(#REF!*9)</definedName>
    <definedName name="__shared_3_0_0" localSheetId="6">(#REF!*4)+(#REF!*4)+(#REF!*9)</definedName>
    <definedName name="__shared_3_0_0" localSheetId="2">(#REF!*4)+(#REF!*4)+(#REF!*9)</definedName>
    <definedName name="__shared_3_0_0" localSheetId="5">(#REF!*4)+(#REF!*4)+(#REF!*9)</definedName>
    <definedName name="__shared_3_0_0" localSheetId="7">(#REF!*4)+(#REF!*4)+(#REF!*9)</definedName>
    <definedName name="__shared_3_0_0">(#REF!*4)+(#REF!*4)+(#REF!*9)</definedName>
    <definedName name="__shared_3_0_1" localSheetId="10">(#REF!*4)+(#REF!*4)+(#REF!*9)</definedName>
    <definedName name="__shared_3_0_1" localSheetId="1">(#REF!*4)+(#REF!*4)+(#REF!*9)</definedName>
    <definedName name="__shared_3_0_1" localSheetId="8">(#REF!*4)+(#REF!*4)+(#REF!*9)</definedName>
    <definedName name="__shared_3_0_1" localSheetId="0">(#REF!*4)+(#REF!*4)+(#REF!*9)</definedName>
    <definedName name="__shared_3_0_1" localSheetId="3">(#REF!*4)+(#REF!*4)+(#REF!*9)</definedName>
    <definedName name="__shared_3_0_1" localSheetId="4">(#REF!*4)+(#REF!*4)+(#REF!*9)</definedName>
    <definedName name="__shared_3_0_1" localSheetId="6">(#REF!*4)+(#REF!*4)+(#REF!*9)</definedName>
    <definedName name="__shared_3_0_1" localSheetId="2">(#REF!*4)+(#REF!*4)+(#REF!*9)</definedName>
    <definedName name="__shared_3_0_1" localSheetId="5">(#REF!*4)+(#REF!*4)+(#REF!*9)</definedName>
    <definedName name="__shared_3_0_1" localSheetId="7">(#REF!*4)+(#REF!*4)+(#REF!*9)</definedName>
    <definedName name="__shared_3_0_1">(#REF!*4)+(#REF!*4)+(#REF!*9)</definedName>
    <definedName name="__shared_3_0_10" localSheetId="10">#REF!</definedName>
    <definedName name="__shared_3_0_10" localSheetId="1">#REF!</definedName>
    <definedName name="__shared_3_0_10" localSheetId="8">#REF!</definedName>
    <definedName name="__shared_3_0_10" localSheetId="0">#REF!</definedName>
    <definedName name="__shared_3_0_10" localSheetId="3">#REF!</definedName>
    <definedName name="__shared_3_0_10" localSheetId="4">#REF!</definedName>
    <definedName name="__shared_3_0_10" localSheetId="6">#REF!</definedName>
    <definedName name="__shared_3_0_10" localSheetId="2">#REF!</definedName>
    <definedName name="__shared_3_0_10" localSheetId="5">#REF!</definedName>
    <definedName name="__shared_3_0_10" localSheetId="7">#REF!</definedName>
    <definedName name="__shared_3_0_10">#REF!</definedName>
    <definedName name="__shared_3_0_11" localSheetId="10">#REF!</definedName>
    <definedName name="__shared_3_0_11" localSheetId="1">#REF!</definedName>
    <definedName name="__shared_3_0_11" localSheetId="8">#REF!</definedName>
    <definedName name="__shared_3_0_11" localSheetId="0">#REF!</definedName>
    <definedName name="__shared_3_0_11" localSheetId="3">#REF!</definedName>
    <definedName name="__shared_3_0_11" localSheetId="4">#REF!</definedName>
    <definedName name="__shared_3_0_11" localSheetId="6">#REF!</definedName>
    <definedName name="__shared_3_0_11" localSheetId="2">#REF!</definedName>
    <definedName name="__shared_3_0_11" localSheetId="5">#REF!</definedName>
    <definedName name="__shared_3_0_11" localSheetId="7">#REF!</definedName>
    <definedName name="__shared_3_0_11">#REF!</definedName>
    <definedName name="__shared_3_0_12" localSheetId="10">#REF!</definedName>
    <definedName name="__shared_3_0_12" localSheetId="1">#REF!</definedName>
    <definedName name="__shared_3_0_12" localSheetId="8">#REF!</definedName>
    <definedName name="__shared_3_0_12" localSheetId="0">#REF!</definedName>
    <definedName name="__shared_3_0_12" localSheetId="3">#REF!</definedName>
    <definedName name="__shared_3_0_12" localSheetId="4">#REF!</definedName>
    <definedName name="__shared_3_0_12" localSheetId="6">#REF!</definedName>
    <definedName name="__shared_3_0_12" localSheetId="2">#REF!</definedName>
    <definedName name="__shared_3_0_12" localSheetId="5">#REF!</definedName>
    <definedName name="__shared_3_0_12" localSheetId="7">#REF!</definedName>
    <definedName name="__shared_3_0_12">#REF!</definedName>
    <definedName name="__shared_3_0_13" localSheetId="10">#REF!</definedName>
    <definedName name="__shared_3_0_13" localSheetId="1">#REF!</definedName>
    <definedName name="__shared_3_0_13" localSheetId="8">#REF!</definedName>
    <definedName name="__shared_3_0_13" localSheetId="0">#REF!</definedName>
    <definedName name="__shared_3_0_13" localSheetId="3">#REF!</definedName>
    <definedName name="__shared_3_0_13" localSheetId="4">#REF!</definedName>
    <definedName name="__shared_3_0_13" localSheetId="6">#REF!</definedName>
    <definedName name="__shared_3_0_13" localSheetId="2">#REF!</definedName>
    <definedName name="__shared_3_0_13" localSheetId="5">#REF!</definedName>
    <definedName name="__shared_3_0_13" localSheetId="7">#REF!</definedName>
    <definedName name="__shared_3_0_13">#REF!</definedName>
    <definedName name="__shared_3_0_2" localSheetId="10">(#REF!*4)+(#REF!*4)+(#REF!*9)</definedName>
    <definedName name="__shared_3_0_2" localSheetId="1">(#REF!*4)+(#REF!*4)+(#REF!*9)</definedName>
    <definedName name="__shared_3_0_2" localSheetId="8">(#REF!*4)+(#REF!*4)+(#REF!*9)</definedName>
    <definedName name="__shared_3_0_2" localSheetId="0">(#REF!*4)+(#REF!*4)+(#REF!*9)</definedName>
    <definedName name="__shared_3_0_2" localSheetId="3">(#REF!*4)+(#REF!*4)+(#REF!*9)</definedName>
    <definedName name="__shared_3_0_2" localSheetId="4">(#REF!*4)+(#REF!*4)+(#REF!*9)</definedName>
    <definedName name="__shared_3_0_2" localSheetId="6">(#REF!*4)+(#REF!*4)+(#REF!*9)</definedName>
    <definedName name="__shared_3_0_2" localSheetId="2">(#REF!*4)+(#REF!*4)+(#REF!*9)</definedName>
    <definedName name="__shared_3_0_2" localSheetId="5">(#REF!*4)+(#REF!*4)+(#REF!*9)</definedName>
    <definedName name="__shared_3_0_2" localSheetId="7">(#REF!*4)+(#REF!*4)+(#REF!*9)</definedName>
    <definedName name="__shared_3_0_2">(#REF!*4)+(#REF!*4)+(#REF!*9)</definedName>
    <definedName name="__shared_3_0_3" localSheetId="10">#REF!+#REF!+#REF!</definedName>
    <definedName name="__shared_3_0_3" localSheetId="1">#REF!+#REF!+#REF!</definedName>
    <definedName name="__shared_3_0_3" localSheetId="8">#REF!+#REF!+#REF!</definedName>
    <definedName name="__shared_3_0_3" localSheetId="0">#REF!+#REF!+#REF!</definedName>
    <definedName name="__shared_3_0_3" localSheetId="3">#REF!+#REF!+#REF!</definedName>
    <definedName name="__shared_3_0_3" localSheetId="4">#REF!+#REF!+#REF!</definedName>
    <definedName name="__shared_3_0_3" localSheetId="6">#REF!+#REF!+#REF!</definedName>
    <definedName name="__shared_3_0_3" localSheetId="2">#REF!+#REF!+#REF!</definedName>
    <definedName name="__shared_3_0_3" localSheetId="5">#REF!+#REF!+#REF!</definedName>
    <definedName name="__shared_3_0_3" localSheetId="7">#REF!+#REF!+#REF!</definedName>
    <definedName name="__shared_3_0_3">#REF!+#REF!+#REF!</definedName>
    <definedName name="__shared_3_0_4" localSheetId="10">(#REF!*4)+(#REF!*4)+(#REF!*9)</definedName>
    <definedName name="__shared_3_0_4" localSheetId="1">(#REF!*4)+(#REF!*4)+(#REF!*9)</definedName>
    <definedName name="__shared_3_0_4" localSheetId="8">(#REF!*4)+(#REF!*4)+(#REF!*9)</definedName>
    <definedName name="__shared_3_0_4" localSheetId="0">(#REF!*4)+(#REF!*4)+(#REF!*9)</definedName>
    <definedName name="__shared_3_0_4" localSheetId="3">(#REF!*4)+(#REF!*4)+(#REF!*9)</definedName>
    <definedName name="__shared_3_0_4" localSheetId="4">(#REF!*4)+(#REF!*4)+(#REF!*9)</definedName>
    <definedName name="__shared_3_0_4" localSheetId="6">(#REF!*4)+(#REF!*4)+(#REF!*9)</definedName>
    <definedName name="__shared_3_0_4" localSheetId="2">(#REF!*4)+(#REF!*4)+(#REF!*9)</definedName>
    <definedName name="__shared_3_0_4" localSheetId="5">(#REF!*4)+(#REF!*4)+(#REF!*9)</definedName>
    <definedName name="__shared_3_0_4" localSheetId="7">(#REF!*4)+(#REF!*4)+(#REF!*9)</definedName>
    <definedName name="__shared_3_0_4">(#REF!*4)+(#REF!*4)+(#REF!*9)</definedName>
    <definedName name="__shared_3_0_5" localSheetId="10">(#REF!*4)+(#REF!*4)+(#REF!*9)</definedName>
    <definedName name="__shared_3_0_5" localSheetId="1">(#REF!*4)+(#REF!*4)+(#REF!*9)</definedName>
    <definedName name="__shared_3_0_5" localSheetId="8">(#REF!*4)+(#REF!*4)+(#REF!*9)</definedName>
    <definedName name="__shared_3_0_5" localSheetId="0">(#REF!*4)+(#REF!*4)+(#REF!*9)</definedName>
    <definedName name="__shared_3_0_5" localSheetId="3">(#REF!*4)+(#REF!*4)+(#REF!*9)</definedName>
    <definedName name="__shared_3_0_5" localSheetId="4">(#REF!*4)+(#REF!*4)+(#REF!*9)</definedName>
    <definedName name="__shared_3_0_5" localSheetId="6">(#REF!*4)+(#REF!*4)+(#REF!*9)</definedName>
    <definedName name="__shared_3_0_5" localSheetId="2">(#REF!*4)+(#REF!*4)+(#REF!*9)</definedName>
    <definedName name="__shared_3_0_5" localSheetId="5">(#REF!*4)+(#REF!*4)+(#REF!*9)</definedName>
    <definedName name="__shared_3_0_5" localSheetId="7">(#REF!*4)+(#REF!*4)+(#REF!*9)</definedName>
    <definedName name="__shared_3_0_5">(#REF!*4)+(#REF!*4)+(#REF!*9)</definedName>
    <definedName name="__shared_3_0_6" localSheetId="10">SUM(#REF!)</definedName>
    <definedName name="__shared_3_0_6" localSheetId="1">SUM(#REF!)</definedName>
    <definedName name="__shared_3_0_6" localSheetId="8">SUM(#REF!)</definedName>
    <definedName name="__shared_3_0_6" localSheetId="0">SUM(#REF!)</definedName>
    <definedName name="__shared_3_0_6" localSheetId="3">SUM(#REF!)</definedName>
    <definedName name="__shared_3_0_6" localSheetId="4">SUM(#REF!)</definedName>
    <definedName name="__shared_3_0_6" localSheetId="6">SUM(#REF!)</definedName>
    <definedName name="__shared_3_0_6" localSheetId="2">SUM(#REF!)</definedName>
    <definedName name="__shared_3_0_6" localSheetId="5">SUM(#REF!)</definedName>
    <definedName name="__shared_3_0_6" localSheetId="7">SUM(#REF!)</definedName>
    <definedName name="__shared_3_0_6">SUM(#REF!)</definedName>
    <definedName name="__shared_3_0_7" localSheetId="10">#REF!</definedName>
    <definedName name="__shared_3_0_7" localSheetId="1">#REF!</definedName>
    <definedName name="__shared_3_0_7" localSheetId="8">#REF!</definedName>
    <definedName name="__shared_3_0_7" localSheetId="0">#REF!</definedName>
    <definedName name="__shared_3_0_7" localSheetId="3">#REF!</definedName>
    <definedName name="__shared_3_0_7" localSheetId="4">#REF!</definedName>
    <definedName name="__shared_3_0_7" localSheetId="6">#REF!</definedName>
    <definedName name="__shared_3_0_7" localSheetId="2">#REF!</definedName>
    <definedName name="__shared_3_0_7" localSheetId="5">#REF!</definedName>
    <definedName name="__shared_3_0_7" localSheetId="7">#REF!</definedName>
    <definedName name="__shared_3_0_7">#REF!</definedName>
    <definedName name="__shared_3_0_8" localSheetId="10">IF(#REF!&lt;#REF!, "te falta",IF(#REF!=#REF!,"muy bien",IF(#REF!&gt;#REF!,"te pasaste")))</definedName>
    <definedName name="__shared_3_0_8" localSheetId="1">IF(#REF!&lt;#REF!, "te falta",IF(#REF!=#REF!,"muy bien",IF(#REF!&gt;#REF!,"te pasaste")))</definedName>
    <definedName name="__shared_3_0_8" localSheetId="8">IF(#REF!&lt;#REF!, "te falta",IF(#REF!=#REF!,"muy bien",IF(#REF!&gt;#REF!,"te pasaste")))</definedName>
    <definedName name="__shared_3_0_8" localSheetId="0">IF(#REF!&lt;#REF!, "te falta",IF(#REF!=#REF!,"muy bien",IF(#REF!&gt;#REF!,"te pasaste")))</definedName>
    <definedName name="__shared_3_0_8" localSheetId="3">IF(#REF!&lt;#REF!, "te falta",IF(#REF!=#REF!,"muy bien",IF(#REF!&gt;#REF!,"te pasaste")))</definedName>
    <definedName name="__shared_3_0_8" localSheetId="4">IF(#REF!&lt;#REF!, "te falta",IF(#REF!=#REF!,"muy bien",IF(#REF!&gt;#REF!,"te pasaste")))</definedName>
    <definedName name="__shared_3_0_8" localSheetId="6">IF(#REF!&lt;#REF!, "te falta",IF(#REF!=#REF!,"muy bien",IF(#REF!&gt;#REF!,"te pasaste")))</definedName>
    <definedName name="__shared_3_0_8" localSheetId="2">IF(#REF!&lt;#REF!, "te falta",IF(#REF!=#REF!,"muy bien",IF(#REF!&gt;#REF!,"te pasaste")))</definedName>
    <definedName name="__shared_3_0_8" localSheetId="5">IF(#REF!&lt;#REF!, "te falta",IF(#REF!=#REF!,"muy bien",IF(#REF!&gt;#REF!,"te pasaste")))</definedName>
    <definedName name="__shared_3_0_8" localSheetId="7">IF(#REF!&lt;#REF!, "te falta",IF(#REF!=#REF!,"muy bien",IF(#REF!&gt;#REF!,"te pasaste")))</definedName>
    <definedName name="__shared_3_0_8">IF(#REF!&lt;#REF!, "te falta",IF(#REF!=#REF!,"muy bien",IF(#REF!&gt;#REF!,"te pasaste")))</definedName>
    <definedName name="__shared_3_0_9" localSheetId="10">#REF!</definedName>
    <definedName name="__shared_3_0_9" localSheetId="1">#REF!</definedName>
    <definedName name="__shared_3_0_9" localSheetId="8">#REF!</definedName>
    <definedName name="__shared_3_0_9" localSheetId="0">#REF!</definedName>
    <definedName name="__shared_3_0_9" localSheetId="3">#REF!</definedName>
    <definedName name="__shared_3_0_9" localSheetId="4">#REF!</definedName>
    <definedName name="__shared_3_0_9" localSheetId="6">#REF!</definedName>
    <definedName name="__shared_3_0_9" localSheetId="2">#REF!</definedName>
    <definedName name="__shared_3_0_9" localSheetId="5">#REF!</definedName>
    <definedName name="__shared_3_0_9" localSheetId="7">#REF!</definedName>
    <definedName name="__shared_3_0_9">#REF!</definedName>
    <definedName name="__shared_4_0_0" localSheetId="10">(#REF!*4)+(#REF!*4)+(#REF!*9)</definedName>
    <definedName name="__shared_4_0_0" localSheetId="1">(#REF!*4)+(#REF!*4)+(#REF!*9)</definedName>
    <definedName name="__shared_4_0_0" localSheetId="8">(#REF!*4)+(#REF!*4)+(#REF!*9)</definedName>
    <definedName name="__shared_4_0_0" localSheetId="0">(#REF!*4)+(#REF!*4)+(#REF!*9)</definedName>
    <definedName name="__shared_4_0_0" localSheetId="3">(#REF!*4)+(#REF!*4)+(#REF!*9)</definedName>
    <definedName name="__shared_4_0_0" localSheetId="4">(#REF!*4)+(#REF!*4)+(#REF!*9)</definedName>
    <definedName name="__shared_4_0_0" localSheetId="6">(#REF!*4)+(#REF!*4)+(#REF!*9)</definedName>
    <definedName name="__shared_4_0_0" localSheetId="2">(#REF!*4)+(#REF!*4)+(#REF!*9)</definedName>
    <definedName name="__shared_4_0_0" localSheetId="5">(#REF!*4)+(#REF!*4)+(#REF!*9)</definedName>
    <definedName name="__shared_4_0_0" localSheetId="7">(#REF!*4)+(#REF!*4)+(#REF!*9)</definedName>
    <definedName name="__shared_4_0_0">(#REF!*4)+(#REF!*4)+(#REF!*9)</definedName>
    <definedName name="__shared_4_0_1" localSheetId="10">(#REF!*4)+(#REF!*4)+(#REF!*9)</definedName>
    <definedName name="__shared_4_0_1" localSheetId="1">(#REF!*4)+(#REF!*4)+(#REF!*9)</definedName>
    <definedName name="__shared_4_0_1" localSheetId="8">(#REF!*4)+(#REF!*4)+(#REF!*9)</definedName>
    <definedName name="__shared_4_0_1" localSheetId="0">(#REF!*4)+(#REF!*4)+(#REF!*9)</definedName>
    <definedName name="__shared_4_0_1" localSheetId="3">(#REF!*4)+(#REF!*4)+(#REF!*9)</definedName>
    <definedName name="__shared_4_0_1" localSheetId="4">(#REF!*4)+(#REF!*4)+(#REF!*9)</definedName>
    <definedName name="__shared_4_0_1" localSheetId="6">(#REF!*4)+(#REF!*4)+(#REF!*9)</definedName>
    <definedName name="__shared_4_0_1" localSheetId="2">(#REF!*4)+(#REF!*4)+(#REF!*9)</definedName>
    <definedName name="__shared_4_0_1" localSheetId="5">(#REF!*4)+(#REF!*4)+(#REF!*9)</definedName>
    <definedName name="__shared_4_0_1" localSheetId="7">(#REF!*4)+(#REF!*4)+(#REF!*9)</definedName>
    <definedName name="__shared_4_0_1">(#REF!*4)+(#REF!*4)+(#REF!*9)</definedName>
    <definedName name="__shared_4_0_2" localSheetId="10">SUM(#REF!)</definedName>
    <definedName name="__shared_4_0_2" localSheetId="1">SUM(#REF!)</definedName>
    <definedName name="__shared_4_0_2" localSheetId="8">SUM(#REF!)</definedName>
    <definedName name="__shared_4_0_2" localSheetId="0">SUM(#REF!)</definedName>
    <definedName name="__shared_4_0_2" localSheetId="3">SUM(#REF!)</definedName>
    <definedName name="__shared_4_0_2" localSheetId="4">SUM(#REF!)</definedName>
    <definedName name="__shared_4_0_2" localSheetId="6">SUM(#REF!)</definedName>
    <definedName name="__shared_4_0_2" localSheetId="2">SUM(#REF!)</definedName>
    <definedName name="__shared_4_0_2" localSheetId="5">SUM(#REF!)</definedName>
    <definedName name="__shared_4_0_2" localSheetId="7">SUM(#REF!)</definedName>
    <definedName name="__shared_4_0_2">SUM(#REF!)</definedName>
    <definedName name="__shared_4_0_3" localSheetId="10">#REF!</definedName>
    <definedName name="__shared_4_0_3" localSheetId="1">#REF!</definedName>
    <definedName name="__shared_4_0_3" localSheetId="8">#REF!</definedName>
    <definedName name="__shared_4_0_3" localSheetId="0">#REF!</definedName>
    <definedName name="__shared_4_0_3" localSheetId="3">#REF!</definedName>
    <definedName name="__shared_4_0_3" localSheetId="4">#REF!</definedName>
    <definedName name="__shared_4_0_3" localSheetId="6">#REF!</definedName>
    <definedName name="__shared_4_0_3" localSheetId="2">#REF!</definedName>
    <definedName name="__shared_4_0_3" localSheetId="5">#REF!</definedName>
    <definedName name="__shared_4_0_3" localSheetId="7">#REF!</definedName>
    <definedName name="__shared_4_0_3">#REF!</definedName>
    <definedName name="__shared_4_0_4" localSheetId="10">IF(#REF!&lt;#REF!, "te falta",IF(#REF!=#REF!,"muy bien",IF(#REF!&gt;#REF!,"te pasaste")))</definedName>
    <definedName name="__shared_4_0_4" localSheetId="1">IF(#REF!&lt;#REF!, "te falta",IF(#REF!=#REF!,"muy bien",IF(#REF!&gt;#REF!,"te pasaste")))</definedName>
    <definedName name="__shared_4_0_4" localSheetId="8">IF(#REF!&lt;#REF!, "te falta",IF(#REF!=#REF!,"muy bien",IF(#REF!&gt;#REF!,"te pasaste")))</definedName>
    <definedName name="__shared_4_0_4" localSheetId="0">IF(#REF!&lt;#REF!, "te falta",IF(#REF!=#REF!,"muy bien",IF(#REF!&gt;#REF!,"te pasaste")))</definedName>
    <definedName name="__shared_4_0_4" localSheetId="3">IF(#REF!&lt;#REF!, "te falta",IF(#REF!=#REF!,"muy bien",IF(#REF!&gt;#REF!,"te pasaste")))</definedName>
    <definedName name="__shared_4_0_4" localSheetId="4">IF(#REF!&lt;#REF!, "te falta",IF(#REF!=#REF!,"muy bien",IF(#REF!&gt;#REF!,"te pasaste")))</definedName>
    <definedName name="__shared_4_0_4" localSheetId="6">IF(#REF!&lt;#REF!, "te falta",IF(#REF!=#REF!,"muy bien",IF(#REF!&gt;#REF!,"te pasaste")))</definedName>
    <definedName name="__shared_4_0_4" localSheetId="2">IF(#REF!&lt;#REF!, "te falta",IF(#REF!=#REF!,"muy bien",IF(#REF!&gt;#REF!,"te pasaste")))</definedName>
    <definedName name="__shared_4_0_4" localSheetId="5">IF(#REF!&lt;#REF!, "te falta",IF(#REF!=#REF!,"muy bien",IF(#REF!&gt;#REF!,"te pasaste")))</definedName>
    <definedName name="__shared_4_0_4" localSheetId="7">IF(#REF!&lt;#REF!, "te falta",IF(#REF!=#REF!,"muy bien",IF(#REF!&gt;#REF!,"te pasaste")))</definedName>
    <definedName name="__shared_4_0_4">IF(#REF!&lt;#REF!, "te falta",IF(#REF!=#REF!,"muy bien",IF(#REF!&gt;#REF!,"te pasaste")))</definedName>
    <definedName name="__shared_4_0_5" localSheetId="10">#REF!</definedName>
    <definedName name="__shared_4_0_5" localSheetId="1">#REF!</definedName>
    <definedName name="__shared_4_0_5" localSheetId="8">#REF!</definedName>
    <definedName name="__shared_4_0_5" localSheetId="0">#REF!</definedName>
    <definedName name="__shared_4_0_5" localSheetId="3">#REF!</definedName>
    <definedName name="__shared_4_0_5" localSheetId="4">#REF!</definedName>
    <definedName name="__shared_4_0_5" localSheetId="6">#REF!</definedName>
    <definedName name="__shared_4_0_5" localSheetId="2">#REF!</definedName>
    <definedName name="__shared_4_0_5" localSheetId="5">#REF!</definedName>
    <definedName name="__shared_4_0_5" localSheetId="7">#REF!</definedName>
    <definedName name="__shared_4_0_5">#REF!</definedName>
    <definedName name="__shared_4_0_6" localSheetId="10">#REF!</definedName>
    <definedName name="__shared_4_0_6" localSheetId="1">#REF!</definedName>
    <definedName name="__shared_4_0_6" localSheetId="8">#REF!</definedName>
    <definedName name="__shared_4_0_6" localSheetId="0">#REF!</definedName>
    <definedName name="__shared_4_0_6" localSheetId="3">#REF!</definedName>
    <definedName name="__shared_4_0_6" localSheetId="4">#REF!</definedName>
    <definedName name="__shared_4_0_6" localSheetId="6">#REF!</definedName>
    <definedName name="__shared_4_0_6" localSheetId="2">#REF!</definedName>
    <definedName name="__shared_4_0_6" localSheetId="5">#REF!</definedName>
    <definedName name="__shared_4_0_6" localSheetId="7">#REF!</definedName>
    <definedName name="__shared_4_0_6">#REF!</definedName>
    <definedName name="__shared_4_0_7" localSheetId="10">#REF!</definedName>
    <definedName name="__shared_4_0_7" localSheetId="1">#REF!</definedName>
    <definedName name="__shared_4_0_7" localSheetId="8">#REF!</definedName>
    <definedName name="__shared_4_0_7" localSheetId="0">#REF!</definedName>
    <definedName name="__shared_4_0_7" localSheetId="3">#REF!</definedName>
    <definedName name="__shared_4_0_7" localSheetId="4">#REF!</definedName>
    <definedName name="__shared_4_0_7" localSheetId="6">#REF!</definedName>
    <definedName name="__shared_4_0_7" localSheetId="2">#REF!</definedName>
    <definedName name="__shared_4_0_7" localSheetId="5">#REF!</definedName>
    <definedName name="__shared_4_0_7" localSheetId="7">#REF!</definedName>
    <definedName name="__shared_4_0_7">#REF!</definedName>
    <definedName name="__shared_4_0_8" localSheetId="10">#REF!</definedName>
    <definedName name="__shared_4_0_8" localSheetId="1">#REF!</definedName>
    <definedName name="__shared_4_0_8" localSheetId="8">#REF!</definedName>
    <definedName name="__shared_4_0_8" localSheetId="0">#REF!</definedName>
    <definedName name="__shared_4_0_8" localSheetId="3">#REF!</definedName>
    <definedName name="__shared_4_0_8" localSheetId="4">#REF!</definedName>
    <definedName name="__shared_4_0_8" localSheetId="6">#REF!</definedName>
    <definedName name="__shared_4_0_8" localSheetId="2">#REF!</definedName>
    <definedName name="__shared_4_0_8" localSheetId="5">#REF!</definedName>
    <definedName name="__shared_4_0_8" localSheetId="7">#REF!</definedName>
    <definedName name="__shared_4_0_8">#REF!</definedName>
    <definedName name="__shared_4_0_9" localSheetId="10">#REF!</definedName>
    <definedName name="__shared_4_0_9" localSheetId="1">#REF!</definedName>
    <definedName name="__shared_4_0_9" localSheetId="8">#REF!</definedName>
    <definedName name="__shared_4_0_9" localSheetId="0">#REF!</definedName>
    <definedName name="__shared_4_0_9" localSheetId="3">#REF!</definedName>
    <definedName name="__shared_4_0_9" localSheetId="4">#REF!</definedName>
    <definedName name="__shared_4_0_9" localSheetId="6">#REF!</definedName>
    <definedName name="__shared_4_0_9" localSheetId="2">#REF!</definedName>
    <definedName name="__shared_4_0_9" localSheetId="5">#REF!</definedName>
    <definedName name="__shared_4_0_9" localSheetId="7">#REF!</definedName>
    <definedName name="__shared_4_0_9">#REF!</definedName>
    <definedName name="__shared_5_0_0" localSheetId="10">(#REF!*4)+(#REF!*4)+(#REF!*9)</definedName>
    <definedName name="__shared_5_0_0" localSheetId="1">(#REF!*4)+(#REF!*4)+(#REF!*9)</definedName>
    <definedName name="__shared_5_0_0" localSheetId="8">(#REF!*4)+(#REF!*4)+(#REF!*9)</definedName>
    <definedName name="__shared_5_0_0" localSheetId="0">(#REF!*4)+(#REF!*4)+(#REF!*9)</definedName>
    <definedName name="__shared_5_0_0" localSheetId="3">(#REF!*4)+(#REF!*4)+(#REF!*9)</definedName>
    <definedName name="__shared_5_0_0" localSheetId="4">(#REF!*4)+(#REF!*4)+(#REF!*9)</definedName>
    <definedName name="__shared_5_0_0" localSheetId="6">(#REF!*4)+(#REF!*4)+(#REF!*9)</definedName>
    <definedName name="__shared_5_0_0" localSheetId="2">(#REF!*4)+(#REF!*4)+(#REF!*9)</definedName>
    <definedName name="__shared_5_0_0" localSheetId="5">(#REF!*4)+(#REF!*4)+(#REF!*9)</definedName>
    <definedName name="__shared_5_0_0" localSheetId="7">(#REF!*4)+(#REF!*4)+(#REF!*9)</definedName>
    <definedName name="__shared_5_0_0">(#REF!*4)+(#REF!*4)+(#REF!*9)</definedName>
    <definedName name="__shared_5_0_1" localSheetId="10">(#REF!*4)+(#REF!*4)+(#REF!*9)</definedName>
    <definedName name="__shared_5_0_1" localSheetId="1">(#REF!*4)+(#REF!*4)+(#REF!*9)</definedName>
    <definedName name="__shared_5_0_1" localSheetId="8">(#REF!*4)+(#REF!*4)+(#REF!*9)</definedName>
    <definedName name="__shared_5_0_1" localSheetId="0">(#REF!*4)+(#REF!*4)+(#REF!*9)</definedName>
    <definedName name="__shared_5_0_1" localSheetId="3">(#REF!*4)+(#REF!*4)+(#REF!*9)</definedName>
    <definedName name="__shared_5_0_1" localSheetId="4">(#REF!*4)+(#REF!*4)+(#REF!*9)</definedName>
    <definedName name="__shared_5_0_1" localSheetId="6">(#REF!*4)+(#REF!*4)+(#REF!*9)</definedName>
    <definedName name="__shared_5_0_1" localSheetId="2">(#REF!*4)+(#REF!*4)+(#REF!*9)</definedName>
    <definedName name="__shared_5_0_1" localSheetId="5">(#REF!*4)+(#REF!*4)+(#REF!*9)</definedName>
    <definedName name="__shared_5_0_1" localSheetId="7">(#REF!*4)+(#REF!*4)+(#REF!*9)</definedName>
    <definedName name="__shared_5_0_1">(#REF!*4)+(#REF!*4)+(#REF!*9)</definedName>
    <definedName name="__shared_5_0_2" localSheetId="10">SUM(#REF!)</definedName>
    <definedName name="__shared_5_0_2" localSheetId="1">SUM(#REF!)</definedName>
    <definedName name="__shared_5_0_2" localSheetId="8">SUM(#REF!)</definedName>
    <definedName name="__shared_5_0_2" localSheetId="0">SUM(#REF!)</definedName>
    <definedName name="__shared_5_0_2" localSheetId="3">SUM(#REF!)</definedName>
    <definedName name="__shared_5_0_2" localSheetId="4">SUM(#REF!)</definedName>
    <definedName name="__shared_5_0_2" localSheetId="6">SUM(#REF!)</definedName>
    <definedName name="__shared_5_0_2" localSheetId="2">SUM(#REF!)</definedName>
    <definedName name="__shared_5_0_2" localSheetId="5">SUM(#REF!)</definedName>
    <definedName name="__shared_5_0_2" localSheetId="7">SUM(#REF!)</definedName>
    <definedName name="__shared_5_0_2">SUM(#REF!)</definedName>
    <definedName name="__shared_5_0_3" localSheetId="10">#REF!</definedName>
    <definedName name="__shared_5_0_3" localSheetId="1">#REF!</definedName>
    <definedName name="__shared_5_0_3" localSheetId="8">#REF!</definedName>
    <definedName name="__shared_5_0_3" localSheetId="0">#REF!</definedName>
    <definedName name="__shared_5_0_3" localSheetId="3">#REF!</definedName>
    <definedName name="__shared_5_0_3" localSheetId="4">#REF!</definedName>
    <definedName name="__shared_5_0_3" localSheetId="6">#REF!</definedName>
    <definedName name="__shared_5_0_3" localSheetId="2">#REF!</definedName>
    <definedName name="__shared_5_0_3" localSheetId="5">#REF!</definedName>
    <definedName name="__shared_5_0_3" localSheetId="7">#REF!</definedName>
    <definedName name="__shared_5_0_3">#REF!</definedName>
    <definedName name="__shared_5_0_4" localSheetId="10">IF(#REF!&lt;#REF!, "te falta",IF(#REF!=#REF!,"muy bien",IF(#REF!&gt;#REF!,"te pasaste")))</definedName>
    <definedName name="__shared_5_0_4" localSheetId="1">IF(#REF!&lt;#REF!, "te falta",IF(#REF!=#REF!,"muy bien",IF(#REF!&gt;#REF!,"te pasaste")))</definedName>
    <definedName name="__shared_5_0_4" localSheetId="8">IF(#REF!&lt;#REF!, "te falta",IF(#REF!=#REF!,"muy bien",IF(#REF!&gt;#REF!,"te pasaste")))</definedName>
    <definedName name="__shared_5_0_4" localSheetId="0">IF(#REF!&lt;#REF!, "te falta",IF(#REF!=#REF!,"muy bien",IF(#REF!&gt;#REF!,"te pasaste")))</definedName>
    <definedName name="__shared_5_0_4" localSheetId="3">IF(#REF!&lt;#REF!, "te falta",IF(#REF!=#REF!,"muy bien",IF(#REF!&gt;#REF!,"te pasaste")))</definedName>
    <definedName name="__shared_5_0_4" localSheetId="4">IF(#REF!&lt;#REF!, "te falta",IF(#REF!=#REF!,"muy bien",IF(#REF!&gt;#REF!,"te pasaste")))</definedName>
    <definedName name="__shared_5_0_4" localSheetId="6">IF(#REF!&lt;#REF!, "te falta",IF(#REF!=#REF!,"muy bien",IF(#REF!&gt;#REF!,"te pasaste")))</definedName>
    <definedName name="__shared_5_0_4" localSheetId="2">IF(#REF!&lt;#REF!, "te falta",IF(#REF!=#REF!,"muy bien",IF(#REF!&gt;#REF!,"te pasaste")))</definedName>
    <definedName name="__shared_5_0_4" localSheetId="5">IF(#REF!&lt;#REF!, "te falta",IF(#REF!=#REF!,"muy bien",IF(#REF!&gt;#REF!,"te pasaste")))</definedName>
    <definedName name="__shared_5_0_4" localSheetId="7">IF(#REF!&lt;#REF!, "te falta",IF(#REF!=#REF!,"muy bien",IF(#REF!&gt;#REF!,"te pasaste")))</definedName>
    <definedName name="__shared_5_0_4">IF(#REF!&lt;#REF!, "te falta",IF(#REF!=#REF!,"muy bien",IF(#REF!&gt;#REF!,"te pasaste")))</definedName>
    <definedName name="__shared_5_0_5" localSheetId="10">#REF!</definedName>
    <definedName name="__shared_5_0_5" localSheetId="1">#REF!</definedName>
    <definedName name="__shared_5_0_5" localSheetId="8">#REF!</definedName>
    <definedName name="__shared_5_0_5" localSheetId="0">#REF!</definedName>
    <definedName name="__shared_5_0_5" localSheetId="3">#REF!</definedName>
    <definedName name="__shared_5_0_5" localSheetId="4">#REF!</definedName>
    <definedName name="__shared_5_0_5" localSheetId="6">#REF!</definedName>
    <definedName name="__shared_5_0_5" localSheetId="2">#REF!</definedName>
    <definedName name="__shared_5_0_5" localSheetId="5">#REF!</definedName>
    <definedName name="__shared_5_0_5" localSheetId="7">#REF!</definedName>
    <definedName name="__shared_5_0_5">#REF!</definedName>
    <definedName name="__shared_5_0_6" localSheetId="10">#REF!</definedName>
    <definedName name="__shared_5_0_6" localSheetId="1">#REF!</definedName>
    <definedName name="__shared_5_0_6" localSheetId="8">#REF!</definedName>
    <definedName name="__shared_5_0_6" localSheetId="0">#REF!</definedName>
    <definedName name="__shared_5_0_6" localSheetId="3">#REF!</definedName>
    <definedName name="__shared_5_0_6" localSheetId="4">#REF!</definedName>
    <definedName name="__shared_5_0_6" localSheetId="6">#REF!</definedName>
    <definedName name="__shared_5_0_6" localSheetId="2">#REF!</definedName>
    <definedName name="__shared_5_0_6" localSheetId="5">#REF!</definedName>
    <definedName name="__shared_5_0_6" localSheetId="7">#REF!</definedName>
    <definedName name="__shared_5_0_6">#REF!</definedName>
    <definedName name="__shared_5_0_7" localSheetId="10">#REF!</definedName>
    <definedName name="__shared_5_0_7" localSheetId="1">#REF!</definedName>
    <definedName name="__shared_5_0_7" localSheetId="8">#REF!</definedName>
    <definedName name="__shared_5_0_7" localSheetId="0">#REF!</definedName>
    <definedName name="__shared_5_0_7" localSheetId="3">#REF!</definedName>
    <definedName name="__shared_5_0_7" localSheetId="4">#REF!</definedName>
    <definedName name="__shared_5_0_7" localSheetId="6">#REF!</definedName>
    <definedName name="__shared_5_0_7" localSheetId="2">#REF!</definedName>
    <definedName name="__shared_5_0_7" localSheetId="5">#REF!</definedName>
    <definedName name="__shared_5_0_7" localSheetId="7">#REF!</definedName>
    <definedName name="__shared_5_0_7">#REF!</definedName>
    <definedName name="__shared_5_0_8" localSheetId="10">#REF!</definedName>
    <definedName name="__shared_5_0_8" localSheetId="1">#REF!</definedName>
    <definedName name="__shared_5_0_8" localSheetId="8">#REF!</definedName>
    <definedName name="__shared_5_0_8" localSheetId="0">#REF!</definedName>
    <definedName name="__shared_5_0_8" localSheetId="3">#REF!</definedName>
    <definedName name="__shared_5_0_8" localSheetId="4">#REF!</definedName>
    <definedName name="__shared_5_0_8" localSheetId="6">#REF!</definedName>
    <definedName name="__shared_5_0_8" localSheetId="2">#REF!</definedName>
    <definedName name="__shared_5_0_8" localSheetId="5">#REF!</definedName>
    <definedName name="__shared_5_0_8" localSheetId="7">#REF!</definedName>
    <definedName name="__shared_5_0_8">#REF!</definedName>
    <definedName name="__shared_5_0_9" localSheetId="10">#REF!</definedName>
    <definedName name="__shared_5_0_9" localSheetId="1">#REF!</definedName>
    <definedName name="__shared_5_0_9" localSheetId="8">#REF!</definedName>
    <definedName name="__shared_5_0_9" localSheetId="0">#REF!</definedName>
    <definedName name="__shared_5_0_9" localSheetId="3">#REF!</definedName>
    <definedName name="__shared_5_0_9" localSheetId="4">#REF!</definedName>
    <definedName name="__shared_5_0_9" localSheetId="6">#REF!</definedName>
    <definedName name="__shared_5_0_9" localSheetId="2">#REF!</definedName>
    <definedName name="__shared_5_0_9" localSheetId="5">#REF!</definedName>
    <definedName name="__shared_5_0_9" localSheetId="7">#REF!</definedName>
    <definedName name="__shared_5_0_9">#REF!</definedName>
    <definedName name="__shared_6_0_0" localSheetId="10">(#REF!*4)+(#REF!*4)+(#REF!*9)</definedName>
    <definedName name="__shared_6_0_0" localSheetId="1">(#REF!*4)+(#REF!*4)+(#REF!*9)</definedName>
    <definedName name="__shared_6_0_0" localSheetId="8">(#REF!*4)+(#REF!*4)+(#REF!*9)</definedName>
    <definedName name="__shared_6_0_0" localSheetId="0">(#REF!*4)+(#REF!*4)+(#REF!*9)</definedName>
    <definedName name="__shared_6_0_0" localSheetId="3">(#REF!*4)+(#REF!*4)+(#REF!*9)</definedName>
    <definedName name="__shared_6_0_0" localSheetId="4">(#REF!*4)+(#REF!*4)+(#REF!*9)</definedName>
    <definedName name="__shared_6_0_0" localSheetId="6">(#REF!*4)+(#REF!*4)+(#REF!*9)</definedName>
    <definedName name="__shared_6_0_0" localSheetId="2">(#REF!*4)+(#REF!*4)+(#REF!*9)</definedName>
    <definedName name="__shared_6_0_0" localSheetId="5">(#REF!*4)+(#REF!*4)+(#REF!*9)</definedName>
    <definedName name="__shared_6_0_0" localSheetId="7">(#REF!*4)+(#REF!*4)+(#REF!*9)</definedName>
    <definedName name="__shared_6_0_0">(#REF!*4)+(#REF!*4)+(#REF!*9)</definedName>
    <definedName name="__shared_6_0_1" localSheetId="10">(#REF!*4)+(#REF!*4)+(#REF!*9)</definedName>
    <definedName name="__shared_6_0_1" localSheetId="1">(#REF!*4)+(#REF!*4)+(#REF!*9)</definedName>
    <definedName name="__shared_6_0_1" localSheetId="8">(#REF!*4)+(#REF!*4)+(#REF!*9)</definedName>
    <definedName name="__shared_6_0_1" localSheetId="0">(#REF!*4)+(#REF!*4)+(#REF!*9)</definedName>
    <definedName name="__shared_6_0_1" localSheetId="3">(#REF!*4)+(#REF!*4)+(#REF!*9)</definedName>
    <definedName name="__shared_6_0_1" localSheetId="4">(#REF!*4)+(#REF!*4)+(#REF!*9)</definedName>
    <definedName name="__shared_6_0_1" localSheetId="6">(#REF!*4)+(#REF!*4)+(#REF!*9)</definedName>
    <definedName name="__shared_6_0_1" localSheetId="2">(#REF!*4)+(#REF!*4)+(#REF!*9)</definedName>
    <definedName name="__shared_6_0_1" localSheetId="5">(#REF!*4)+(#REF!*4)+(#REF!*9)</definedName>
    <definedName name="__shared_6_0_1" localSheetId="7">(#REF!*4)+(#REF!*4)+(#REF!*9)</definedName>
    <definedName name="__shared_6_0_1">(#REF!*4)+(#REF!*4)+(#REF!*9)</definedName>
    <definedName name="__shared_6_0_10" localSheetId="10">#REF!</definedName>
    <definedName name="__shared_6_0_10" localSheetId="1">#REF!</definedName>
    <definedName name="__shared_6_0_10" localSheetId="8">#REF!</definedName>
    <definedName name="__shared_6_0_10" localSheetId="0">#REF!</definedName>
    <definedName name="__shared_6_0_10" localSheetId="3">#REF!</definedName>
    <definedName name="__shared_6_0_10" localSheetId="4">#REF!</definedName>
    <definedName name="__shared_6_0_10" localSheetId="6">#REF!</definedName>
    <definedName name="__shared_6_0_10" localSheetId="2">#REF!</definedName>
    <definedName name="__shared_6_0_10" localSheetId="5">#REF!</definedName>
    <definedName name="__shared_6_0_10" localSheetId="7">#REF!</definedName>
    <definedName name="__shared_6_0_10">#REF!</definedName>
    <definedName name="__shared_6_0_11" localSheetId="10">#REF!</definedName>
    <definedName name="__shared_6_0_11" localSheetId="1">#REF!</definedName>
    <definedName name="__shared_6_0_11" localSheetId="8">#REF!</definedName>
    <definedName name="__shared_6_0_11" localSheetId="0">#REF!</definedName>
    <definedName name="__shared_6_0_11" localSheetId="3">#REF!</definedName>
    <definedName name="__shared_6_0_11" localSheetId="4">#REF!</definedName>
    <definedName name="__shared_6_0_11" localSheetId="6">#REF!</definedName>
    <definedName name="__shared_6_0_11" localSheetId="2">#REF!</definedName>
    <definedName name="__shared_6_0_11" localSheetId="5">#REF!</definedName>
    <definedName name="__shared_6_0_11" localSheetId="7">#REF!</definedName>
    <definedName name="__shared_6_0_11">#REF!</definedName>
    <definedName name="__shared_6_0_12" localSheetId="10">#REF!</definedName>
    <definedName name="__shared_6_0_12" localSheetId="1">#REF!</definedName>
    <definedName name="__shared_6_0_12" localSheetId="8">#REF!</definedName>
    <definedName name="__shared_6_0_12" localSheetId="0">#REF!</definedName>
    <definedName name="__shared_6_0_12" localSheetId="3">#REF!</definedName>
    <definedName name="__shared_6_0_12" localSheetId="4">#REF!</definedName>
    <definedName name="__shared_6_0_12" localSheetId="6">#REF!</definedName>
    <definedName name="__shared_6_0_12" localSheetId="2">#REF!</definedName>
    <definedName name="__shared_6_0_12" localSheetId="5">#REF!</definedName>
    <definedName name="__shared_6_0_12" localSheetId="7">#REF!</definedName>
    <definedName name="__shared_6_0_12">#REF!</definedName>
    <definedName name="__shared_6_0_13" localSheetId="10">#REF!</definedName>
    <definedName name="__shared_6_0_13" localSheetId="1">#REF!</definedName>
    <definedName name="__shared_6_0_13" localSheetId="8">#REF!</definedName>
    <definedName name="__shared_6_0_13" localSheetId="0">#REF!</definedName>
    <definedName name="__shared_6_0_13" localSheetId="3">#REF!</definedName>
    <definedName name="__shared_6_0_13" localSheetId="4">#REF!</definedName>
    <definedName name="__shared_6_0_13" localSheetId="6">#REF!</definedName>
    <definedName name="__shared_6_0_13" localSheetId="2">#REF!</definedName>
    <definedName name="__shared_6_0_13" localSheetId="5">#REF!</definedName>
    <definedName name="__shared_6_0_13" localSheetId="7">#REF!</definedName>
    <definedName name="__shared_6_0_13">#REF!</definedName>
    <definedName name="__shared_6_0_2" localSheetId="10">(#REF!*4)+(#REF!*4)+(#REF!*9)</definedName>
    <definedName name="__shared_6_0_2" localSheetId="1">(#REF!*4)+(#REF!*4)+(#REF!*9)</definedName>
    <definedName name="__shared_6_0_2" localSheetId="8">(#REF!*4)+(#REF!*4)+(#REF!*9)</definedName>
    <definedName name="__shared_6_0_2" localSheetId="0">(#REF!*4)+(#REF!*4)+(#REF!*9)</definedName>
    <definedName name="__shared_6_0_2" localSheetId="3">(#REF!*4)+(#REF!*4)+(#REF!*9)</definedName>
    <definedName name="__shared_6_0_2" localSheetId="4">(#REF!*4)+(#REF!*4)+(#REF!*9)</definedName>
    <definedName name="__shared_6_0_2" localSheetId="6">(#REF!*4)+(#REF!*4)+(#REF!*9)</definedName>
    <definedName name="__shared_6_0_2" localSheetId="2">(#REF!*4)+(#REF!*4)+(#REF!*9)</definedName>
    <definedName name="__shared_6_0_2" localSheetId="5">(#REF!*4)+(#REF!*4)+(#REF!*9)</definedName>
    <definedName name="__shared_6_0_2" localSheetId="7">(#REF!*4)+(#REF!*4)+(#REF!*9)</definedName>
    <definedName name="__shared_6_0_2">(#REF!*4)+(#REF!*4)+(#REF!*9)</definedName>
    <definedName name="__shared_6_0_3" localSheetId="10">#REF!+#REF!+#REF!</definedName>
    <definedName name="__shared_6_0_3" localSheetId="1">#REF!+#REF!+#REF!</definedName>
    <definedName name="__shared_6_0_3" localSheetId="8">#REF!+#REF!+#REF!</definedName>
    <definedName name="__shared_6_0_3" localSheetId="0">#REF!+#REF!+#REF!</definedName>
    <definedName name="__shared_6_0_3" localSheetId="3">#REF!+#REF!+#REF!</definedName>
    <definedName name="__shared_6_0_3" localSheetId="4">#REF!+#REF!+#REF!</definedName>
    <definedName name="__shared_6_0_3" localSheetId="6">#REF!+#REF!+#REF!</definedName>
    <definedName name="__shared_6_0_3" localSheetId="2">#REF!+#REF!+#REF!</definedName>
    <definedName name="__shared_6_0_3" localSheetId="5">#REF!+#REF!+#REF!</definedName>
    <definedName name="__shared_6_0_3" localSheetId="7">#REF!+#REF!+#REF!</definedName>
    <definedName name="__shared_6_0_3">#REF!+#REF!+#REF!</definedName>
    <definedName name="__shared_6_0_4" localSheetId="10">(#REF!*4)+(#REF!*4)+(#REF!*9)</definedName>
    <definedName name="__shared_6_0_4" localSheetId="1">(#REF!*4)+(#REF!*4)+(#REF!*9)</definedName>
    <definedName name="__shared_6_0_4" localSheetId="8">(#REF!*4)+(#REF!*4)+(#REF!*9)</definedName>
    <definedName name="__shared_6_0_4" localSheetId="0">(#REF!*4)+(#REF!*4)+(#REF!*9)</definedName>
    <definedName name="__shared_6_0_4" localSheetId="3">(#REF!*4)+(#REF!*4)+(#REF!*9)</definedName>
    <definedName name="__shared_6_0_4" localSheetId="4">(#REF!*4)+(#REF!*4)+(#REF!*9)</definedName>
    <definedName name="__shared_6_0_4" localSheetId="6">(#REF!*4)+(#REF!*4)+(#REF!*9)</definedName>
    <definedName name="__shared_6_0_4" localSheetId="2">(#REF!*4)+(#REF!*4)+(#REF!*9)</definedName>
    <definedName name="__shared_6_0_4" localSheetId="5">(#REF!*4)+(#REF!*4)+(#REF!*9)</definedName>
    <definedName name="__shared_6_0_4" localSheetId="7">(#REF!*4)+(#REF!*4)+(#REF!*9)</definedName>
    <definedName name="__shared_6_0_4">(#REF!*4)+(#REF!*4)+(#REF!*9)</definedName>
    <definedName name="__shared_6_0_5" localSheetId="10">(#REF!*4)+(#REF!*4)+(#REF!*9)</definedName>
    <definedName name="__shared_6_0_5" localSheetId="1">(#REF!*4)+(#REF!*4)+(#REF!*9)</definedName>
    <definedName name="__shared_6_0_5" localSheetId="8">(#REF!*4)+(#REF!*4)+(#REF!*9)</definedName>
    <definedName name="__shared_6_0_5" localSheetId="0">(#REF!*4)+(#REF!*4)+(#REF!*9)</definedName>
    <definedName name="__shared_6_0_5" localSheetId="3">(#REF!*4)+(#REF!*4)+(#REF!*9)</definedName>
    <definedName name="__shared_6_0_5" localSheetId="4">(#REF!*4)+(#REF!*4)+(#REF!*9)</definedName>
    <definedName name="__shared_6_0_5" localSheetId="6">(#REF!*4)+(#REF!*4)+(#REF!*9)</definedName>
    <definedName name="__shared_6_0_5" localSheetId="2">(#REF!*4)+(#REF!*4)+(#REF!*9)</definedName>
    <definedName name="__shared_6_0_5" localSheetId="5">(#REF!*4)+(#REF!*4)+(#REF!*9)</definedName>
    <definedName name="__shared_6_0_5" localSheetId="7">(#REF!*4)+(#REF!*4)+(#REF!*9)</definedName>
    <definedName name="__shared_6_0_5">(#REF!*4)+(#REF!*4)+(#REF!*9)</definedName>
    <definedName name="__shared_6_0_6" localSheetId="10">SUM(#REF!)</definedName>
    <definedName name="__shared_6_0_6" localSheetId="1">SUM(#REF!)</definedName>
    <definedName name="__shared_6_0_6" localSheetId="8">SUM(#REF!)</definedName>
    <definedName name="__shared_6_0_6" localSheetId="0">SUM(#REF!)</definedName>
    <definedName name="__shared_6_0_6" localSheetId="3">SUM(#REF!)</definedName>
    <definedName name="__shared_6_0_6" localSheetId="4">SUM(#REF!)</definedName>
    <definedName name="__shared_6_0_6" localSheetId="6">SUM(#REF!)</definedName>
    <definedName name="__shared_6_0_6" localSheetId="2">SUM(#REF!)</definedName>
    <definedName name="__shared_6_0_6" localSheetId="5">SUM(#REF!)</definedName>
    <definedName name="__shared_6_0_6" localSheetId="7">SUM(#REF!)</definedName>
    <definedName name="__shared_6_0_6">SUM(#REF!)</definedName>
    <definedName name="__shared_6_0_7" localSheetId="10">#REF!</definedName>
    <definedName name="__shared_6_0_7" localSheetId="1">#REF!</definedName>
    <definedName name="__shared_6_0_7" localSheetId="8">#REF!</definedName>
    <definedName name="__shared_6_0_7" localSheetId="0">#REF!</definedName>
    <definedName name="__shared_6_0_7" localSheetId="3">#REF!</definedName>
    <definedName name="__shared_6_0_7" localSheetId="4">#REF!</definedName>
    <definedName name="__shared_6_0_7" localSheetId="6">#REF!</definedName>
    <definedName name="__shared_6_0_7" localSheetId="2">#REF!</definedName>
    <definedName name="__shared_6_0_7" localSheetId="5">#REF!</definedName>
    <definedName name="__shared_6_0_7" localSheetId="7">#REF!</definedName>
    <definedName name="__shared_6_0_7">#REF!</definedName>
    <definedName name="__shared_6_0_8" localSheetId="10">IF(#REF!&lt;#REF!, "te falta",IF(#REF!=#REF!,"muy bien",IF(#REF!&gt;#REF!,"te pasaste")))</definedName>
    <definedName name="__shared_6_0_8" localSheetId="1">IF(#REF!&lt;#REF!, "te falta",IF(#REF!=#REF!,"muy bien",IF(#REF!&gt;#REF!,"te pasaste")))</definedName>
    <definedName name="__shared_6_0_8" localSheetId="8">IF(#REF!&lt;#REF!, "te falta",IF(#REF!=#REF!,"muy bien",IF(#REF!&gt;#REF!,"te pasaste")))</definedName>
    <definedName name="__shared_6_0_8" localSheetId="0">IF(#REF!&lt;#REF!, "te falta",IF(#REF!=#REF!,"muy bien",IF(#REF!&gt;#REF!,"te pasaste")))</definedName>
    <definedName name="__shared_6_0_8" localSheetId="3">IF(#REF!&lt;#REF!, "te falta",IF(#REF!=#REF!,"muy bien",IF(#REF!&gt;#REF!,"te pasaste")))</definedName>
    <definedName name="__shared_6_0_8" localSheetId="4">IF(#REF!&lt;#REF!, "te falta",IF(#REF!=#REF!,"muy bien",IF(#REF!&gt;#REF!,"te pasaste")))</definedName>
    <definedName name="__shared_6_0_8" localSheetId="6">IF(#REF!&lt;#REF!, "te falta",IF(#REF!=#REF!,"muy bien",IF(#REF!&gt;#REF!,"te pasaste")))</definedName>
    <definedName name="__shared_6_0_8" localSheetId="2">IF(#REF!&lt;#REF!, "te falta",IF(#REF!=#REF!,"muy bien",IF(#REF!&gt;#REF!,"te pasaste")))</definedName>
    <definedName name="__shared_6_0_8" localSheetId="5">IF(#REF!&lt;#REF!, "te falta",IF(#REF!=#REF!,"muy bien",IF(#REF!&gt;#REF!,"te pasaste")))</definedName>
    <definedName name="__shared_6_0_8" localSheetId="7">IF(#REF!&lt;#REF!, "te falta",IF(#REF!=#REF!,"muy bien",IF(#REF!&gt;#REF!,"te pasaste")))</definedName>
    <definedName name="__shared_6_0_8">IF(#REF!&lt;#REF!, "te falta",IF(#REF!=#REF!,"muy bien",IF(#REF!&gt;#REF!,"te pasaste")))</definedName>
    <definedName name="__shared_6_0_9" localSheetId="10">#REF!</definedName>
    <definedName name="__shared_6_0_9" localSheetId="1">#REF!</definedName>
    <definedName name="__shared_6_0_9" localSheetId="8">#REF!</definedName>
    <definedName name="__shared_6_0_9" localSheetId="0">#REF!</definedName>
    <definedName name="__shared_6_0_9" localSheetId="3">#REF!</definedName>
    <definedName name="__shared_6_0_9" localSheetId="4">#REF!</definedName>
    <definedName name="__shared_6_0_9" localSheetId="6">#REF!</definedName>
    <definedName name="__shared_6_0_9" localSheetId="2">#REF!</definedName>
    <definedName name="__shared_6_0_9" localSheetId="5">#REF!</definedName>
    <definedName name="__shared_6_0_9" localSheetId="7">#REF!</definedName>
    <definedName name="__shared_6_0_9">#REF!</definedName>
    <definedName name="__shared_7_0_0" localSheetId="10">(#REF!*4)+(#REF!*4)+(#REF!*9)</definedName>
    <definedName name="__shared_7_0_0" localSheetId="1">(#REF!*4)+(#REF!*4)+(#REF!*9)</definedName>
    <definedName name="__shared_7_0_0" localSheetId="8">(#REF!*4)+(#REF!*4)+(#REF!*9)</definedName>
    <definedName name="__shared_7_0_0" localSheetId="0">(#REF!*4)+(#REF!*4)+(#REF!*9)</definedName>
    <definedName name="__shared_7_0_0" localSheetId="3">(#REF!*4)+(#REF!*4)+(#REF!*9)</definedName>
    <definedName name="__shared_7_0_0" localSheetId="4">(#REF!*4)+(#REF!*4)+(#REF!*9)</definedName>
    <definedName name="__shared_7_0_0" localSheetId="6">(#REF!*4)+(#REF!*4)+(#REF!*9)</definedName>
    <definedName name="__shared_7_0_0" localSheetId="2">(#REF!*4)+(#REF!*4)+(#REF!*9)</definedName>
    <definedName name="__shared_7_0_0" localSheetId="5">(#REF!*4)+(#REF!*4)+(#REF!*9)</definedName>
    <definedName name="__shared_7_0_0" localSheetId="7">(#REF!*4)+(#REF!*4)+(#REF!*9)</definedName>
    <definedName name="__shared_7_0_0">(#REF!*4)+(#REF!*4)+(#REF!*9)</definedName>
    <definedName name="__shared_7_0_1" localSheetId="10">(#REF!*4)+(#REF!*4)+(#REF!*9)</definedName>
    <definedName name="__shared_7_0_1" localSheetId="1">(#REF!*4)+(#REF!*4)+(#REF!*9)</definedName>
    <definedName name="__shared_7_0_1" localSheetId="8">(#REF!*4)+(#REF!*4)+(#REF!*9)</definedName>
    <definedName name="__shared_7_0_1" localSheetId="0">(#REF!*4)+(#REF!*4)+(#REF!*9)</definedName>
    <definedName name="__shared_7_0_1" localSheetId="3">(#REF!*4)+(#REF!*4)+(#REF!*9)</definedName>
    <definedName name="__shared_7_0_1" localSheetId="4">(#REF!*4)+(#REF!*4)+(#REF!*9)</definedName>
    <definedName name="__shared_7_0_1" localSheetId="6">(#REF!*4)+(#REF!*4)+(#REF!*9)</definedName>
    <definedName name="__shared_7_0_1" localSheetId="2">(#REF!*4)+(#REF!*4)+(#REF!*9)</definedName>
    <definedName name="__shared_7_0_1" localSheetId="5">(#REF!*4)+(#REF!*4)+(#REF!*9)</definedName>
    <definedName name="__shared_7_0_1" localSheetId="7">(#REF!*4)+(#REF!*4)+(#REF!*9)</definedName>
    <definedName name="__shared_7_0_1">(#REF!*4)+(#REF!*4)+(#REF!*9)</definedName>
    <definedName name="__shared_7_0_10" localSheetId="10">#REF!</definedName>
    <definedName name="__shared_7_0_10" localSheetId="1">#REF!</definedName>
    <definedName name="__shared_7_0_10" localSheetId="8">#REF!</definedName>
    <definedName name="__shared_7_0_10" localSheetId="0">#REF!</definedName>
    <definedName name="__shared_7_0_10" localSheetId="3">#REF!</definedName>
    <definedName name="__shared_7_0_10" localSheetId="4">#REF!</definedName>
    <definedName name="__shared_7_0_10" localSheetId="6">#REF!</definedName>
    <definedName name="__shared_7_0_10" localSheetId="2">#REF!</definedName>
    <definedName name="__shared_7_0_10" localSheetId="5">#REF!</definedName>
    <definedName name="__shared_7_0_10" localSheetId="7">#REF!</definedName>
    <definedName name="__shared_7_0_10">#REF!</definedName>
    <definedName name="__shared_7_0_11" localSheetId="10">#REF!</definedName>
    <definedName name="__shared_7_0_11" localSheetId="1">#REF!</definedName>
    <definedName name="__shared_7_0_11" localSheetId="8">#REF!</definedName>
    <definedName name="__shared_7_0_11" localSheetId="0">#REF!</definedName>
    <definedName name="__shared_7_0_11" localSheetId="3">#REF!</definedName>
    <definedName name="__shared_7_0_11" localSheetId="4">#REF!</definedName>
    <definedName name="__shared_7_0_11" localSheetId="6">#REF!</definedName>
    <definedName name="__shared_7_0_11" localSheetId="2">#REF!</definedName>
    <definedName name="__shared_7_0_11" localSheetId="5">#REF!</definedName>
    <definedName name="__shared_7_0_11" localSheetId="7">#REF!</definedName>
    <definedName name="__shared_7_0_11">#REF!</definedName>
    <definedName name="__shared_7_0_12" localSheetId="10">#REF!</definedName>
    <definedName name="__shared_7_0_12" localSheetId="1">#REF!</definedName>
    <definedName name="__shared_7_0_12" localSheetId="8">#REF!</definedName>
    <definedName name="__shared_7_0_12" localSheetId="0">#REF!</definedName>
    <definedName name="__shared_7_0_12" localSheetId="3">#REF!</definedName>
    <definedName name="__shared_7_0_12" localSheetId="4">#REF!</definedName>
    <definedName name="__shared_7_0_12" localSheetId="6">#REF!</definedName>
    <definedName name="__shared_7_0_12" localSheetId="2">#REF!</definedName>
    <definedName name="__shared_7_0_12" localSheetId="5">#REF!</definedName>
    <definedName name="__shared_7_0_12" localSheetId="7">#REF!</definedName>
    <definedName name="__shared_7_0_12">#REF!</definedName>
    <definedName name="__shared_7_0_13" localSheetId="10">#REF!</definedName>
    <definedName name="__shared_7_0_13" localSheetId="1">#REF!</definedName>
    <definedName name="__shared_7_0_13" localSheetId="8">#REF!</definedName>
    <definedName name="__shared_7_0_13" localSheetId="0">#REF!</definedName>
    <definedName name="__shared_7_0_13" localSheetId="3">#REF!</definedName>
    <definedName name="__shared_7_0_13" localSheetId="4">#REF!</definedName>
    <definedName name="__shared_7_0_13" localSheetId="6">#REF!</definedName>
    <definedName name="__shared_7_0_13" localSheetId="2">#REF!</definedName>
    <definedName name="__shared_7_0_13" localSheetId="5">#REF!</definedName>
    <definedName name="__shared_7_0_13" localSheetId="7">#REF!</definedName>
    <definedName name="__shared_7_0_13">#REF!</definedName>
    <definedName name="__shared_7_0_2" localSheetId="10">(#REF!*4)+(#REF!*4)+(#REF!*9)</definedName>
    <definedName name="__shared_7_0_2" localSheetId="1">(#REF!*4)+(#REF!*4)+(#REF!*9)</definedName>
    <definedName name="__shared_7_0_2" localSheetId="8">(#REF!*4)+(#REF!*4)+(#REF!*9)</definedName>
    <definedName name="__shared_7_0_2" localSheetId="0">(#REF!*4)+(#REF!*4)+(#REF!*9)</definedName>
    <definedName name="__shared_7_0_2" localSheetId="3">(#REF!*4)+(#REF!*4)+(#REF!*9)</definedName>
    <definedName name="__shared_7_0_2" localSheetId="4">(#REF!*4)+(#REF!*4)+(#REF!*9)</definedName>
    <definedName name="__shared_7_0_2" localSheetId="6">(#REF!*4)+(#REF!*4)+(#REF!*9)</definedName>
    <definedName name="__shared_7_0_2" localSheetId="2">(#REF!*4)+(#REF!*4)+(#REF!*9)</definedName>
    <definedName name="__shared_7_0_2" localSheetId="5">(#REF!*4)+(#REF!*4)+(#REF!*9)</definedName>
    <definedName name="__shared_7_0_2" localSheetId="7">(#REF!*4)+(#REF!*4)+(#REF!*9)</definedName>
    <definedName name="__shared_7_0_2">(#REF!*4)+(#REF!*4)+(#REF!*9)</definedName>
    <definedName name="__shared_7_0_3" localSheetId="10">#REF!+#REF!+#REF!</definedName>
    <definedName name="__shared_7_0_3" localSheetId="1">#REF!+#REF!+#REF!</definedName>
    <definedName name="__shared_7_0_3" localSheetId="8">#REF!+#REF!+#REF!</definedName>
    <definedName name="__shared_7_0_3" localSheetId="0">#REF!+#REF!+#REF!</definedName>
    <definedName name="__shared_7_0_3" localSheetId="3">#REF!+#REF!+#REF!</definedName>
    <definedName name="__shared_7_0_3" localSheetId="4">#REF!+#REF!+#REF!</definedName>
    <definedName name="__shared_7_0_3" localSheetId="6">#REF!+#REF!+#REF!</definedName>
    <definedName name="__shared_7_0_3" localSheetId="2">#REF!+#REF!+#REF!</definedName>
    <definedName name="__shared_7_0_3" localSheetId="5">#REF!+#REF!+#REF!</definedName>
    <definedName name="__shared_7_0_3" localSheetId="7">#REF!+#REF!+#REF!</definedName>
    <definedName name="__shared_7_0_3">#REF!+#REF!+#REF!</definedName>
    <definedName name="__shared_7_0_4" localSheetId="10">(#REF!*4)+(#REF!*4)+(#REF!*9)</definedName>
    <definedName name="__shared_7_0_4" localSheetId="1">(#REF!*4)+(#REF!*4)+(#REF!*9)</definedName>
    <definedName name="__shared_7_0_4" localSheetId="8">(#REF!*4)+(#REF!*4)+(#REF!*9)</definedName>
    <definedName name="__shared_7_0_4" localSheetId="0">(#REF!*4)+(#REF!*4)+(#REF!*9)</definedName>
    <definedName name="__shared_7_0_4" localSheetId="3">(#REF!*4)+(#REF!*4)+(#REF!*9)</definedName>
    <definedName name="__shared_7_0_4" localSheetId="4">(#REF!*4)+(#REF!*4)+(#REF!*9)</definedName>
    <definedName name="__shared_7_0_4" localSheetId="6">(#REF!*4)+(#REF!*4)+(#REF!*9)</definedName>
    <definedName name="__shared_7_0_4" localSheetId="2">(#REF!*4)+(#REF!*4)+(#REF!*9)</definedName>
    <definedName name="__shared_7_0_4" localSheetId="5">(#REF!*4)+(#REF!*4)+(#REF!*9)</definedName>
    <definedName name="__shared_7_0_4" localSheetId="7">(#REF!*4)+(#REF!*4)+(#REF!*9)</definedName>
    <definedName name="__shared_7_0_4">(#REF!*4)+(#REF!*4)+(#REF!*9)</definedName>
    <definedName name="__shared_7_0_5" localSheetId="10">(#REF!*4)+(#REF!*4)+(#REF!*9)</definedName>
    <definedName name="__shared_7_0_5" localSheetId="1">(#REF!*4)+(#REF!*4)+(#REF!*9)</definedName>
    <definedName name="__shared_7_0_5" localSheetId="8">(#REF!*4)+(#REF!*4)+(#REF!*9)</definedName>
    <definedName name="__shared_7_0_5" localSheetId="0">(#REF!*4)+(#REF!*4)+(#REF!*9)</definedName>
    <definedName name="__shared_7_0_5" localSheetId="3">(#REF!*4)+(#REF!*4)+(#REF!*9)</definedName>
    <definedName name="__shared_7_0_5" localSheetId="4">(#REF!*4)+(#REF!*4)+(#REF!*9)</definedName>
    <definedName name="__shared_7_0_5" localSheetId="6">(#REF!*4)+(#REF!*4)+(#REF!*9)</definedName>
    <definedName name="__shared_7_0_5" localSheetId="2">(#REF!*4)+(#REF!*4)+(#REF!*9)</definedName>
    <definedName name="__shared_7_0_5" localSheetId="5">(#REF!*4)+(#REF!*4)+(#REF!*9)</definedName>
    <definedName name="__shared_7_0_5" localSheetId="7">(#REF!*4)+(#REF!*4)+(#REF!*9)</definedName>
    <definedName name="__shared_7_0_5">(#REF!*4)+(#REF!*4)+(#REF!*9)</definedName>
    <definedName name="__shared_7_0_6" localSheetId="10">SUM(#REF!)</definedName>
    <definedName name="__shared_7_0_6" localSheetId="1">SUM(#REF!)</definedName>
    <definedName name="__shared_7_0_6" localSheetId="8">SUM(#REF!)</definedName>
    <definedName name="__shared_7_0_6" localSheetId="0">SUM(#REF!)</definedName>
    <definedName name="__shared_7_0_6" localSheetId="3">SUM(#REF!)</definedName>
    <definedName name="__shared_7_0_6" localSheetId="4">SUM(#REF!)</definedName>
    <definedName name="__shared_7_0_6" localSheetId="6">SUM(#REF!)</definedName>
    <definedName name="__shared_7_0_6" localSheetId="2">SUM(#REF!)</definedName>
    <definedName name="__shared_7_0_6" localSheetId="5">SUM(#REF!)</definedName>
    <definedName name="__shared_7_0_6" localSheetId="7">SUM(#REF!)</definedName>
    <definedName name="__shared_7_0_6">SUM(#REF!)</definedName>
    <definedName name="__shared_7_0_7" localSheetId="10">#REF!</definedName>
    <definedName name="__shared_7_0_7" localSheetId="1">#REF!</definedName>
    <definedName name="__shared_7_0_7" localSheetId="8">#REF!</definedName>
    <definedName name="__shared_7_0_7" localSheetId="0">#REF!</definedName>
    <definedName name="__shared_7_0_7" localSheetId="3">#REF!</definedName>
    <definedName name="__shared_7_0_7" localSheetId="4">#REF!</definedName>
    <definedName name="__shared_7_0_7" localSheetId="6">#REF!</definedName>
    <definedName name="__shared_7_0_7" localSheetId="2">#REF!</definedName>
    <definedName name="__shared_7_0_7" localSheetId="5">#REF!</definedName>
    <definedName name="__shared_7_0_7" localSheetId="7">#REF!</definedName>
    <definedName name="__shared_7_0_7">#REF!</definedName>
    <definedName name="__shared_7_0_8" localSheetId="10">IF(#REF!&lt;#REF!, "te falta",IF(#REF!=#REF!,"muy bien",IF(#REF!&gt;#REF!,"te pasaste")))</definedName>
    <definedName name="__shared_7_0_8" localSheetId="1">IF(#REF!&lt;#REF!, "te falta",IF(#REF!=#REF!,"muy bien",IF(#REF!&gt;#REF!,"te pasaste")))</definedName>
    <definedName name="__shared_7_0_8" localSheetId="8">IF(#REF!&lt;#REF!, "te falta",IF(#REF!=#REF!,"muy bien",IF(#REF!&gt;#REF!,"te pasaste")))</definedName>
    <definedName name="__shared_7_0_8" localSheetId="0">IF(#REF!&lt;#REF!, "te falta",IF(#REF!=#REF!,"muy bien",IF(#REF!&gt;#REF!,"te pasaste")))</definedName>
    <definedName name="__shared_7_0_8" localSheetId="3">IF(#REF!&lt;#REF!, "te falta",IF(#REF!=#REF!,"muy bien",IF(#REF!&gt;#REF!,"te pasaste")))</definedName>
    <definedName name="__shared_7_0_8" localSheetId="4">IF(#REF!&lt;#REF!, "te falta",IF(#REF!=#REF!,"muy bien",IF(#REF!&gt;#REF!,"te pasaste")))</definedName>
    <definedName name="__shared_7_0_8" localSheetId="6">IF(#REF!&lt;#REF!, "te falta",IF(#REF!=#REF!,"muy bien",IF(#REF!&gt;#REF!,"te pasaste")))</definedName>
    <definedName name="__shared_7_0_8" localSheetId="2">IF(#REF!&lt;#REF!, "te falta",IF(#REF!=#REF!,"muy bien",IF(#REF!&gt;#REF!,"te pasaste")))</definedName>
    <definedName name="__shared_7_0_8" localSheetId="5">IF(#REF!&lt;#REF!, "te falta",IF(#REF!=#REF!,"muy bien",IF(#REF!&gt;#REF!,"te pasaste")))</definedName>
    <definedName name="__shared_7_0_8" localSheetId="7">IF(#REF!&lt;#REF!, "te falta",IF(#REF!=#REF!,"muy bien",IF(#REF!&gt;#REF!,"te pasaste")))</definedName>
    <definedName name="__shared_7_0_8">IF(#REF!&lt;#REF!, "te falta",IF(#REF!=#REF!,"muy bien",IF(#REF!&gt;#REF!,"te pasaste")))</definedName>
    <definedName name="__shared_7_0_9" localSheetId="10">#REF!</definedName>
    <definedName name="__shared_7_0_9" localSheetId="1">#REF!</definedName>
    <definedName name="__shared_7_0_9" localSheetId="8">#REF!</definedName>
    <definedName name="__shared_7_0_9" localSheetId="0">#REF!</definedName>
    <definedName name="__shared_7_0_9" localSheetId="3">#REF!</definedName>
    <definedName name="__shared_7_0_9" localSheetId="4">#REF!</definedName>
    <definedName name="__shared_7_0_9" localSheetId="6">#REF!</definedName>
    <definedName name="__shared_7_0_9" localSheetId="2">#REF!</definedName>
    <definedName name="__shared_7_0_9" localSheetId="5">#REF!</definedName>
    <definedName name="__shared_7_0_9" localSheetId="7">#REF!</definedName>
    <definedName name="__shared_7_0_9">#REF!</definedName>
    <definedName name="__shared_8_0_0" localSheetId="10">(#REF!*4)+(#REF!*4)+(#REF!*9)</definedName>
    <definedName name="__shared_8_0_0" localSheetId="1">(#REF!*4)+(#REF!*4)+(#REF!*9)</definedName>
    <definedName name="__shared_8_0_0" localSheetId="8">(#REF!*4)+(#REF!*4)+(#REF!*9)</definedName>
    <definedName name="__shared_8_0_0" localSheetId="0">(#REF!*4)+(#REF!*4)+(#REF!*9)</definedName>
    <definedName name="__shared_8_0_0" localSheetId="3">(#REF!*4)+(#REF!*4)+(#REF!*9)</definedName>
    <definedName name="__shared_8_0_0" localSheetId="4">(#REF!*4)+(#REF!*4)+(#REF!*9)</definedName>
    <definedName name="__shared_8_0_0" localSheetId="6">(#REF!*4)+(#REF!*4)+(#REF!*9)</definedName>
    <definedName name="__shared_8_0_0" localSheetId="2">(#REF!*4)+(#REF!*4)+(#REF!*9)</definedName>
    <definedName name="__shared_8_0_0" localSheetId="5">(#REF!*4)+(#REF!*4)+(#REF!*9)</definedName>
    <definedName name="__shared_8_0_0" localSheetId="7">(#REF!*4)+(#REF!*4)+(#REF!*9)</definedName>
    <definedName name="__shared_8_0_0">(#REF!*4)+(#REF!*4)+(#REF!*9)</definedName>
    <definedName name="__shared_8_0_1" localSheetId="10">(#REF!*4)+(#REF!*4)+(#REF!*9)</definedName>
    <definedName name="__shared_8_0_1" localSheetId="1">(#REF!*4)+(#REF!*4)+(#REF!*9)</definedName>
    <definedName name="__shared_8_0_1" localSheetId="8">(#REF!*4)+(#REF!*4)+(#REF!*9)</definedName>
    <definedName name="__shared_8_0_1" localSheetId="0">(#REF!*4)+(#REF!*4)+(#REF!*9)</definedName>
    <definedName name="__shared_8_0_1" localSheetId="3">(#REF!*4)+(#REF!*4)+(#REF!*9)</definedName>
    <definedName name="__shared_8_0_1" localSheetId="4">(#REF!*4)+(#REF!*4)+(#REF!*9)</definedName>
    <definedName name="__shared_8_0_1" localSheetId="6">(#REF!*4)+(#REF!*4)+(#REF!*9)</definedName>
    <definedName name="__shared_8_0_1" localSheetId="2">(#REF!*4)+(#REF!*4)+(#REF!*9)</definedName>
    <definedName name="__shared_8_0_1" localSheetId="5">(#REF!*4)+(#REF!*4)+(#REF!*9)</definedName>
    <definedName name="__shared_8_0_1" localSheetId="7">(#REF!*4)+(#REF!*4)+(#REF!*9)</definedName>
    <definedName name="__shared_8_0_1">(#REF!*4)+(#REF!*4)+(#REF!*9)</definedName>
    <definedName name="__shared_8_0_10" localSheetId="10">#REF!</definedName>
    <definedName name="__shared_8_0_10" localSheetId="1">#REF!</definedName>
    <definedName name="__shared_8_0_10" localSheetId="8">#REF!</definedName>
    <definedName name="__shared_8_0_10" localSheetId="0">#REF!</definedName>
    <definedName name="__shared_8_0_10" localSheetId="3">#REF!</definedName>
    <definedName name="__shared_8_0_10" localSheetId="4">#REF!</definedName>
    <definedName name="__shared_8_0_10" localSheetId="6">#REF!</definedName>
    <definedName name="__shared_8_0_10" localSheetId="2">#REF!</definedName>
    <definedName name="__shared_8_0_10" localSheetId="5">#REF!</definedName>
    <definedName name="__shared_8_0_10" localSheetId="7">#REF!</definedName>
    <definedName name="__shared_8_0_10">#REF!</definedName>
    <definedName name="__shared_8_0_11" localSheetId="10">#REF!</definedName>
    <definedName name="__shared_8_0_11" localSheetId="1">#REF!</definedName>
    <definedName name="__shared_8_0_11" localSheetId="8">#REF!</definedName>
    <definedName name="__shared_8_0_11" localSheetId="0">#REF!</definedName>
    <definedName name="__shared_8_0_11" localSheetId="3">#REF!</definedName>
    <definedName name="__shared_8_0_11" localSheetId="4">#REF!</definedName>
    <definedName name="__shared_8_0_11" localSheetId="6">#REF!</definedName>
    <definedName name="__shared_8_0_11" localSheetId="2">#REF!</definedName>
    <definedName name="__shared_8_0_11" localSheetId="5">#REF!</definedName>
    <definedName name="__shared_8_0_11" localSheetId="7">#REF!</definedName>
    <definedName name="__shared_8_0_11">#REF!</definedName>
    <definedName name="__shared_8_0_12" localSheetId="10">#REF!</definedName>
    <definedName name="__shared_8_0_12" localSheetId="1">#REF!</definedName>
    <definedName name="__shared_8_0_12" localSheetId="8">#REF!</definedName>
    <definedName name="__shared_8_0_12" localSheetId="0">#REF!</definedName>
    <definedName name="__shared_8_0_12" localSheetId="3">#REF!</definedName>
    <definedName name="__shared_8_0_12" localSheetId="4">#REF!</definedName>
    <definedName name="__shared_8_0_12" localSheetId="6">#REF!</definedName>
    <definedName name="__shared_8_0_12" localSheetId="2">#REF!</definedName>
    <definedName name="__shared_8_0_12" localSheetId="5">#REF!</definedName>
    <definedName name="__shared_8_0_12" localSheetId="7">#REF!</definedName>
    <definedName name="__shared_8_0_12">#REF!</definedName>
    <definedName name="__shared_8_0_13" localSheetId="10">#REF!</definedName>
    <definedName name="__shared_8_0_13" localSheetId="1">#REF!</definedName>
    <definedName name="__shared_8_0_13" localSheetId="8">#REF!</definedName>
    <definedName name="__shared_8_0_13" localSheetId="0">#REF!</definedName>
    <definedName name="__shared_8_0_13" localSheetId="3">#REF!</definedName>
    <definedName name="__shared_8_0_13" localSheetId="4">#REF!</definedName>
    <definedName name="__shared_8_0_13" localSheetId="6">#REF!</definedName>
    <definedName name="__shared_8_0_13" localSheetId="2">#REF!</definedName>
    <definedName name="__shared_8_0_13" localSheetId="5">#REF!</definedName>
    <definedName name="__shared_8_0_13" localSheetId="7">#REF!</definedName>
    <definedName name="__shared_8_0_13">#REF!</definedName>
    <definedName name="__shared_8_0_2" localSheetId="10">(#REF!*4)+(#REF!*4)+(#REF!*9)</definedName>
    <definedName name="__shared_8_0_2" localSheetId="1">(#REF!*4)+(#REF!*4)+(#REF!*9)</definedName>
    <definedName name="__shared_8_0_2" localSheetId="8">(#REF!*4)+(#REF!*4)+(#REF!*9)</definedName>
    <definedName name="__shared_8_0_2" localSheetId="0">(#REF!*4)+(#REF!*4)+(#REF!*9)</definedName>
    <definedName name="__shared_8_0_2" localSheetId="3">(#REF!*4)+(#REF!*4)+(#REF!*9)</definedName>
    <definedName name="__shared_8_0_2" localSheetId="4">(#REF!*4)+(#REF!*4)+(#REF!*9)</definedName>
    <definedName name="__shared_8_0_2" localSheetId="6">(#REF!*4)+(#REF!*4)+(#REF!*9)</definedName>
    <definedName name="__shared_8_0_2" localSheetId="2">(#REF!*4)+(#REF!*4)+(#REF!*9)</definedName>
    <definedName name="__shared_8_0_2" localSheetId="5">(#REF!*4)+(#REF!*4)+(#REF!*9)</definedName>
    <definedName name="__shared_8_0_2" localSheetId="7">(#REF!*4)+(#REF!*4)+(#REF!*9)</definedName>
    <definedName name="__shared_8_0_2">(#REF!*4)+(#REF!*4)+(#REF!*9)</definedName>
    <definedName name="__shared_8_0_3" localSheetId="10">#REF!+#REF!+#REF!</definedName>
    <definedName name="__shared_8_0_3" localSheetId="1">#REF!+#REF!+#REF!</definedName>
    <definedName name="__shared_8_0_3" localSheetId="8">#REF!+#REF!+#REF!</definedName>
    <definedName name="__shared_8_0_3" localSheetId="0">#REF!+#REF!+#REF!</definedName>
    <definedName name="__shared_8_0_3" localSheetId="3">#REF!+#REF!+#REF!</definedName>
    <definedName name="__shared_8_0_3" localSheetId="4">#REF!+#REF!+#REF!</definedName>
    <definedName name="__shared_8_0_3" localSheetId="6">#REF!+#REF!+#REF!</definedName>
    <definedName name="__shared_8_0_3" localSheetId="2">#REF!+#REF!+#REF!</definedName>
    <definedName name="__shared_8_0_3" localSheetId="5">#REF!+#REF!+#REF!</definedName>
    <definedName name="__shared_8_0_3" localSheetId="7">#REF!+#REF!+#REF!</definedName>
    <definedName name="__shared_8_0_3">#REF!+#REF!+#REF!</definedName>
    <definedName name="__shared_8_0_4" localSheetId="10">(#REF!*4)+(#REF!*4)+(#REF!*9)</definedName>
    <definedName name="__shared_8_0_4" localSheetId="1">(#REF!*4)+(#REF!*4)+(#REF!*9)</definedName>
    <definedName name="__shared_8_0_4" localSheetId="8">(#REF!*4)+(#REF!*4)+(#REF!*9)</definedName>
    <definedName name="__shared_8_0_4" localSheetId="0">(#REF!*4)+(#REF!*4)+(#REF!*9)</definedName>
    <definedName name="__shared_8_0_4" localSheetId="3">(#REF!*4)+(#REF!*4)+(#REF!*9)</definedName>
    <definedName name="__shared_8_0_4" localSheetId="4">(#REF!*4)+(#REF!*4)+(#REF!*9)</definedName>
    <definedName name="__shared_8_0_4" localSheetId="6">(#REF!*4)+(#REF!*4)+(#REF!*9)</definedName>
    <definedName name="__shared_8_0_4" localSheetId="2">(#REF!*4)+(#REF!*4)+(#REF!*9)</definedName>
    <definedName name="__shared_8_0_4" localSheetId="5">(#REF!*4)+(#REF!*4)+(#REF!*9)</definedName>
    <definedName name="__shared_8_0_4" localSheetId="7">(#REF!*4)+(#REF!*4)+(#REF!*9)</definedName>
    <definedName name="__shared_8_0_4">(#REF!*4)+(#REF!*4)+(#REF!*9)</definedName>
    <definedName name="__shared_8_0_5" localSheetId="10">(#REF!*4)+(#REF!*4)+(#REF!*9)</definedName>
    <definedName name="__shared_8_0_5" localSheetId="1">(#REF!*4)+(#REF!*4)+(#REF!*9)</definedName>
    <definedName name="__shared_8_0_5" localSheetId="8">(#REF!*4)+(#REF!*4)+(#REF!*9)</definedName>
    <definedName name="__shared_8_0_5" localSheetId="0">(#REF!*4)+(#REF!*4)+(#REF!*9)</definedName>
    <definedName name="__shared_8_0_5" localSheetId="3">(#REF!*4)+(#REF!*4)+(#REF!*9)</definedName>
    <definedName name="__shared_8_0_5" localSheetId="4">(#REF!*4)+(#REF!*4)+(#REF!*9)</definedName>
    <definedName name="__shared_8_0_5" localSheetId="6">(#REF!*4)+(#REF!*4)+(#REF!*9)</definedName>
    <definedName name="__shared_8_0_5" localSheetId="2">(#REF!*4)+(#REF!*4)+(#REF!*9)</definedName>
    <definedName name="__shared_8_0_5" localSheetId="5">(#REF!*4)+(#REF!*4)+(#REF!*9)</definedName>
    <definedName name="__shared_8_0_5" localSheetId="7">(#REF!*4)+(#REF!*4)+(#REF!*9)</definedName>
    <definedName name="__shared_8_0_5">(#REF!*4)+(#REF!*4)+(#REF!*9)</definedName>
    <definedName name="__shared_8_0_6" localSheetId="10">SUM(#REF!)</definedName>
    <definedName name="__shared_8_0_6" localSheetId="1">SUM(#REF!)</definedName>
    <definedName name="__shared_8_0_6" localSheetId="8">SUM(#REF!)</definedName>
    <definedName name="__shared_8_0_6" localSheetId="0">SUM(#REF!)</definedName>
    <definedName name="__shared_8_0_6" localSheetId="3">SUM(#REF!)</definedName>
    <definedName name="__shared_8_0_6" localSheetId="4">SUM(#REF!)</definedName>
    <definedName name="__shared_8_0_6" localSheetId="6">SUM(#REF!)</definedName>
    <definedName name="__shared_8_0_6" localSheetId="2">SUM(#REF!)</definedName>
    <definedName name="__shared_8_0_6" localSheetId="5">SUM(#REF!)</definedName>
    <definedName name="__shared_8_0_6" localSheetId="7">SUM(#REF!)</definedName>
    <definedName name="__shared_8_0_6">SUM(#REF!)</definedName>
    <definedName name="__shared_8_0_7" localSheetId="10">#REF!</definedName>
    <definedName name="__shared_8_0_7" localSheetId="1">#REF!</definedName>
    <definedName name="__shared_8_0_7" localSheetId="8">#REF!</definedName>
    <definedName name="__shared_8_0_7" localSheetId="0">#REF!</definedName>
    <definedName name="__shared_8_0_7" localSheetId="3">#REF!</definedName>
    <definedName name="__shared_8_0_7" localSheetId="4">#REF!</definedName>
    <definedName name="__shared_8_0_7" localSheetId="6">#REF!</definedName>
    <definedName name="__shared_8_0_7" localSheetId="2">#REF!</definedName>
    <definedName name="__shared_8_0_7" localSheetId="5">#REF!</definedName>
    <definedName name="__shared_8_0_7" localSheetId="7">#REF!</definedName>
    <definedName name="__shared_8_0_7">#REF!</definedName>
    <definedName name="__shared_8_0_8" localSheetId="10">IF(#REF!&lt;#REF!, "te falta",IF(#REF!=#REF!,"muy bien",IF(#REF!&gt;#REF!,"te pasaste")))</definedName>
    <definedName name="__shared_8_0_8" localSheetId="1">IF(#REF!&lt;#REF!, "te falta",IF(#REF!=#REF!,"muy bien",IF(#REF!&gt;#REF!,"te pasaste")))</definedName>
    <definedName name="__shared_8_0_8" localSheetId="8">IF(#REF!&lt;#REF!, "te falta",IF(#REF!=#REF!,"muy bien",IF(#REF!&gt;#REF!,"te pasaste")))</definedName>
    <definedName name="__shared_8_0_8" localSheetId="0">IF(#REF!&lt;#REF!, "te falta",IF(#REF!=#REF!,"muy bien",IF(#REF!&gt;#REF!,"te pasaste")))</definedName>
    <definedName name="__shared_8_0_8" localSheetId="3">IF(#REF!&lt;#REF!, "te falta",IF(#REF!=#REF!,"muy bien",IF(#REF!&gt;#REF!,"te pasaste")))</definedName>
    <definedName name="__shared_8_0_8" localSheetId="4">IF(#REF!&lt;#REF!, "te falta",IF(#REF!=#REF!,"muy bien",IF(#REF!&gt;#REF!,"te pasaste")))</definedName>
    <definedName name="__shared_8_0_8" localSheetId="6">IF(#REF!&lt;#REF!, "te falta",IF(#REF!=#REF!,"muy bien",IF(#REF!&gt;#REF!,"te pasaste")))</definedName>
    <definedName name="__shared_8_0_8" localSheetId="2">IF(#REF!&lt;#REF!, "te falta",IF(#REF!=#REF!,"muy bien",IF(#REF!&gt;#REF!,"te pasaste")))</definedName>
    <definedName name="__shared_8_0_8" localSheetId="5">IF(#REF!&lt;#REF!, "te falta",IF(#REF!=#REF!,"muy bien",IF(#REF!&gt;#REF!,"te pasaste")))</definedName>
    <definedName name="__shared_8_0_8" localSheetId="7">IF(#REF!&lt;#REF!, "te falta",IF(#REF!=#REF!,"muy bien",IF(#REF!&gt;#REF!,"te pasaste")))</definedName>
    <definedName name="__shared_8_0_8">IF(#REF!&lt;#REF!, "te falta",IF(#REF!=#REF!,"muy bien",IF(#REF!&gt;#REF!,"te pasaste")))</definedName>
    <definedName name="__shared_8_0_9" localSheetId="10">#REF!</definedName>
    <definedName name="__shared_8_0_9" localSheetId="1">#REF!</definedName>
    <definedName name="__shared_8_0_9" localSheetId="8">#REF!</definedName>
    <definedName name="__shared_8_0_9" localSheetId="0">#REF!</definedName>
    <definedName name="__shared_8_0_9" localSheetId="3">#REF!</definedName>
    <definedName name="__shared_8_0_9" localSheetId="4">#REF!</definedName>
    <definedName name="__shared_8_0_9" localSheetId="6">#REF!</definedName>
    <definedName name="__shared_8_0_9" localSheetId="2">#REF!</definedName>
    <definedName name="__shared_8_0_9" localSheetId="5">#REF!</definedName>
    <definedName name="__shared_8_0_9" localSheetId="7">#REF!</definedName>
    <definedName name="__shared_8_0_9">#REF!</definedName>
    <definedName name="__shared_9_0_0" localSheetId="10">(#REF!*4)+(#REF!*4)+(#REF!*9)</definedName>
    <definedName name="__shared_9_0_0" localSheetId="1">(#REF!*4)+(#REF!*4)+(#REF!*9)</definedName>
    <definedName name="__shared_9_0_0" localSheetId="8">(#REF!*4)+(#REF!*4)+(#REF!*9)</definedName>
    <definedName name="__shared_9_0_0" localSheetId="0">(#REF!*4)+(#REF!*4)+(#REF!*9)</definedName>
    <definedName name="__shared_9_0_0" localSheetId="3">(#REF!*4)+(#REF!*4)+(#REF!*9)</definedName>
    <definedName name="__shared_9_0_0" localSheetId="4">(#REF!*4)+(#REF!*4)+(#REF!*9)</definedName>
    <definedName name="__shared_9_0_0" localSheetId="6">(#REF!*4)+(#REF!*4)+(#REF!*9)</definedName>
    <definedName name="__shared_9_0_0" localSheetId="2">(#REF!*4)+(#REF!*4)+(#REF!*9)</definedName>
    <definedName name="__shared_9_0_0" localSheetId="5">(#REF!*4)+(#REF!*4)+(#REF!*9)</definedName>
    <definedName name="__shared_9_0_0" localSheetId="7">(#REF!*4)+(#REF!*4)+(#REF!*9)</definedName>
    <definedName name="__shared_9_0_0">(#REF!*4)+(#REF!*4)+(#REF!*9)</definedName>
    <definedName name="__shared_9_0_1" localSheetId="10">(#REF!*4)+(#REF!*4)+(#REF!*9)</definedName>
    <definedName name="__shared_9_0_1" localSheetId="1">(#REF!*4)+(#REF!*4)+(#REF!*9)</definedName>
    <definedName name="__shared_9_0_1" localSheetId="8">(#REF!*4)+(#REF!*4)+(#REF!*9)</definedName>
    <definedName name="__shared_9_0_1" localSheetId="0">(#REF!*4)+(#REF!*4)+(#REF!*9)</definedName>
    <definedName name="__shared_9_0_1" localSheetId="3">(#REF!*4)+(#REF!*4)+(#REF!*9)</definedName>
    <definedName name="__shared_9_0_1" localSheetId="4">(#REF!*4)+(#REF!*4)+(#REF!*9)</definedName>
    <definedName name="__shared_9_0_1" localSheetId="6">(#REF!*4)+(#REF!*4)+(#REF!*9)</definedName>
    <definedName name="__shared_9_0_1" localSheetId="2">(#REF!*4)+(#REF!*4)+(#REF!*9)</definedName>
    <definedName name="__shared_9_0_1" localSheetId="5">(#REF!*4)+(#REF!*4)+(#REF!*9)</definedName>
    <definedName name="__shared_9_0_1" localSheetId="7">(#REF!*4)+(#REF!*4)+(#REF!*9)</definedName>
    <definedName name="__shared_9_0_1">(#REF!*4)+(#REF!*4)+(#REF!*9)</definedName>
    <definedName name="__shared_9_0_10" localSheetId="10">#REF!</definedName>
    <definedName name="__shared_9_0_10" localSheetId="1">#REF!</definedName>
    <definedName name="__shared_9_0_10" localSheetId="8">#REF!</definedName>
    <definedName name="__shared_9_0_10" localSheetId="0">#REF!</definedName>
    <definedName name="__shared_9_0_10" localSheetId="3">#REF!</definedName>
    <definedName name="__shared_9_0_10" localSheetId="4">#REF!</definedName>
    <definedName name="__shared_9_0_10" localSheetId="6">#REF!</definedName>
    <definedName name="__shared_9_0_10" localSheetId="2">#REF!</definedName>
    <definedName name="__shared_9_0_10" localSheetId="5">#REF!</definedName>
    <definedName name="__shared_9_0_10" localSheetId="7">#REF!</definedName>
    <definedName name="__shared_9_0_10">#REF!</definedName>
    <definedName name="__shared_9_0_11" localSheetId="10">#REF!</definedName>
    <definedName name="__shared_9_0_11" localSheetId="1">#REF!</definedName>
    <definedName name="__shared_9_0_11" localSheetId="8">#REF!</definedName>
    <definedName name="__shared_9_0_11" localSheetId="0">#REF!</definedName>
    <definedName name="__shared_9_0_11" localSheetId="3">#REF!</definedName>
    <definedName name="__shared_9_0_11" localSheetId="4">#REF!</definedName>
    <definedName name="__shared_9_0_11" localSheetId="6">#REF!</definedName>
    <definedName name="__shared_9_0_11" localSheetId="2">#REF!</definedName>
    <definedName name="__shared_9_0_11" localSheetId="5">#REF!</definedName>
    <definedName name="__shared_9_0_11" localSheetId="7">#REF!</definedName>
    <definedName name="__shared_9_0_11">#REF!</definedName>
    <definedName name="__shared_9_0_12" localSheetId="10">#REF!</definedName>
    <definedName name="__shared_9_0_12" localSheetId="1">#REF!</definedName>
    <definedName name="__shared_9_0_12" localSheetId="8">#REF!</definedName>
    <definedName name="__shared_9_0_12" localSheetId="0">#REF!</definedName>
    <definedName name="__shared_9_0_12" localSheetId="3">#REF!</definedName>
    <definedName name="__shared_9_0_12" localSheetId="4">#REF!</definedName>
    <definedName name="__shared_9_0_12" localSheetId="6">#REF!</definedName>
    <definedName name="__shared_9_0_12" localSheetId="2">#REF!</definedName>
    <definedName name="__shared_9_0_12" localSheetId="5">#REF!</definedName>
    <definedName name="__shared_9_0_12" localSheetId="7">#REF!</definedName>
    <definedName name="__shared_9_0_12">#REF!</definedName>
    <definedName name="__shared_9_0_13" localSheetId="10">#REF!</definedName>
    <definedName name="__shared_9_0_13" localSheetId="1">#REF!</definedName>
    <definedName name="__shared_9_0_13" localSheetId="8">#REF!</definedName>
    <definedName name="__shared_9_0_13" localSheetId="0">#REF!</definedName>
    <definedName name="__shared_9_0_13" localSheetId="3">#REF!</definedName>
    <definedName name="__shared_9_0_13" localSheetId="4">#REF!</definedName>
    <definedName name="__shared_9_0_13" localSheetId="6">#REF!</definedName>
    <definedName name="__shared_9_0_13" localSheetId="2">#REF!</definedName>
    <definedName name="__shared_9_0_13" localSheetId="5">#REF!</definedName>
    <definedName name="__shared_9_0_13" localSheetId="7">#REF!</definedName>
    <definedName name="__shared_9_0_13">#REF!</definedName>
    <definedName name="__shared_9_0_2" localSheetId="10">(#REF!*4)+(#REF!*4)+(#REF!*9)</definedName>
    <definedName name="__shared_9_0_2" localSheetId="1">(#REF!*4)+(#REF!*4)+(#REF!*9)</definedName>
    <definedName name="__shared_9_0_2" localSheetId="8">(#REF!*4)+(#REF!*4)+(#REF!*9)</definedName>
    <definedName name="__shared_9_0_2" localSheetId="0">(#REF!*4)+(#REF!*4)+(#REF!*9)</definedName>
    <definedName name="__shared_9_0_2" localSheetId="3">(#REF!*4)+(#REF!*4)+(#REF!*9)</definedName>
    <definedName name="__shared_9_0_2" localSheetId="4">(#REF!*4)+(#REF!*4)+(#REF!*9)</definedName>
    <definedName name="__shared_9_0_2" localSheetId="6">(#REF!*4)+(#REF!*4)+(#REF!*9)</definedName>
    <definedName name="__shared_9_0_2" localSheetId="2">(#REF!*4)+(#REF!*4)+(#REF!*9)</definedName>
    <definedName name="__shared_9_0_2" localSheetId="5">(#REF!*4)+(#REF!*4)+(#REF!*9)</definedName>
    <definedName name="__shared_9_0_2" localSheetId="7">(#REF!*4)+(#REF!*4)+(#REF!*9)</definedName>
    <definedName name="__shared_9_0_2">(#REF!*4)+(#REF!*4)+(#REF!*9)</definedName>
    <definedName name="__shared_9_0_3" localSheetId="10">#REF!+#REF!+#REF!</definedName>
    <definedName name="__shared_9_0_3" localSheetId="1">#REF!+#REF!+#REF!</definedName>
    <definedName name="__shared_9_0_3" localSheetId="8">#REF!+#REF!+#REF!</definedName>
    <definedName name="__shared_9_0_3" localSheetId="0">#REF!+#REF!+#REF!</definedName>
    <definedName name="__shared_9_0_3" localSheetId="3">#REF!+#REF!+#REF!</definedName>
    <definedName name="__shared_9_0_3" localSheetId="4">#REF!+#REF!+#REF!</definedName>
    <definedName name="__shared_9_0_3" localSheetId="6">#REF!+#REF!+#REF!</definedName>
    <definedName name="__shared_9_0_3" localSheetId="2">#REF!+#REF!+#REF!</definedName>
    <definedName name="__shared_9_0_3" localSheetId="5">#REF!+#REF!+#REF!</definedName>
    <definedName name="__shared_9_0_3" localSheetId="7">#REF!+#REF!+#REF!</definedName>
    <definedName name="__shared_9_0_3">#REF!+#REF!+#REF!</definedName>
    <definedName name="__shared_9_0_4" localSheetId="10">(#REF!*4)+(#REF!*4)+(#REF!*9)</definedName>
    <definedName name="__shared_9_0_4" localSheetId="1">(#REF!*4)+(#REF!*4)+(#REF!*9)</definedName>
    <definedName name="__shared_9_0_4" localSheetId="8">(#REF!*4)+(#REF!*4)+(#REF!*9)</definedName>
    <definedName name="__shared_9_0_4" localSheetId="0">(#REF!*4)+(#REF!*4)+(#REF!*9)</definedName>
    <definedName name="__shared_9_0_4" localSheetId="3">(#REF!*4)+(#REF!*4)+(#REF!*9)</definedName>
    <definedName name="__shared_9_0_4" localSheetId="4">(#REF!*4)+(#REF!*4)+(#REF!*9)</definedName>
    <definedName name="__shared_9_0_4" localSheetId="6">(#REF!*4)+(#REF!*4)+(#REF!*9)</definedName>
    <definedName name="__shared_9_0_4" localSheetId="2">(#REF!*4)+(#REF!*4)+(#REF!*9)</definedName>
    <definedName name="__shared_9_0_4" localSheetId="5">(#REF!*4)+(#REF!*4)+(#REF!*9)</definedName>
    <definedName name="__shared_9_0_4" localSheetId="7">(#REF!*4)+(#REF!*4)+(#REF!*9)</definedName>
    <definedName name="__shared_9_0_4">(#REF!*4)+(#REF!*4)+(#REF!*9)</definedName>
    <definedName name="__shared_9_0_5" localSheetId="10">(#REF!*4)+(#REF!*4)+(#REF!*9)</definedName>
    <definedName name="__shared_9_0_5" localSheetId="1">(#REF!*4)+(#REF!*4)+(#REF!*9)</definedName>
    <definedName name="__shared_9_0_5" localSheetId="8">(#REF!*4)+(#REF!*4)+(#REF!*9)</definedName>
    <definedName name="__shared_9_0_5" localSheetId="0">(#REF!*4)+(#REF!*4)+(#REF!*9)</definedName>
    <definedName name="__shared_9_0_5" localSheetId="3">(#REF!*4)+(#REF!*4)+(#REF!*9)</definedName>
    <definedName name="__shared_9_0_5" localSheetId="4">(#REF!*4)+(#REF!*4)+(#REF!*9)</definedName>
    <definedName name="__shared_9_0_5" localSheetId="6">(#REF!*4)+(#REF!*4)+(#REF!*9)</definedName>
    <definedName name="__shared_9_0_5" localSheetId="2">(#REF!*4)+(#REF!*4)+(#REF!*9)</definedName>
    <definedName name="__shared_9_0_5" localSheetId="5">(#REF!*4)+(#REF!*4)+(#REF!*9)</definedName>
    <definedName name="__shared_9_0_5" localSheetId="7">(#REF!*4)+(#REF!*4)+(#REF!*9)</definedName>
    <definedName name="__shared_9_0_5">(#REF!*4)+(#REF!*4)+(#REF!*9)</definedName>
    <definedName name="__shared_9_0_6" localSheetId="10">SUM(#REF!)</definedName>
    <definedName name="__shared_9_0_6" localSheetId="1">SUM(#REF!)</definedName>
    <definedName name="__shared_9_0_6" localSheetId="8">SUM(#REF!)</definedName>
    <definedName name="__shared_9_0_6" localSheetId="0">SUM(#REF!)</definedName>
    <definedName name="__shared_9_0_6" localSheetId="3">SUM(#REF!)</definedName>
    <definedName name="__shared_9_0_6" localSheetId="4">SUM(#REF!)</definedName>
    <definedName name="__shared_9_0_6" localSheetId="6">SUM(#REF!)</definedName>
    <definedName name="__shared_9_0_6" localSheetId="2">SUM(#REF!)</definedName>
    <definedName name="__shared_9_0_6" localSheetId="5">SUM(#REF!)</definedName>
    <definedName name="__shared_9_0_6" localSheetId="7">SUM(#REF!)</definedName>
    <definedName name="__shared_9_0_6">SUM(#REF!)</definedName>
    <definedName name="__shared_9_0_7" localSheetId="10">#REF!</definedName>
    <definedName name="__shared_9_0_7" localSheetId="1">#REF!</definedName>
    <definedName name="__shared_9_0_7" localSheetId="8">#REF!</definedName>
    <definedName name="__shared_9_0_7" localSheetId="0">#REF!</definedName>
    <definedName name="__shared_9_0_7" localSheetId="3">#REF!</definedName>
    <definedName name="__shared_9_0_7" localSheetId="4">#REF!</definedName>
    <definedName name="__shared_9_0_7" localSheetId="6">#REF!</definedName>
    <definedName name="__shared_9_0_7" localSheetId="2">#REF!</definedName>
    <definedName name="__shared_9_0_7" localSheetId="5">#REF!</definedName>
    <definedName name="__shared_9_0_7" localSheetId="7">#REF!</definedName>
    <definedName name="__shared_9_0_7">#REF!</definedName>
    <definedName name="__shared_9_0_8" localSheetId="10">IF(#REF!&lt;#REF!, "te falta",IF(#REF!=#REF!,"muy bien",IF(#REF!&gt;#REF!,"te pasaste")))</definedName>
    <definedName name="__shared_9_0_8" localSheetId="1">IF(#REF!&lt;#REF!, "te falta",IF(#REF!=#REF!,"muy bien",IF(#REF!&gt;#REF!,"te pasaste")))</definedName>
    <definedName name="__shared_9_0_8" localSheetId="8">IF(#REF!&lt;#REF!, "te falta",IF(#REF!=#REF!,"muy bien",IF(#REF!&gt;#REF!,"te pasaste")))</definedName>
    <definedName name="__shared_9_0_8" localSheetId="0">IF(#REF!&lt;#REF!, "te falta",IF(#REF!=#REF!,"muy bien",IF(#REF!&gt;#REF!,"te pasaste")))</definedName>
    <definedName name="__shared_9_0_8" localSheetId="3">IF(#REF!&lt;#REF!, "te falta",IF(#REF!=#REF!,"muy bien",IF(#REF!&gt;#REF!,"te pasaste")))</definedName>
    <definedName name="__shared_9_0_8" localSheetId="4">IF(#REF!&lt;#REF!, "te falta",IF(#REF!=#REF!,"muy bien",IF(#REF!&gt;#REF!,"te pasaste")))</definedName>
    <definedName name="__shared_9_0_8" localSheetId="6">IF(#REF!&lt;#REF!, "te falta",IF(#REF!=#REF!,"muy bien",IF(#REF!&gt;#REF!,"te pasaste")))</definedName>
    <definedName name="__shared_9_0_8" localSheetId="2">IF(#REF!&lt;#REF!, "te falta",IF(#REF!=#REF!,"muy bien",IF(#REF!&gt;#REF!,"te pasaste")))</definedName>
    <definedName name="__shared_9_0_8" localSheetId="5">IF(#REF!&lt;#REF!, "te falta",IF(#REF!=#REF!,"muy bien",IF(#REF!&gt;#REF!,"te pasaste")))</definedName>
    <definedName name="__shared_9_0_8" localSheetId="7">IF(#REF!&lt;#REF!, "te falta",IF(#REF!=#REF!,"muy bien",IF(#REF!&gt;#REF!,"te pasaste")))</definedName>
    <definedName name="__shared_9_0_8">IF(#REF!&lt;#REF!, "te falta",IF(#REF!=#REF!,"muy bien",IF(#REF!&gt;#REF!,"te pasaste")))</definedName>
    <definedName name="__shared_9_0_9" localSheetId="10">#REF!</definedName>
    <definedName name="__shared_9_0_9" localSheetId="1">#REF!</definedName>
    <definedName name="__shared_9_0_9" localSheetId="8">#REF!</definedName>
    <definedName name="__shared_9_0_9" localSheetId="0">#REF!</definedName>
    <definedName name="__shared_9_0_9" localSheetId="3">#REF!</definedName>
    <definedName name="__shared_9_0_9" localSheetId="4">#REF!</definedName>
    <definedName name="__shared_9_0_9" localSheetId="6">#REF!</definedName>
    <definedName name="__shared_9_0_9" localSheetId="2">#REF!</definedName>
    <definedName name="__shared_9_0_9" localSheetId="5">#REF!</definedName>
    <definedName name="__shared_9_0_9" localSheetId="7">#REF!</definedName>
    <definedName name="__shared_9_0_9">#REF!</definedName>
  </definedNames>
  <calcPr calcId="162913"/>
</workbook>
</file>

<file path=xl/calcChain.xml><?xml version="1.0" encoding="utf-8"?>
<calcChain xmlns="http://schemas.openxmlformats.org/spreadsheetml/2006/main">
  <c r="E23" i="35" l="1"/>
  <c r="G21" i="33" l="1"/>
  <c r="K21" i="33"/>
  <c r="B143" i="41" l="1"/>
  <c r="B144" i="41"/>
  <c r="B145" i="41"/>
  <c r="B146" i="41"/>
  <c r="B147" i="41"/>
  <c r="B148" i="41"/>
  <c r="B149" i="41"/>
  <c r="I203" i="43" l="1"/>
  <c r="J203" i="43"/>
  <c r="K203" i="43"/>
  <c r="L203" i="43"/>
  <c r="H203" i="43"/>
  <c r="F502" i="43"/>
  <c r="F409" i="43"/>
  <c r="L381" i="43"/>
  <c r="J381" i="43"/>
  <c r="H381" i="43"/>
  <c r="F381" i="43"/>
  <c r="D381" i="43"/>
  <c r="L380" i="43"/>
  <c r="J380" i="43"/>
  <c r="H380" i="43"/>
  <c r="F380" i="43"/>
  <c r="D380" i="43"/>
  <c r="L377" i="43"/>
  <c r="J377" i="43"/>
  <c r="H377" i="43"/>
  <c r="F377" i="43"/>
  <c r="D377" i="43"/>
  <c r="L376" i="43"/>
  <c r="J376" i="43"/>
  <c r="H376" i="43"/>
  <c r="F376" i="43"/>
  <c r="D376" i="43"/>
  <c r="L375" i="43"/>
  <c r="J375" i="43"/>
  <c r="H375" i="43"/>
  <c r="F375" i="43"/>
  <c r="D375" i="43"/>
  <c r="L374" i="43"/>
  <c r="J374" i="43"/>
  <c r="H374" i="43"/>
  <c r="F374" i="43"/>
  <c r="D374" i="43"/>
  <c r="L373" i="43"/>
  <c r="J373" i="43"/>
  <c r="H373" i="43"/>
  <c r="F373" i="43"/>
  <c r="D373" i="43"/>
  <c r="L372" i="43"/>
  <c r="J372" i="43"/>
  <c r="H372" i="43"/>
  <c r="F372" i="43"/>
  <c r="D372" i="43"/>
  <c r="L371" i="43"/>
  <c r="J371" i="43"/>
  <c r="H371" i="43"/>
  <c r="F371" i="43"/>
  <c r="D371" i="43"/>
  <c r="L370" i="43"/>
  <c r="J370" i="43"/>
  <c r="H370" i="43"/>
  <c r="F370" i="43"/>
  <c r="D370" i="43"/>
  <c r="L369" i="43"/>
  <c r="J369" i="43"/>
  <c r="H369" i="43"/>
  <c r="F369" i="43"/>
  <c r="D369" i="43"/>
  <c r="C363" i="43"/>
  <c r="C362" i="43"/>
  <c r="C361" i="43"/>
  <c r="C356" i="43"/>
  <c r="H352" i="43"/>
  <c r="H351" i="43"/>
  <c r="H350" i="43"/>
  <c r="J345" i="43"/>
  <c r="I345" i="43"/>
  <c r="H345" i="43"/>
  <c r="G345" i="43"/>
  <c r="F345" i="43"/>
  <c r="E345" i="43"/>
  <c r="D345" i="43"/>
  <c r="C345" i="43"/>
  <c r="J344" i="43"/>
  <c r="I344" i="43"/>
  <c r="H344" i="43"/>
  <c r="G344" i="43"/>
  <c r="F344" i="43"/>
  <c r="E344" i="43"/>
  <c r="D344" i="43"/>
  <c r="C344" i="43"/>
  <c r="J343" i="43"/>
  <c r="J347" i="43" s="1"/>
  <c r="I343" i="43"/>
  <c r="I347" i="43" s="1"/>
  <c r="H343" i="43"/>
  <c r="H347" i="43" s="1"/>
  <c r="G343" i="43"/>
  <c r="G347" i="43" s="1"/>
  <c r="F343" i="43"/>
  <c r="F347" i="43" s="1"/>
  <c r="E343" i="43"/>
  <c r="E347" i="43" s="1"/>
  <c r="D343" i="43"/>
  <c r="D347" i="43" s="1"/>
  <c r="C343" i="43"/>
  <c r="C347" i="43" s="1"/>
  <c r="N339" i="43"/>
  <c r="G339" i="43"/>
  <c r="C339" i="43"/>
  <c r="J338" i="43"/>
  <c r="G338" i="43"/>
  <c r="C338" i="43"/>
  <c r="N337" i="43"/>
  <c r="J337" i="43"/>
  <c r="G337" i="43"/>
  <c r="C337" i="43"/>
  <c r="N336" i="43"/>
  <c r="J336" i="43"/>
  <c r="G336" i="43"/>
  <c r="C336" i="43"/>
  <c r="G328" i="43"/>
  <c r="D328" i="43"/>
  <c r="K327" i="43"/>
  <c r="B327" i="43"/>
  <c r="M325" i="43"/>
  <c r="B325" i="43"/>
  <c r="D318" i="43"/>
  <c r="L244" i="43"/>
  <c r="I244" i="43"/>
  <c r="G244" i="43"/>
  <c r="E244" i="43"/>
  <c r="C244" i="43"/>
  <c r="L243" i="43"/>
  <c r="I243" i="43"/>
  <c r="G243" i="43"/>
  <c r="E243" i="43"/>
  <c r="C243" i="43"/>
  <c r="L242" i="43"/>
  <c r="I242" i="43"/>
  <c r="G242" i="43"/>
  <c r="E242" i="43"/>
  <c r="C242" i="43"/>
  <c r="L241" i="43"/>
  <c r="I241" i="43"/>
  <c r="G241" i="43"/>
  <c r="E241" i="43"/>
  <c r="C241" i="43"/>
  <c r="L240" i="43"/>
  <c r="I240" i="43"/>
  <c r="G240" i="43"/>
  <c r="E240" i="43"/>
  <c r="C240" i="43"/>
  <c r="L239" i="43"/>
  <c r="I239" i="43"/>
  <c r="G239" i="43"/>
  <c r="E239" i="43"/>
  <c r="C239" i="43"/>
  <c r="L238" i="43"/>
  <c r="I238" i="43"/>
  <c r="G238" i="43"/>
  <c r="E238" i="43"/>
  <c r="C238" i="43"/>
  <c r="L237" i="43"/>
  <c r="I237" i="43"/>
  <c r="G237" i="43"/>
  <c r="E237" i="43"/>
  <c r="C237" i="43"/>
  <c r="C233" i="43"/>
  <c r="M232" i="43"/>
  <c r="F232" i="43"/>
  <c r="M231" i="43"/>
  <c r="B231" i="43"/>
  <c r="L201" i="43"/>
  <c r="K201" i="43"/>
  <c r="J201" i="43"/>
  <c r="I201" i="43"/>
  <c r="H201" i="43"/>
  <c r="M201" i="43" s="1"/>
  <c r="M200" i="43"/>
  <c r="G200" i="43"/>
  <c r="E200" i="43"/>
  <c r="D200" i="43"/>
  <c r="C200" i="43"/>
  <c r="M199" i="43"/>
  <c r="G199" i="43"/>
  <c r="E199" i="43"/>
  <c r="D199" i="43"/>
  <c r="C199" i="43"/>
  <c r="M198" i="43"/>
  <c r="G198" i="43"/>
  <c r="E198" i="43"/>
  <c r="D198" i="43"/>
  <c r="C198" i="43"/>
  <c r="M197" i="43"/>
  <c r="G197" i="43"/>
  <c r="E197" i="43"/>
  <c r="D197" i="43"/>
  <c r="C197" i="43"/>
  <c r="M196" i="43"/>
  <c r="G196" i="43"/>
  <c r="D196" i="43"/>
  <c r="C196" i="43"/>
  <c r="M195" i="43"/>
  <c r="G195" i="43"/>
  <c r="E195" i="43"/>
  <c r="D195" i="43"/>
  <c r="C195" i="43"/>
  <c r="M194" i="43"/>
  <c r="G194" i="43"/>
  <c r="E194" i="43"/>
  <c r="D194" i="43"/>
  <c r="M193" i="43"/>
  <c r="G193" i="43"/>
  <c r="E193" i="43"/>
  <c r="D193" i="43"/>
  <c r="F207" i="43" s="1"/>
  <c r="C193" i="43"/>
  <c r="B155" i="43"/>
  <c r="B149" i="43"/>
  <c r="D149" i="43" s="1"/>
  <c r="B148" i="43"/>
  <c r="E148" i="43" s="1"/>
  <c r="B147" i="43"/>
  <c r="E147" i="43" s="1"/>
  <c r="B146" i="43"/>
  <c r="E146" i="43" s="1"/>
  <c r="B145" i="43"/>
  <c r="C145" i="43" s="1"/>
  <c r="B144" i="43"/>
  <c r="E144" i="43" s="1"/>
  <c r="B143" i="43"/>
  <c r="E143" i="43" s="1"/>
  <c r="B142" i="43"/>
  <c r="E142" i="43" s="1"/>
  <c r="E133" i="43"/>
  <c r="D133" i="43"/>
  <c r="C133" i="43"/>
  <c r="E132" i="43"/>
  <c r="D132" i="43"/>
  <c r="C132" i="43"/>
  <c r="E131" i="43"/>
  <c r="D131" i="43"/>
  <c r="C131" i="43"/>
  <c r="E130" i="43"/>
  <c r="D130" i="43"/>
  <c r="C130" i="43"/>
  <c r="D129" i="43"/>
  <c r="C129" i="43"/>
  <c r="E128" i="43"/>
  <c r="D128" i="43"/>
  <c r="C128" i="43"/>
  <c r="E127" i="43"/>
  <c r="D127" i="43"/>
  <c r="E126" i="43"/>
  <c r="D126" i="43"/>
  <c r="C126" i="43"/>
  <c r="E118" i="43"/>
  <c r="D118" i="43"/>
  <c r="C118" i="43"/>
  <c r="E117" i="43"/>
  <c r="D117" i="43"/>
  <c r="C117" i="43"/>
  <c r="E116" i="43"/>
  <c r="D116" i="43"/>
  <c r="C116" i="43"/>
  <c r="E115" i="43"/>
  <c r="D115" i="43"/>
  <c r="C115" i="43"/>
  <c r="D114" i="43"/>
  <c r="C114" i="43"/>
  <c r="E113" i="43"/>
  <c r="D113" i="43"/>
  <c r="C113" i="43"/>
  <c r="E112" i="43"/>
  <c r="D112" i="43"/>
  <c r="E111" i="43"/>
  <c r="D111" i="43"/>
  <c r="C111" i="43"/>
  <c r="E103" i="43"/>
  <c r="D103" i="43"/>
  <c r="C103" i="43"/>
  <c r="E102" i="43"/>
  <c r="D102" i="43"/>
  <c r="C102" i="43"/>
  <c r="E101" i="43"/>
  <c r="D101" i="43"/>
  <c r="C101" i="43"/>
  <c r="E100" i="43"/>
  <c r="D100" i="43"/>
  <c r="C100" i="43"/>
  <c r="D99" i="43"/>
  <c r="C99" i="43"/>
  <c r="E98" i="43"/>
  <c r="D98" i="43"/>
  <c r="C98" i="43"/>
  <c r="E97" i="43"/>
  <c r="D97" i="43"/>
  <c r="E96" i="43"/>
  <c r="D96" i="43"/>
  <c r="C96" i="43"/>
  <c r="N83" i="43"/>
  <c r="L83" i="43"/>
  <c r="J83" i="43"/>
  <c r="H83" i="43"/>
  <c r="F83" i="43"/>
  <c r="N78" i="43"/>
  <c r="L78" i="43"/>
  <c r="M381" i="43" s="1"/>
  <c r="J78" i="43"/>
  <c r="H78" i="43"/>
  <c r="F78" i="43"/>
  <c r="N76" i="43"/>
  <c r="L76" i="43"/>
  <c r="M380" i="43" s="1"/>
  <c r="J76" i="43"/>
  <c r="H76" i="43"/>
  <c r="F76" i="43"/>
  <c r="N73" i="43"/>
  <c r="L73" i="43"/>
  <c r="M377" i="43" s="1"/>
  <c r="J73" i="43"/>
  <c r="H73" i="43"/>
  <c r="F73" i="43"/>
  <c r="N71" i="43"/>
  <c r="L71" i="43"/>
  <c r="M376" i="43" s="1"/>
  <c r="J71" i="43"/>
  <c r="H71" i="43"/>
  <c r="F71" i="43"/>
  <c r="N68" i="43"/>
  <c r="L68" i="43"/>
  <c r="M375" i="43" s="1"/>
  <c r="J68" i="43"/>
  <c r="H68" i="43"/>
  <c r="F68" i="43"/>
  <c r="N66" i="43"/>
  <c r="L66" i="43"/>
  <c r="M374" i="43" s="1"/>
  <c r="J66" i="43"/>
  <c r="H66" i="43"/>
  <c r="F66" i="43"/>
  <c r="N64" i="43"/>
  <c r="L64" i="43"/>
  <c r="M373" i="43" s="1"/>
  <c r="J64" i="43"/>
  <c r="H64" i="43"/>
  <c r="F64" i="43"/>
  <c r="N62" i="43"/>
  <c r="L62" i="43"/>
  <c r="M372" i="43" s="1"/>
  <c r="J62" i="43"/>
  <c r="H62" i="43"/>
  <c r="F62" i="43"/>
  <c r="N59" i="43"/>
  <c r="L59" i="43"/>
  <c r="M371" i="43" s="1"/>
  <c r="J59" i="43"/>
  <c r="H59" i="43"/>
  <c r="F59" i="43"/>
  <c r="N57" i="43"/>
  <c r="L57" i="43"/>
  <c r="M370" i="43" s="1"/>
  <c r="J57" i="43"/>
  <c r="H57" i="43"/>
  <c r="F57" i="43"/>
  <c r="N55" i="43"/>
  <c r="L55" i="43"/>
  <c r="M369" i="43" s="1"/>
  <c r="J55" i="43"/>
  <c r="H55" i="43"/>
  <c r="F55" i="43"/>
  <c r="P28" i="43"/>
  <c r="E27" i="43" s="1"/>
  <c r="E25" i="43"/>
  <c r="F25" i="43" s="1"/>
  <c r="F327" i="43" s="1"/>
  <c r="E24" i="43"/>
  <c r="D18" i="43"/>
  <c r="G17" i="43"/>
  <c r="D16" i="43"/>
  <c r="F16" i="43" s="1"/>
  <c r="D14" i="43"/>
  <c r="C359" i="43" s="1"/>
  <c r="D13" i="43"/>
  <c r="C357" i="43" s="1"/>
  <c r="D12" i="43"/>
  <c r="K9" i="43"/>
  <c r="G6" i="43"/>
  <c r="B5" i="43"/>
  <c r="N193" i="43" l="1"/>
  <c r="N194" i="43"/>
  <c r="N195" i="43"/>
  <c r="N196" i="43"/>
  <c r="N198" i="43"/>
  <c r="N199" i="43"/>
  <c r="N200" i="43"/>
  <c r="D104" i="43"/>
  <c r="C107" i="43" s="1"/>
  <c r="D107" i="43" s="1"/>
  <c r="F97" i="43"/>
  <c r="F98" i="43"/>
  <c r="F100" i="43"/>
  <c r="F102" i="43"/>
  <c r="F114" i="43"/>
  <c r="F116" i="43"/>
  <c r="F118" i="43"/>
  <c r="D134" i="43"/>
  <c r="C137" i="43" s="1"/>
  <c r="D137" i="43" s="1"/>
  <c r="C134" i="43"/>
  <c r="C136" i="43" s="1"/>
  <c r="D136" i="43" s="1"/>
  <c r="F130" i="43"/>
  <c r="F132" i="43"/>
  <c r="H353" i="43"/>
  <c r="L189" i="43"/>
  <c r="L190" i="43" s="1"/>
  <c r="D189" i="43"/>
  <c r="D190" i="43" s="1"/>
  <c r="C104" i="43"/>
  <c r="C106" i="43" s="1"/>
  <c r="D106" i="43" s="1"/>
  <c r="E104" i="43"/>
  <c r="C108" i="43" s="1"/>
  <c r="D108" i="43" s="1"/>
  <c r="F99" i="43"/>
  <c r="F101" i="43"/>
  <c r="F103" i="43"/>
  <c r="F111" i="43"/>
  <c r="E119" i="43"/>
  <c r="C123" i="43" s="1"/>
  <c r="D123" i="43" s="1"/>
  <c r="F113" i="43"/>
  <c r="F115" i="43"/>
  <c r="F117" i="43"/>
  <c r="E134" i="43"/>
  <c r="C138" i="43" s="1"/>
  <c r="D138" i="43" s="1"/>
  <c r="F129" i="43"/>
  <c r="F131" i="43"/>
  <c r="F133" i="43"/>
  <c r="D143" i="43"/>
  <c r="F143" i="43" s="1"/>
  <c r="F193" i="43"/>
  <c r="E201" i="43"/>
  <c r="D208" i="43" s="1"/>
  <c r="C208" i="43" s="1"/>
  <c r="F194" i="43"/>
  <c r="D201" i="43"/>
  <c r="D211" i="43" s="1"/>
  <c r="F196" i="43"/>
  <c r="F197" i="43"/>
  <c r="K207" i="43"/>
  <c r="F199" i="43"/>
  <c r="F200" i="43"/>
  <c r="D482" i="43"/>
  <c r="M203" i="43"/>
  <c r="D119" i="43"/>
  <c r="C122" i="43" s="1"/>
  <c r="D122" i="43" s="1"/>
  <c r="N197" i="43"/>
  <c r="E149" i="43"/>
  <c r="E150" i="43" s="1"/>
  <c r="C154" i="43" s="1"/>
  <c r="D154" i="43" s="1"/>
  <c r="K352" i="43" s="1"/>
  <c r="C149" i="43"/>
  <c r="D144" i="43"/>
  <c r="D147" i="43"/>
  <c r="C144" i="43"/>
  <c r="C147" i="43"/>
  <c r="I325" i="43"/>
  <c r="B232" i="43"/>
  <c r="H9" i="43"/>
  <c r="D19" i="43"/>
  <c r="F19" i="43" s="1"/>
  <c r="D15" i="43"/>
  <c r="G233" i="43"/>
  <c r="K233" i="43"/>
  <c r="C20" i="43"/>
  <c r="F96" i="43"/>
  <c r="F112" i="43"/>
  <c r="C119" i="43"/>
  <c r="C121" i="43" s="1"/>
  <c r="D121" i="43" s="1"/>
  <c r="F126" i="43"/>
  <c r="D142" i="43"/>
  <c r="D145" i="43"/>
  <c r="F145" i="43" s="1"/>
  <c r="D146" i="43"/>
  <c r="D148" i="43"/>
  <c r="F195" i="43"/>
  <c r="F198" i="43"/>
  <c r="C201" i="43"/>
  <c r="D206" i="43" s="1"/>
  <c r="C206" i="43" s="1"/>
  <c r="F127" i="43"/>
  <c r="F128" i="43"/>
  <c r="C142" i="43"/>
  <c r="C146" i="43"/>
  <c r="C148" i="43"/>
  <c r="K21" i="41"/>
  <c r="G21" i="41"/>
  <c r="F146" i="43" l="1"/>
  <c r="L235" i="43"/>
  <c r="D207" i="43"/>
  <c r="C207" i="43" s="1"/>
  <c r="F149" i="43"/>
  <c r="M207" i="43"/>
  <c r="H207" i="43"/>
  <c r="F119" i="43"/>
  <c r="B123" i="43" s="1"/>
  <c r="F201" i="43"/>
  <c r="I202" i="43" s="1"/>
  <c r="F104" i="43"/>
  <c r="B106" i="43" s="1"/>
  <c r="F147" i="43"/>
  <c r="E352" i="43"/>
  <c r="F144" i="43"/>
  <c r="F134" i="43"/>
  <c r="C360" i="43"/>
  <c r="F15" i="43"/>
  <c r="F148" i="43"/>
  <c r="C150" i="43"/>
  <c r="F142" i="43"/>
  <c r="D150" i="43"/>
  <c r="F417" i="42"/>
  <c r="G379" i="42"/>
  <c r="F379" i="42"/>
  <c r="E379" i="42"/>
  <c r="D379" i="42"/>
  <c r="C379" i="42"/>
  <c r="B378" i="42"/>
  <c r="B377" i="42"/>
  <c r="L374" i="42"/>
  <c r="B374" i="42"/>
  <c r="F368" i="42"/>
  <c r="F363" i="42"/>
  <c r="L338" i="42"/>
  <c r="J338" i="42"/>
  <c r="H338" i="42"/>
  <c r="F338" i="42"/>
  <c r="D338" i="42"/>
  <c r="L337" i="42"/>
  <c r="J337" i="42"/>
  <c r="H337" i="42"/>
  <c r="F337" i="42"/>
  <c r="D337" i="42"/>
  <c r="L334" i="42"/>
  <c r="J334" i="42"/>
  <c r="H334" i="42"/>
  <c r="F334" i="42"/>
  <c r="D334" i="42"/>
  <c r="L333" i="42"/>
  <c r="J333" i="42"/>
  <c r="H333" i="42"/>
  <c r="F333" i="42"/>
  <c r="D333" i="42"/>
  <c r="L332" i="42"/>
  <c r="J332" i="42"/>
  <c r="H332" i="42"/>
  <c r="F332" i="42"/>
  <c r="D332" i="42"/>
  <c r="L331" i="42"/>
  <c r="J331" i="42"/>
  <c r="H331" i="42"/>
  <c r="F331" i="42"/>
  <c r="D331" i="42"/>
  <c r="L330" i="42"/>
  <c r="J330" i="42"/>
  <c r="H330" i="42"/>
  <c r="F330" i="42"/>
  <c r="D330" i="42"/>
  <c r="L329" i="42"/>
  <c r="J329" i="42"/>
  <c r="H329" i="42"/>
  <c r="F329" i="42"/>
  <c r="D329" i="42"/>
  <c r="L328" i="42"/>
  <c r="J328" i="42"/>
  <c r="H328" i="42"/>
  <c r="F328" i="42"/>
  <c r="D328" i="42"/>
  <c r="L327" i="42"/>
  <c r="J327" i="42"/>
  <c r="H327" i="42"/>
  <c r="F327" i="42"/>
  <c r="D327" i="42"/>
  <c r="L326" i="42"/>
  <c r="J326" i="42"/>
  <c r="H326" i="42"/>
  <c r="F326" i="42"/>
  <c r="D326" i="42"/>
  <c r="C319" i="42"/>
  <c r="C318" i="42"/>
  <c r="C317" i="42"/>
  <c r="C315" i="42"/>
  <c r="C312" i="42"/>
  <c r="H307" i="42"/>
  <c r="H306" i="42"/>
  <c r="H305" i="42"/>
  <c r="J300" i="42"/>
  <c r="I300" i="42"/>
  <c r="H300" i="42"/>
  <c r="G300" i="42"/>
  <c r="F300" i="42"/>
  <c r="E300" i="42"/>
  <c r="D300" i="42"/>
  <c r="C300" i="42"/>
  <c r="J299" i="42"/>
  <c r="I299" i="42"/>
  <c r="H299" i="42"/>
  <c r="G299" i="42"/>
  <c r="F299" i="42"/>
  <c r="E299" i="42"/>
  <c r="D299" i="42"/>
  <c r="C299" i="42"/>
  <c r="J298" i="42"/>
  <c r="J302" i="42" s="1"/>
  <c r="I298" i="42"/>
  <c r="I302" i="42" s="1"/>
  <c r="H298" i="42"/>
  <c r="H302" i="42" s="1"/>
  <c r="G298" i="42"/>
  <c r="G302" i="42" s="1"/>
  <c r="F298" i="42"/>
  <c r="F302" i="42" s="1"/>
  <c r="E298" i="42"/>
  <c r="E302" i="42" s="1"/>
  <c r="D298" i="42"/>
  <c r="D302" i="42" s="1"/>
  <c r="C298" i="42"/>
  <c r="C302" i="42" s="1"/>
  <c r="N294" i="42"/>
  <c r="G294" i="42"/>
  <c r="C294" i="42"/>
  <c r="N293" i="42"/>
  <c r="J293" i="42"/>
  <c r="G293" i="42"/>
  <c r="C293" i="42"/>
  <c r="N292" i="42"/>
  <c r="J292" i="42"/>
  <c r="G292" i="42"/>
  <c r="C292" i="42"/>
  <c r="N291" i="42"/>
  <c r="J291" i="42"/>
  <c r="G291" i="42"/>
  <c r="C291" i="42"/>
  <c r="B282" i="42"/>
  <c r="M280" i="42"/>
  <c r="I280" i="42"/>
  <c r="B280" i="42"/>
  <c r="L199" i="42"/>
  <c r="I199" i="42"/>
  <c r="G199" i="42"/>
  <c r="E199" i="42"/>
  <c r="C199" i="42"/>
  <c r="L198" i="42"/>
  <c r="I198" i="42"/>
  <c r="G198" i="42"/>
  <c r="E198" i="42"/>
  <c r="C198" i="42"/>
  <c r="L197" i="42"/>
  <c r="I197" i="42"/>
  <c r="G197" i="42"/>
  <c r="E197" i="42"/>
  <c r="C197" i="42"/>
  <c r="L196" i="42"/>
  <c r="I196" i="42"/>
  <c r="G196" i="42"/>
  <c r="E196" i="42"/>
  <c r="C196" i="42"/>
  <c r="L195" i="42"/>
  <c r="I195" i="42"/>
  <c r="G195" i="42"/>
  <c r="E195" i="42"/>
  <c r="C195" i="42"/>
  <c r="L194" i="42"/>
  <c r="I194" i="42"/>
  <c r="G194" i="42"/>
  <c r="E194" i="42"/>
  <c r="C194" i="42"/>
  <c r="L193" i="42"/>
  <c r="I193" i="42"/>
  <c r="G193" i="42"/>
  <c r="E193" i="42"/>
  <c r="C193" i="42"/>
  <c r="L192" i="42"/>
  <c r="I192" i="42"/>
  <c r="G192" i="42"/>
  <c r="E192" i="42"/>
  <c r="C192" i="42"/>
  <c r="C188" i="42"/>
  <c r="M187" i="42"/>
  <c r="F187" i="42"/>
  <c r="B187" i="42"/>
  <c r="M186" i="42"/>
  <c r="I186" i="42"/>
  <c r="B186" i="42"/>
  <c r="L174" i="42"/>
  <c r="K174" i="42"/>
  <c r="J174" i="42"/>
  <c r="I174" i="42"/>
  <c r="H174" i="42"/>
  <c r="M173" i="42"/>
  <c r="G173" i="42"/>
  <c r="E173" i="42"/>
  <c r="D173" i="42"/>
  <c r="C173" i="42"/>
  <c r="M172" i="42"/>
  <c r="G172" i="42"/>
  <c r="E172" i="42"/>
  <c r="D172" i="42"/>
  <c r="C172" i="42"/>
  <c r="M171" i="42"/>
  <c r="G171" i="42"/>
  <c r="E171" i="42"/>
  <c r="D171" i="42"/>
  <c r="C171" i="42"/>
  <c r="M170" i="42"/>
  <c r="G170" i="42"/>
  <c r="E170" i="42"/>
  <c r="D170" i="42"/>
  <c r="C170" i="42"/>
  <c r="M169" i="42"/>
  <c r="G169" i="42"/>
  <c r="D169" i="42"/>
  <c r="C169" i="42"/>
  <c r="M168" i="42"/>
  <c r="G168" i="42"/>
  <c r="E168" i="42"/>
  <c r="D168" i="42"/>
  <c r="C168" i="42"/>
  <c r="M167" i="42"/>
  <c r="G167" i="42"/>
  <c r="E167" i="42"/>
  <c r="D167" i="42"/>
  <c r="M166" i="42"/>
  <c r="G166" i="42"/>
  <c r="E166" i="42"/>
  <c r="D166" i="42"/>
  <c r="F178" i="42" s="1"/>
  <c r="F361" i="42" s="1"/>
  <c r="C166" i="42"/>
  <c r="B155" i="42"/>
  <c r="B149" i="42"/>
  <c r="D149" i="42" s="1"/>
  <c r="B148" i="42"/>
  <c r="D148" i="42" s="1"/>
  <c r="B147" i="42"/>
  <c r="D147" i="42" s="1"/>
  <c r="B146" i="42"/>
  <c r="D146" i="42" s="1"/>
  <c r="B145" i="42"/>
  <c r="C145" i="42" s="1"/>
  <c r="B144" i="42"/>
  <c r="E144" i="42" s="1"/>
  <c r="B143" i="42"/>
  <c r="D143" i="42" s="1"/>
  <c r="B142" i="42"/>
  <c r="E142" i="42" s="1"/>
  <c r="E133" i="42"/>
  <c r="D133" i="42"/>
  <c r="C133" i="42"/>
  <c r="E132" i="42"/>
  <c r="D132" i="42"/>
  <c r="C132" i="42"/>
  <c r="E131" i="42"/>
  <c r="D131" i="42"/>
  <c r="C131" i="42"/>
  <c r="E130" i="42"/>
  <c r="D130" i="42"/>
  <c r="C130" i="42"/>
  <c r="D129" i="42"/>
  <c r="C129" i="42"/>
  <c r="E128" i="42"/>
  <c r="D128" i="42"/>
  <c r="C128" i="42"/>
  <c r="E127" i="42"/>
  <c r="D127" i="42"/>
  <c r="E126" i="42"/>
  <c r="D126" i="42"/>
  <c r="C126" i="42"/>
  <c r="E118" i="42"/>
  <c r="D118" i="42"/>
  <c r="C118" i="42"/>
  <c r="E117" i="42"/>
  <c r="D117" i="42"/>
  <c r="C117" i="42"/>
  <c r="E116" i="42"/>
  <c r="D116" i="42"/>
  <c r="C116" i="42"/>
  <c r="E115" i="42"/>
  <c r="D115" i="42"/>
  <c r="C115" i="42"/>
  <c r="D114" i="42"/>
  <c r="C114" i="42"/>
  <c r="E113" i="42"/>
  <c r="D113" i="42"/>
  <c r="C113" i="42"/>
  <c r="E112" i="42"/>
  <c r="D112" i="42"/>
  <c r="E111" i="42"/>
  <c r="D111" i="42"/>
  <c r="C111" i="42"/>
  <c r="E103" i="42"/>
  <c r="D103" i="42"/>
  <c r="C103" i="42"/>
  <c r="E102" i="42"/>
  <c r="D102" i="42"/>
  <c r="C102" i="42"/>
  <c r="E101" i="42"/>
  <c r="D101" i="42"/>
  <c r="C101" i="42"/>
  <c r="E100" i="42"/>
  <c r="D100" i="42"/>
  <c r="C100" i="42"/>
  <c r="D99" i="42"/>
  <c r="C99" i="42"/>
  <c r="E98" i="42"/>
  <c r="D98" i="42"/>
  <c r="C98" i="42"/>
  <c r="E97" i="42"/>
  <c r="D97" i="42"/>
  <c r="E96" i="42"/>
  <c r="D96" i="42"/>
  <c r="C96" i="42"/>
  <c r="N88" i="42"/>
  <c r="L88" i="42"/>
  <c r="J88" i="42"/>
  <c r="H88" i="42"/>
  <c r="F88" i="42"/>
  <c r="N83" i="42"/>
  <c r="L83" i="42"/>
  <c r="M338" i="42" s="1"/>
  <c r="J83" i="42"/>
  <c r="H83" i="42"/>
  <c r="F83" i="42"/>
  <c r="N81" i="42"/>
  <c r="L81" i="42"/>
  <c r="M337" i="42" s="1"/>
  <c r="J81" i="42"/>
  <c r="H81" i="42"/>
  <c r="F81" i="42"/>
  <c r="N78" i="42"/>
  <c r="L78" i="42"/>
  <c r="M334" i="42" s="1"/>
  <c r="J78" i="42"/>
  <c r="H78" i="42"/>
  <c r="F78" i="42"/>
  <c r="N76" i="42"/>
  <c r="L76" i="42"/>
  <c r="M333" i="42" s="1"/>
  <c r="J76" i="42"/>
  <c r="H76" i="42"/>
  <c r="F76" i="42"/>
  <c r="N73" i="42"/>
  <c r="L73" i="42"/>
  <c r="M332" i="42" s="1"/>
  <c r="J73" i="42"/>
  <c r="H73" i="42"/>
  <c r="F73" i="42"/>
  <c r="N71" i="42"/>
  <c r="L71" i="42"/>
  <c r="M331" i="42" s="1"/>
  <c r="J71" i="42"/>
  <c r="H71" i="42"/>
  <c r="F71" i="42"/>
  <c r="N69" i="42"/>
  <c r="L69" i="42"/>
  <c r="M330" i="42" s="1"/>
  <c r="J69" i="42"/>
  <c r="H69" i="42"/>
  <c r="F69" i="42"/>
  <c r="N67" i="42"/>
  <c r="L67" i="42"/>
  <c r="M329" i="42" s="1"/>
  <c r="J67" i="42"/>
  <c r="H67" i="42"/>
  <c r="F67" i="42"/>
  <c r="N64" i="42"/>
  <c r="L64" i="42"/>
  <c r="M328" i="42" s="1"/>
  <c r="J64" i="42"/>
  <c r="H64" i="42"/>
  <c r="F64" i="42"/>
  <c r="N62" i="42"/>
  <c r="L62" i="42"/>
  <c r="M327" i="42" s="1"/>
  <c r="J62" i="42"/>
  <c r="H62" i="42"/>
  <c r="F62" i="42"/>
  <c r="N60" i="42"/>
  <c r="L60" i="42"/>
  <c r="M326" i="42" s="1"/>
  <c r="J60" i="42"/>
  <c r="H60" i="42"/>
  <c r="F60" i="42"/>
  <c r="P26" i="42"/>
  <c r="F26" i="42"/>
  <c r="G25" i="42"/>
  <c r="F25" i="42"/>
  <c r="B20" i="42"/>
  <c r="B21" i="42" s="1"/>
  <c r="D28" i="42" s="1"/>
  <c r="D14" i="42"/>
  <c r="G6" i="42"/>
  <c r="N166" i="42" l="1"/>
  <c r="N167" i="42"/>
  <c r="N171" i="42"/>
  <c r="N172" i="42"/>
  <c r="F167" i="42"/>
  <c r="N168" i="42"/>
  <c r="N169" i="42"/>
  <c r="N170" i="42"/>
  <c r="N173" i="42"/>
  <c r="C147" i="42"/>
  <c r="C149" i="42"/>
  <c r="H308" i="42"/>
  <c r="B379" i="42"/>
  <c r="E146" i="42"/>
  <c r="E148" i="42"/>
  <c r="M174" i="42"/>
  <c r="L189" i="42" s="1"/>
  <c r="D104" i="42"/>
  <c r="C107" i="42" s="1"/>
  <c r="D107" i="42" s="1"/>
  <c r="F97" i="42"/>
  <c r="F98" i="42"/>
  <c r="F100" i="42"/>
  <c r="F102" i="42"/>
  <c r="D119" i="42"/>
  <c r="C122" i="42" s="1"/>
  <c r="D122" i="42" s="1"/>
  <c r="F112" i="42"/>
  <c r="F116" i="42"/>
  <c r="F118" i="42"/>
  <c r="D134" i="42"/>
  <c r="C137" i="42" s="1"/>
  <c r="D137" i="42" s="1"/>
  <c r="C134" i="42"/>
  <c r="C136" i="42" s="1"/>
  <c r="D136" i="42" s="1"/>
  <c r="F130" i="42"/>
  <c r="F132" i="42"/>
  <c r="C146" i="42"/>
  <c r="F146" i="42" s="1"/>
  <c r="E147" i="42"/>
  <c r="F147" i="42" s="1"/>
  <c r="C148" i="42"/>
  <c r="E149" i="42"/>
  <c r="F149" i="42" s="1"/>
  <c r="F166" i="42"/>
  <c r="E174" i="42"/>
  <c r="D179" i="42" s="1"/>
  <c r="D362" i="42" s="1"/>
  <c r="F168" i="42"/>
  <c r="F169" i="42"/>
  <c r="F170" i="42"/>
  <c r="K178" i="42"/>
  <c r="K361" i="42" s="1"/>
  <c r="F172" i="42"/>
  <c r="F173" i="42"/>
  <c r="E143" i="42"/>
  <c r="F143" i="42" s="1"/>
  <c r="D144" i="42"/>
  <c r="D145" i="42"/>
  <c r="F145" i="42" s="1"/>
  <c r="F171" i="42"/>
  <c r="C174" i="42"/>
  <c r="D177" i="42" s="1"/>
  <c r="C177" i="42" s="1"/>
  <c r="C104" i="42"/>
  <c r="C106" i="42" s="1"/>
  <c r="D106" i="42" s="1"/>
  <c r="E104" i="42"/>
  <c r="C108" i="42" s="1"/>
  <c r="D108" i="42" s="1"/>
  <c r="F99" i="42"/>
  <c r="F101" i="42"/>
  <c r="F103" i="42"/>
  <c r="F111" i="42"/>
  <c r="E119" i="42"/>
  <c r="C123" i="42" s="1"/>
  <c r="D123" i="42" s="1"/>
  <c r="F113" i="42"/>
  <c r="F114" i="42"/>
  <c r="F115" i="42"/>
  <c r="F117" i="42"/>
  <c r="E134" i="42"/>
  <c r="C138" i="42" s="1"/>
  <c r="D138" i="42" s="1"/>
  <c r="F129" i="42"/>
  <c r="F131" i="42"/>
  <c r="F133" i="42"/>
  <c r="C144" i="42"/>
  <c r="D174" i="42"/>
  <c r="H178" i="42" s="1"/>
  <c r="H361" i="42" s="1"/>
  <c r="K202" i="43"/>
  <c r="B122" i="43"/>
  <c r="J202" i="43"/>
  <c r="L202" i="43"/>
  <c r="B121" i="43"/>
  <c r="B206" i="43"/>
  <c r="G482" i="43" s="1"/>
  <c r="B207" i="43"/>
  <c r="J482" i="43" s="1"/>
  <c r="H202" i="43"/>
  <c r="B208" i="43"/>
  <c r="M482" i="43" s="1"/>
  <c r="B108" i="43"/>
  <c r="B107" i="43"/>
  <c r="F150" i="43"/>
  <c r="E351" i="43"/>
  <c r="C153" i="43"/>
  <c r="D153" i="43" s="1"/>
  <c r="K351" i="43" s="1"/>
  <c r="B137" i="43"/>
  <c r="B138" i="43"/>
  <c r="B136" i="43"/>
  <c r="E350" i="43"/>
  <c r="C152" i="43"/>
  <c r="D152" i="43" s="1"/>
  <c r="N188" i="42"/>
  <c r="H32" i="42"/>
  <c r="G28" i="42"/>
  <c r="F28" i="42"/>
  <c r="C316" i="42"/>
  <c r="K188" i="42"/>
  <c r="D29" i="42"/>
  <c r="D360" i="42"/>
  <c r="C179" i="42"/>
  <c r="D27" i="42"/>
  <c r="D181" i="42" s="1"/>
  <c r="J363" i="42" s="1"/>
  <c r="F96" i="42"/>
  <c r="C119" i="42"/>
  <c r="C121" i="42" s="1"/>
  <c r="D121" i="42" s="1"/>
  <c r="F126" i="42"/>
  <c r="D142" i="42"/>
  <c r="D150" i="42" s="1"/>
  <c r="F127" i="42"/>
  <c r="F128" i="42"/>
  <c r="C142" i="42"/>
  <c r="D178" i="42"/>
  <c r="M178" i="42" l="1"/>
  <c r="M361" i="42" s="1"/>
  <c r="F148" i="42"/>
  <c r="E150" i="42"/>
  <c r="F174" i="42"/>
  <c r="I175" i="42" s="1"/>
  <c r="F119" i="42"/>
  <c r="B121" i="42" s="1"/>
  <c r="F104" i="42"/>
  <c r="B107" i="42" s="1"/>
  <c r="F144" i="42"/>
  <c r="M202" i="43"/>
  <c r="K350" i="43"/>
  <c r="K353" i="43" s="1"/>
  <c r="D155" i="43"/>
  <c r="C150" i="42"/>
  <c r="F142" i="42"/>
  <c r="F134" i="42"/>
  <c r="B106" i="42"/>
  <c r="C362" i="42"/>
  <c r="B179" i="42"/>
  <c r="B362" i="42" s="1"/>
  <c r="C360" i="42"/>
  <c r="B177" i="42"/>
  <c r="B360" i="42" s="1"/>
  <c r="D361" i="42"/>
  <c r="C178" i="42"/>
  <c r="E306" i="42"/>
  <c r="C153" i="42"/>
  <c r="D153" i="42" s="1"/>
  <c r="K306" i="42" s="1"/>
  <c r="G188" i="42"/>
  <c r="I162" i="42"/>
  <c r="F160" i="42"/>
  <c r="H31" i="42"/>
  <c r="H30" i="42"/>
  <c r="F27" i="42"/>
  <c r="E158" i="42"/>
  <c r="G27" i="42"/>
  <c r="H345" i="42"/>
  <c r="I32" i="42"/>
  <c r="I345" i="42" s="1"/>
  <c r="F415" i="41"/>
  <c r="G379" i="41"/>
  <c r="F379" i="41"/>
  <c r="E379" i="41"/>
  <c r="D379" i="41"/>
  <c r="C379" i="41"/>
  <c r="B378" i="41"/>
  <c r="B377" i="41"/>
  <c r="L374" i="41"/>
  <c r="B374" i="41"/>
  <c r="F368" i="41"/>
  <c r="F363" i="41"/>
  <c r="L338" i="41"/>
  <c r="J338" i="41"/>
  <c r="H338" i="41"/>
  <c r="F338" i="41"/>
  <c r="D338" i="41"/>
  <c r="L337" i="41"/>
  <c r="J337" i="41"/>
  <c r="H337" i="41"/>
  <c r="F337" i="41"/>
  <c r="D337" i="41"/>
  <c r="L334" i="41"/>
  <c r="J334" i="41"/>
  <c r="H334" i="41"/>
  <c r="F334" i="41"/>
  <c r="D334" i="41"/>
  <c r="L333" i="41"/>
  <c r="J333" i="41"/>
  <c r="H333" i="41"/>
  <c r="F333" i="41"/>
  <c r="D333" i="41"/>
  <c r="L332" i="41"/>
  <c r="J332" i="41"/>
  <c r="H332" i="41"/>
  <c r="F332" i="41"/>
  <c r="D332" i="41"/>
  <c r="L331" i="41"/>
  <c r="J331" i="41"/>
  <c r="H331" i="41"/>
  <c r="F331" i="41"/>
  <c r="D331" i="41"/>
  <c r="L330" i="41"/>
  <c r="J330" i="41"/>
  <c r="H330" i="41"/>
  <c r="F330" i="41"/>
  <c r="D330" i="41"/>
  <c r="L329" i="41"/>
  <c r="J329" i="41"/>
  <c r="H329" i="41"/>
  <c r="F329" i="41"/>
  <c r="D329" i="41"/>
  <c r="L328" i="41"/>
  <c r="J328" i="41"/>
  <c r="H328" i="41"/>
  <c r="F328" i="41"/>
  <c r="D328" i="41"/>
  <c r="L327" i="41"/>
  <c r="J327" i="41"/>
  <c r="H327" i="41"/>
  <c r="F327" i="41"/>
  <c r="D327" i="41"/>
  <c r="L326" i="41"/>
  <c r="J326" i="41"/>
  <c r="H326" i="41"/>
  <c r="F326" i="41"/>
  <c r="D326" i="41"/>
  <c r="C319" i="41"/>
  <c r="C318" i="41"/>
  <c r="C317" i="41"/>
  <c r="C315" i="41"/>
  <c r="C312" i="41"/>
  <c r="H307" i="41"/>
  <c r="H306" i="41"/>
  <c r="H305" i="41"/>
  <c r="J300" i="41"/>
  <c r="I300" i="41"/>
  <c r="H300" i="41"/>
  <c r="G300" i="41"/>
  <c r="F300" i="41"/>
  <c r="E300" i="41"/>
  <c r="D300" i="41"/>
  <c r="C300" i="41"/>
  <c r="J299" i="41"/>
  <c r="I299" i="41"/>
  <c r="H299" i="41"/>
  <c r="G299" i="41"/>
  <c r="F299" i="41"/>
  <c r="E299" i="41"/>
  <c r="D299" i="41"/>
  <c r="C299" i="41"/>
  <c r="J298" i="41"/>
  <c r="I298" i="41"/>
  <c r="I302" i="41" s="1"/>
  <c r="H298" i="41"/>
  <c r="G298" i="41"/>
  <c r="G302" i="41" s="1"/>
  <c r="F298" i="41"/>
  <c r="F302" i="41" s="1"/>
  <c r="E298" i="41"/>
  <c r="E302" i="41" s="1"/>
  <c r="D298" i="41"/>
  <c r="C298" i="41"/>
  <c r="C302" i="41" s="1"/>
  <c r="N294" i="41"/>
  <c r="G294" i="41"/>
  <c r="C294" i="41"/>
  <c r="N293" i="41"/>
  <c r="J293" i="41"/>
  <c r="G293" i="41"/>
  <c r="C293" i="41"/>
  <c r="N292" i="41"/>
  <c r="J292" i="41"/>
  <c r="G292" i="41"/>
  <c r="C292" i="41"/>
  <c r="N291" i="41"/>
  <c r="J291" i="41"/>
  <c r="G291" i="41"/>
  <c r="C291" i="41"/>
  <c r="B282" i="41"/>
  <c r="M280" i="41"/>
  <c r="I280" i="41"/>
  <c r="B280" i="41"/>
  <c r="L199" i="41"/>
  <c r="I199" i="41"/>
  <c r="G199" i="41"/>
  <c r="E199" i="41"/>
  <c r="C199" i="41"/>
  <c r="L198" i="41"/>
  <c r="I198" i="41"/>
  <c r="G198" i="41"/>
  <c r="E198" i="41"/>
  <c r="C198" i="41"/>
  <c r="L197" i="41"/>
  <c r="I197" i="41"/>
  <c r="G197" i="41"/>
  <c r="E197" i="41"/>
  <c r="C197" i="41"/>
  <c r="L196" i="41"/>
  <c r="I196" i="41"/>
  <c r="G196" i="41"/>
  <c r="E196" i="41"/>
  <c r="C196" i="41"/>
  <c r="L195" i="41"/>
  <c r="I195" i="41"/>
  <c r="G195" i="41"/>
  <c r="E195" i="41"/>
  <c r="C195" i="41"/>
  <c r="L194" i="41"/>
  <c r="I194" i="41"/>
  <c r="G194" i="41"/>
  <c r="E194" i="41"/>
  <c r="C194" i="41"/>
  <c r="L193" i="41"/>
  <c r="I193" i="41"/>
  <c r="G193" i="41"/>
  <c r="E193" i="41"/>
  <c r="C193" i="41"/>
  <c r="L192" i="41"/>
  <c r="I192" i="41"/>
  <c r="G192" i="41"/>
  <c r="E192" i="41"/>
  <c r="C192" i="41"/>
  <c r="C188" i="41"/>
  <c r="M187" i="41"/>
  <c r="F187" i="41"/>
  <c r="B187" i="41"/>
  <c r="M186" i="41"/>
  <c r="I186" i="41"/>
  <c r="B186" i="41"/>
  <c r="L174" i="41"/>
  <c r="K174" i="41"/>
  <c r="J174" i="41"/>
  <c r="I174" i="41"/>
  <c r="H174" i="41"/>
  <c r="M173" i="41"/>
  <c r="G173" i="41"/>
  <c r="E173" i="41"/>
  <c r="D173" i="41"/>
  <c r="C173" i="41"/>
  <c r="M172" i="41"/>
  <c r="G172" i="41"/>
  <c r="E172" i="41"/>
  <c r="D172" i="41"/>
  <c r="C172" i="41"/>
  <c r="M171" i="41"/>
  <c r="G171" i="41"/>
  <c r="E171" i="41"/>
  <c r="D171" i="41"/>
  <c r="C171" i="41"/>
  <c r="M170" i="41"/>
  <c r="G170" i="41"/>
  <c r="E170" i="41"/>
  <c r="D170" i="41"/>
  <c r="C170" i="41"/>
  <c r="M169" i="41"/>
  <c r="G169" i="41"/>
  <c r="D169" i="41"/>
  <c r="C169" i="41"/>
  <c r="M168" i="41"/>
  <c r="G168" i="41"/>
  <c r="E168" i="41"/>
  <c r="D168" i="41"/>
  <c r="C168" i="41"/>
  <c r="M167" i="41"/>
  <c r="G167" i="41"/>
  <c r="E167" i="41"/>
  <c r="D167" i="41"/>
  <c r="M166" i="41"/>
  <c r="G166" i="41"/>
  <c r="E166" i="41"/>
  <c r="D166" i="41"/>
  <c r="F178" i="41" s="1"/>
  <c r="F361" i="41" s="1"/>
  <c r="C166" i="41"/>
  <c r="B155" i="41"/>
  <c r="D149" i="41"/>
  <c r="E148" i="41"/>
  <c r="D147" i="41"/>
  <c r="E146" i="41"/>
  <c r="C145" i="41"/>
  <c r="D144" i="41"/>
  <c r="D143" i="41"/>
  <c r="B142" i="41"/>
  <c r="E142" i="41" s="1"/>
  <c r="E133" i="41"/>
  <c r="D133" i="41"/>
  <c r="C133" i="41"/>
  <c r="E132" i="41"/>
  <c r="D132" i="41"/>
  <c r="C132" i="41"/>
  <c r="E131" i="41"/>
  <c r="D131" i="41"/>
  <c r="C131" i="41"/>
  <c r="E130" i="41"/>
  <c r="D130" i="41"/>
  <c r="C130" i="41"/>
  <c r="D129" i="41"/>
  <c r="C129" i="41"/>
  <c r="E128" i="41"/>
  <c r="D128" i="41"/>
  <c r="C128" i="41"/>
  <c r="E127" i="41"/>
  <c r="D127" i="41"/>
  <c r="E126" i="41"/>
  <c r="D126" i="41"/>
  <c r="C126" i="41"/>
  <c r="E118" i="41"/>
  <c r="D118" i="41"/>
  <c r="C118" i="41"/>
  <c r="E117" i="41"/>
  <c r="D117" i="41"/>
  <c r="C117" i="41"/>
  <c r="E116" i="41"/>
  <c r="D116" i="41"/>
  <c r="C116" i="41"/>
  <c r="E115" i="41"/>
  <c r="D115" i="41"/>
  <c r="C115" i="41"/>
  <c r="D114" i="41"/>
  <c r="C114" i="41"/>
  <c r="E113" i="41"/>
  <c r="D113" i="41"/>
  <c r="C113" i="41"/>
  <c r="E112" i="41"/>
  <c r="D112" i="41"/>
  <c r="E111" i="41"/>
  <c r="D111" i="41"/>
  <c r="C111" i="41"/>
  <c r="E103" i="41"/>
  <c r="D103" i="41"/>
  <c r="C103" i="41"/>
  <c r="E102" i="41"/>
  <c r="D102" i="41"/>
  <c r="C102" i="41"/>
  <c r="E101" i="41"/>
  <c r="D101" i="41"/>
  <c r="C101" i="41"/>
  <c r="E100" i="41"/>
  <c r="D100" i="41"/>
  <c r="C100" i="41"/>
  <c r="D99" i="41"/>
  <c r="C99" i="41"/>
  <c r="E98" i="41"/>
  <c r="D98" i="41"/>
  <c r="C98" i="41"/>
  <c r="E97" i="41"/>
  <c r="D97" i="41"/>
  <c r="E96" i="41"/>
  <c r="D96" i="41"/>
  <c r="C96" i="41"/>
  <c r="N88" i="41"/>
  <c r="L88" i="41"/>
  <c r="J88" i="41"/>
  <c r="H88" i="41"/>
  <c r="F88" i="41"/>
  <c r="N83" i="41"/>
  <c r="L83" i="41"/>
  <c r="M338" i="41" s="1"/>
  <c r="J83" i="41"/>
  <c r="H83" i="41"/>
  <c r="F83" i="41"/>
  <c r="N81" i="41"/>
  <c r="L81" i="41"/>
  <c r="M337" i="41" s="1"/>
  <c r="J81" i="41"/>
  <c r="H81" i="41"/>
  <c r="F81" i="41"/>
  <c r="N78" i="41"/>
  <c r="L78" i="41"/>
  <c r="M334" i="41" s="1"/>
  <c r="J78" i="41"/>
  <c r="H78" i="41"/>
  <c r="F78" i="41"/>
  <c r="N76" i="41"/>
  <c r="L76" i="41"/>
  <c r="M333" i="41" s="1"/>
  <c r="J76" i="41"/>
  <c r="H76" i="41"/>
  <c r="F76" i="41"/>
  <c r="N73" i="41"/>
  <c r="L73" i="41"/>
  <c r="M332" i="41" s="1"/>
  <c r="J73" i="41"/>
  <c r="H73" i="41"/>
  <c r="F73" i="41"/>
  <c r="N71" i="41"/>
  <c r="L71" i="41"/>
  <c r="M331" i="41" s="1"/>
  <c r="J71" i="41"/>
  <c r="H71" i="41"/>
  <c r="F71" i="41"/>
  <c r="N69" i="41"/>
  <c r="L69" i="41"/>
  <c r="M330" i="41" s="1"/>
  <c r="J69" i="41"/>
  <c r="H69" i="41"/>
  <c r="F69" i="41"/>
  <c r="N67" i="41"/>
  <c r="L67" i="41"/>
  <c r="M329" i="41" s="1"/>
  <c r="J67" i="41"/>
  <c r="H67" i="41"/>
  <c r="F67" i="41"/>
  <c r="N64" i="41"/>
  <c r="L64" i="41"/>
  <c r="M328" i="41" s="1"/>
  <c r="J64" i="41"/>
  <c r="H64" i="41"/>
  <c r="F64" i="41"/>
  <c r="N62" i="41"/>
  <c r="L62" i="41"/>
  <c r="M327" i="41" s="1"/>
  <c r="J62" i="41"/>
  <c r="H62" i="41"/>
  <c r="F62" i="41"/>
  <c r="N60" i="41"/>
  <c r="L60" i="41"/>
  <c r="M326" i="41" s="1"/>
  <c r="J60" i="41"/>
  <c r="H60" i="41"/>
  <c r="F60" i="41"/>
  <c r="P26" i="41"/>
  <c r="F26" i="41"/>
  <c r="G25" i="41"/>
  <c r="F25" i="41"/>
  <c r="D14" i="41"/>
  <c r="G6" i="41"/>
  <c r="D20" i="33"/>
  <c r="B20" i="33"/>
  <c r="D20" i="38"/>
  <c r="B20" i="38"/>
  <c r="D20" i="40"/>
  <c r="B20" i="40"/>
  <c r="B21" i="40" s="1"/>
  <c r="D28" i="40" s="1"/>
  <c r="F417" i="40"/>
  <c r="G379" i="40"/>
  <c r="F379" i="40"/>
  <c r="E379" i="40"/>
  <c r="D379" i="40"/>
  <c r="C379" i="40"/>
  <c r="B378" i="40"/>
  <c r="B377" i="40"/>
  <c r="B379" i="40" s="1"/>
  <c r="L374" i="40"/>
  <c r="B374" i="40"/>
  <c r="F368" i="40"/>
  <c r="F363" i="40"/>
  <c r="L338" i="40"/>
  <c r="J338" i="40"/>
  <c r="H338" i="40"/>
  <c r="F338" i="40"/>
  <c r="D338" i="40"/>
  <c r="L337" i="40"/>
  <c r="J337" i="40"/>
  <c r="H337" i="40"/>
  <c r="F337" i="40"/>
  <c r="D337" i="40"/>
  <c r="L334" i="40"/>
  <c r="J334" i="40"/>
  <c r="H334" i="40"/>
  <c r="F334" i="40"/>
  <c r="D334" i="40"/>
  <c r="L333" i="40"/>
  <c r="J333" i="40"/>
  <c r="H333" i="40"/>
  <c r="F333" i="40"/>
  <c r="D333" i="40"/>
  <c r="L332" i="40"/>
  <c r="J332" i="40"/>
  <c r="H332" i="40"/>
  <c r="F332" i="40"/>
  <c r="D332" i="40"/>
  <c r="L331" i="40"/>
  <c r="J331" i="40"/>
  <c r="H331" i="40"/>
  <c r="F331" i="40"/>
  <c r="D331" i="40"/>
  <c r="L330" i="40"/>
  <c r="J330" i="40"/>
  <c r="H330" i="40"/>
  <c r="F330" i="40"/>
  <c r="D330" i="40"/>
  <c r="L329" i="40"/>
  <c r="J329" i="40"/>
  <c r="H329" i="40"/>
  <c r="F329" i="40"/>
  <c r="D329" i="40"/>
  <c r="L328" i="40"/>
  <c r="J328" i="40"/>
  <c r="H328" i="40"/>
  <c r="F328" i="40"/>
  <c r="D328" i="40"/>
  <c r="L327" i="40"/>
  <c r="J327" i="40"/>
  <c r="H327" i="40"/>
  <c r="F327" i="40"/>
  <c r="D327" i="40"/>
  <c r="L326" i="40"/>
  <c r="J326" i="40"/>
  <c r="H326" i="40"/>
  <c r="F326" i="40"/>
  <c r="D326" i="40"/>
  <c r="C319" i="40"/>
  <c r="C318" i="40"/>
  <c r="C317" i="40"/>
  <c r="C315" i="40"/>
  <c r="C312" i="40"/>
  <c r="H307" i="40"/>
  <c r="H306" i="40"/>
  <c r="H308" i="40" s="1"/>
  <c r="H305" i="40"/>
  <c r="J300" i="40"/>
  <c r="I300" i="40"/>
  <c r="H300" i="40"/>
  <c r="G300" i="40"/>
  <c r="F300" i="40"/>
  <c r="E300" i="40"/>
  <c r="D300" i="40"/>
  <c r="C300" i="40"/>
  <c r="J299" i="40"/>
  <c r="I299" i="40"/>
  <c r="H299" i="40"/>
  <c r="G299" i="40"/>
  <c r="F299" i="40"/>
  <c r="E299" i="40"/>
  <c r="D299" i="40"/>
  <c r="C299" i="40"/>
  <c r="J298" i="40"/>
  <c r="J302" i="40" s="1"/>
  <c r="I298" i="40"/>
  <c r="I302" i="40" s="1"/>
  <c r="H298" i="40"/>
  <c r="H302" i="40" s="1"/>
  <c r="G298" i="40"/>
  <c r="G302" i="40" s="1"/>
  <c r="F298" i="40"/>
  <c r="F302" i="40" s="1"/>
  <c r="E298" i="40"/>
  <c r="E302" i="40" s="1"/>
  <c r="D298" i="40"/>
  <c r="D302" i="40" s="1"/>
  <c r="C298" i="40"/>
  <c r="C302" i="40" s="1"/>
  <c r="N294" i="40"/>
  <c r="G294" i="40"/>
  <c r="C294" i="40"/>
  <c r="N293" i="40"/>
  <c r="J293" i="40"/>
  <c r="G293" i="40"/>
  <c r="C293" i="40"/>
  <c r="N292" i="40"/>
  <c r="J292" i="40"/>
  <c r="G292" i="40"/>
  <c r="C292" i="40"/>
  <c r="N291" i="40"/>
  <c r="J291" i="40"/>
  <c r="G291" i="40"/>
  <c r="C291" i="40"/>
  <c r="B282" i="40"/>
  <c r="M280" i="40"/>
  <c r="I280" i="40"/>
  <c r="B280" i="40"/>
  <c r="L199" i="40"/>
  <c r="I199" i="40"/>
  <c r="G199" i="40"/>
  <c r="E199" i="40"/>
  <c r="C199" i="40"/>
  <c r="L198" i="40"/>
  <c r="I198" i="40"/>
  <c r="G198" i="40"/>
  <c r="E198" i="40"/>
  <c r="C198" i="40"/>
  <c r="L197" i="40"/>
  <c r="I197" i="40"/>
  <c r="G197" i="40"/>
  <c r="E197" i="40"/>
  <c r="C197" i="40"/>
  <c r="L196" i="40"/>
  <c r="I196" i="40"/>
  <c r="G196" i="40"/>
  <c r="E196" i="40"/>
  <c r="C196" i="40"/>
  <c r="L195" i="40"/>
  <c r="I195" i="40"/>
  <c r="G195" i="40"/>
  <c r="E195" i="40"/>
  <c r="C195" i="40"/>
  <c r="L194" i="40"/>
  <c r="I194" i="40"/>
  <c r="G194" i="40"/>
  <c r="E194" i="40"/>
  <c r="C194" i="40"/>
  <c r="L193" i="40"/>
  <c r="I193" i="40"/>
  <c r="G193" i="40"/>
  <c r="E193" i="40"/>
  <c r="C193" i="40"/>
  <c r="L192" i="40"/>
  <c r="I192" i="40"/>
  <c r="G192" i="40"/>
  <c r="E192" i="40"/>
  <c r="C192" i="40"/>
  <c r="C188" i="40"/>
  <c r="M187" i="40"/>
  <c r="F187" i="40"/>
  <c r="B187" i="40"/>
  <c r="M186" i="40"/>
  <c r="I186" i="40"/>
  <c r="B186" i="40"/>
  <c r="L174" i="40"/>
  <c r="K174" i="40"/>
  <c r="J174" i="40"/>
  <c r="I174" i="40"/>
  <c r="H174" i="40"/>
  <c r="M173" i="40"/>
  <c r="G173" i="40"/>
  <c r="N173" i="40" s="1"/>
  <c r="E173" i="40"/>
  <c r="D173" i="40"/>
  <c r="C173" i="40"/>
  <c r="M172" i="40"/>
  <c r="N172" i="40" s="1"/>
  <c r="G172" i="40"/>
  <c r="E172" i="40"/>
  <c r="D172" i="40"/>
  <c r="C172" i="40"/>
  <c r="M171" i="40"/>
  <c r="G171" i="40"/>
  <c r="N171" i="40" s="1"/>
  <c r="E171" i="40"/>
  <c r="D171" i="40"/>
  <c r="C171" i="40"/>
  <c r="M170" i="40"/>
  <c r="N170" i="40" s="1"/>
  <c r="G170" i="40"/>
  <c r="E170" i="40"/>
  <c r="D170" i="40"/>
  <c r="C170" i="40"/>
  <c r="M169" i="40"/>
  <c r="G169" i="40"/>
  <c r="D169" i="40"/>
  <c r="C169" i="40"/>
  <c r="F169" i="40" s="1"/>
  <c r="M168" i="40"/>
  <c r="G168" i="40"/>
  <c r="N168" i="40" s="1"/>
  <c r="E168" i="40"/>
  <c r="D168" i="40"/>
  <c r="C168" i="40"/>
  <c r="M167" i="40"/>
  <c r="N167" i="40" s="1"/>
  <c r="G167" i="40"/>
  <c r="E167" i="40"/>
  <c r="D167" i="40"/>
  <c r="M166" i="40"/>
  <c r="G166" i="40"/>
  <c r="E166" i="40"/>
  <c r="D166" i="40"/>
  <c r="C166" i="40"/>
  <c r="B155" i="40"/>
  <c r="C149" i="40"/>
  <c r="B149" i="40"/>
  <c r="D149" i="40" s="1"/>
  <c r="B148" i="40"/>
  <c r="D148" i="40" s="1"/>
  <c r="B147" i="40"/>
  <c r="D147" i="40" s="1"/>
  <c r="B146" i="40"/>
  <c r="E146" i="40" s="1"/>
  <c r="B145" i="40"/>
  <c r="D145" i="40" s="1"/>
  <c r="B144" i="40"/>
  <c r="D144" i="40" s="1"/>
  <c r="B143" i="40"/>
  <c r="E143" i="40" s="1"/>
  <c r="B142" i="40"/>
  <c r="E142" i="40" s="1"/>
  <c r="E133" i="40"/>
  <c r="D133" i="40"/>
  <c r="C133" i="40"/>
  <c r="E132" i="40"/>
  <c r="D132" i="40"/>
  <c r="C132" i="40"/>
  <c r="E131" i="40"/>
  <c r="D131" i="40"/>
  <c r="C131" i="40"/>
  <c r="E130" i="40"/>
  <c r="D130" i="40"/>
  <c r="C130" i="40"/>
  <c r="D129" i="40"/>
  <c r="C129" i="40"/>
  <c r="E128" i="40"/>
  <c r="D128" i="40"/>
  <c r="C128" i="40"/>
  <c r="E127" i="40"/>
  <c r="D127" i="40"/>
  <c r="E126" i="40"/>
  <c r="D126" i="40"/>
  <c r="C126" i="40"/>
  <c r="E118" i="40"/>
  <c r="D118" i="40"/>
  <c r="C118" i="40"/>
  <c r="E117" i="40"/>
  <c r="D117" i="40"/>
  <c r="C117" i="40"/>
  <c r="E116" i="40"/>
  <c r="D116" i="40"/>
  <c r="C116" i="40"/>
  <c r="E115" i="40"/>
  <c r="D115" i="40"/>
  <c r="C115" i="40"/>
  <c r="D114" i="40"/>
  <c r="C114" i="40"/>
  <c r="E113" i="40"/>
  <c r="D113" i="40"/>
  <c r="C113" i="40"/>
  <c r="E112" i="40"/>
  <c r="D112" i="40"/>
  <c r="E111" i="40"/>
  <c r="D111" i="40"/>
  <c r="C111" i="40"/>
  <c r="E103" i="40"/>
  <c r="D103" i="40"/>
  <c r="C103" i="40"/>
  <c r="E102" i="40"/>
  <c r="D102" i="40"/>
  <c r="C102" i="40"/>
  <c r="E101" i="40"/>
  <c r="D101" i="40"/>
  <c r="C101" i="40"/>
  <c r="E100" i="40"/>
  <c r="D100" i="40"/>
  <c r="C100" i="40"/>
  <c r="D99" i="40"/>
  <c r="C99" i="40"/>
  <c r="E98" i="40"/>
  <c r="D98" i="40"/>
  <c r="C98" i="40"/>
  <c r="E97" i="40"/>
  <c r="D97" i="40"/>
  <c r="E96" i="40"/>
  <c r="D96" i="40"/>
  <c r="C96" i="40"/>
  <c r="N88" i="40"/>
  <c r="L88" i="40"/>
  <c r="J88" i="40"/>
  <c r="H88" i="40"/>
  <c r="F88" i="40"/>
  <c r="N83" i="40"/>
  <c r="L83" i="40"/>
  <c r="M338" i="40" s="1"/>
  <c r="J83" i="40"/>
  <c r="H83" i="40"/>
  <c r="F83" i="40"/>
  <c r="N81" i="40"/>
  <c r="L81" i="40"/>
  <c r="M337" i="40" s="1"/>
  <c r="J81" i="40"/>
  <c r="H81" i="40"/>
  <c r="F81" i="40"/>
  <c r="N78" i="40"/>
  <c r="L78" i="40"/>
  <c r="M334" i="40" s="1"/>
  <c r="J78" i="40"/>
  <c r="H78" i="40"/>
  <c r="F78" i="40"/>
  <c r="N76" i="40"/>
  <c r="L76" i="40"/>
  <c r="M333" i="40" s="1"/>
  <c r="J76" i="40"/>
  <c r="H76" i="40"/>
  <c r="F76" i="40"/>
  <c r="N73" i="40"/>
  <c r="L73" i="40"/>
  <c r="M332" i="40" s="1"/>
  <c r="J73" i="40"/>
  <c r="H73" i="40"/>
  <c r="F73" i="40"/>
  <c r="N71" i="40"/>
  <c r="L71" i="40"/>
  <c r="M331" i="40" s="1"/>
  <c r="J71" i="40"/>
  <c r="H71" i="40"/>
  <c r="F71" i="40"/>
  <c r="N69" i="40"/>
  <c r="L69" i="40"/>
  <c r="M330" i="40" s="1"/>
  <c r="J69" i="40"/>
  <c r="H69" i="40"/>
  <c r="F69" i="40"/>
  <c r="N67" i="40"/>
  <c r="L67" i="40"/>
  <c r="M329" i="40" s="1"/>
  <c r="J67" i="40"/>
  <c r="H67" i="40"/>
  <c r="F67" i="40"/>
  <c r="N64" i="40"/>
  <c r="L64" i="40"/>
  <c r="M328" i="40" s="1"/>
  <c r="J64" i="40"/>
  <c r="H64" i="40"/>
  <c r="F64" i="40"/>
  <c r="N62" i="40"/>
  <c r="L62" i="40"/>
  <c r="M327" i="40" s="1"/>
  <c r="J62" i="40"/>
  <c r="H62" i="40"/>
  <c r="F62" i="40"/>
  <c r="N60" i="40"/>
  <c r="L60" i="40"/>
  <c r="M326" i="40" s="1"/>
  <c r="J60" i="40"/>
  <c r="H60" i="40"/>
  <c r="F60" i="40"/>
  <c r="P26" i="40"/>
  <c r="F26" i="40"/>
  <c r="G25" i="40"/>
  <c r="F25" i="40"/>
  <c r="D14" i="40"/>
  <c r="G6" i="40"/>
  <c r="F150" i="42" l="1"/>
  <c r="C154" i="42"/>
  <c r="D154" i="42" s="1"/>
  <c r="K307" i="42" s="1"/>
  <c r="E307" i="42"/>
  <c r="L175" i="42"/>
  <c r="J175" i="42"/>
  <c r="E148" i="40"/>
  <c r="H175" i="42"/>
  <c r="K175" i="42"/>
  <c r="C104" i="40"/>
  <c r="C106" i="40" s="1"/>
  <c r="D106" i="40" s="1"/>
  <c r="E104" i="40"/>
  <c r="C108" i="40" s="1"/>
  <c r="D108" i="40" s="1"/>
  <c r="F99" i="40"/>
  <c r="F101" i="40"/>
  <c r="F103" i="40"/>
  <c r="F111" i="40"/>
  <c r="E119" i="40"/>
  <c r="C123" i="40" s="1"/>
  <c r="D123" i="40" s="1"/>
  <c r="F113" i="40"/>
  <c r="F114" i="40"/>
  <c r="F115" i="40"/>
  <c r="F117" i="40"/>
  <c r="C134" i="40"/>
  <c r="C136" i="40" s="1"/>
  <c r="D136" i="40" s="1"/>
  <c r="E134" i="40"/>
  <c r="C138" i="40" s="1"/>
  <c r="D138" i="40" s="1"/>
  <c r="F129" i="40"/>
  <c r="F131" i="40"/>
  <c r="F133" i="40"/>
  <c r="C145" i="40"/>
  <c r="C148" i="40"/>
  <c r="F148" i="40" s="1"/>
  <c r="D174" i="40"/>
  <c r="N166" i="40"/>
  <c r="C174" i="40"/>
  <c r="D177" i="40" s="1"/>
  <c r="F170" i="40"/>
  <c r="F171" i="40"/>
  <c r="F172" i="40"/>
  <c r="F173" i="40"/>
  <c r="M174" i="40"/>
  <c r="L189" i="40" s="1"/>
  <c r="D142" i="40"/>
  <c r="E144" i="40"/>
  <c r="F145" i="40"/>
  <c r="D146" i="40"/>
  <c r="E147" i="40"/>
  <c r="E174" i="40"/>
  <c r="D179" i="40" s="1"/>
  <c r="D104" i="40"/>
  <c r="C107" i="40" s="1"/>
  <c r="D107" i="40" s="1"/>
  <c r="F97" i="40"/>
  <c r="F98" i="40"/>
  <c r="F100" i="40"/>
  <c r="F102" i="40"/>
  <c r="D119" i="40"/>
  <c r="C122" i="40" s="1"/>
  <c r="D122" i="40" s="1"/>
  <c r="F112" i="40"/>
  <c r="F116" i="40"/>
  <c r="F118" i="40"/>
  <c r="D134" i="40"/>
  <c r="C137" i="40" s="1"/>
  <c r="D137" i="40" s="1"/>
  <c r="F127" i="40"/>
  <c r="F128" i="40"/>
  <c r="F130" i="40"/>
  <c r="F132" i="40"/>
  <c r="C142" i="40"/>
  <c r="D143" i="40"/>
  <c r="C144" i="40"/>
  <c r="F144" i="40" s="1"/>
  <c r="C146" i="40"/>
  <c r="C147" i="40"/>
  <c r="F147" i="40" s="1"/>
  <c r="E149" i="40"/>
  <c r="F149" i="40" s="1"/>
  <c r="F167" i="40"/>
  <c r="F168" i="40"/>
  <c r="K178" i="40"/>
  <c r="K361" i="40" s="1"/>
  <c r="N169" i="40"/>
  <c r="F98" i="41"/>
  <c r="F100" i="41"/>
  <c r="F118" i="41"/>
  <c r="F130" i="41"/>
  <c r="F166" i="41"/>
  <c r="E174" i="41"/>
  <c r="D179" i="41" s="1"/>
  <c r="F167" i="41"/>
  <c r="D174" i="41"/>
  <c r="F169" i="41"/>
  <c r="F170" i="41"/>
  <c r="K178" i="41"/>
  <c r="F172" i="41"/>
  <c r="F173" i="41"/>
  <c r="M174" i="41"/>
  <c r="L189" i="41" s="1"/>
  <c r="B108" i="42"/>
  <c r="B122" i="42"/>
  <c r="B123" i="42"/>
  <c r="F101" i="41"/>
  <c r="F111" i="41"/>
  <c r="F131" i="41"/>
  <c r="N166" i="41"/>
  <c r="N167" i="41"/>
  <c r="N168" i="41"/>
  <c r="N169" i="41"/>
  <c r="N170" i="41"/>
  <c r="N171" i="41"/>
  <c r="N172" i="41"/>
  <c r="N173" i="41"/>
  <c r="H302" i="41"/>
  <c r="H308" i="41"/>
  <c r="B379" i="41"/>
  <c r="F113" i="41"/>
  <c r="D119" i="41"/>
  <c r="C122" i="41" s="1"/>
  <c r="D122" i="41" s="1"/>
  <c r="F116" i="41"/>
  <c r="F117" i="41"/>
  <c r="F115" i="41"/>
  <c r="J302" i="41"/>
  <c r="F102" i="41"/>
  <c r="F103" i="41"/>
  <c r="D302" i="41"/>
  <c r="F133" i="41"/>
  <c r="F132" i="41"/>
  <c r="F129" i="41"/>
  <c r="D134" i="41"/>
  <c r="C137" i="41" s="1"/>
  <c r="D137" i="41" s="1"/>
  <c r="C134" i="41"/>
  <c r="C136" i="41" s="1"/>
  <c r="D136" i="41" s="1"/>
  <c r="E134" i="41"/>
  <c r="C138" i="41" s="1"/>
  <c r="D138" i="41" s="1"/>
  <c r="E119" i="41"/>
  <c r="C123" i="41" s="1"/>
  <c r="D123" i="41" s="1"/>
  <c r="C147" i="41"/>
  <c r="E147" i="41"/>
  <c r="F114" i="41"/>
  <c r="F112" i="41"/>
  <c r="C149" i="41"/>
  <c r="E149" i="41"/>
  <c r="F99" i="41"/>
  <c r="C104" i="41"/>
  <c r="C106" i="41" s="1"/>
  <c r="D106" i="41" s="1"/>
  <c r="E104" i="41"/>
  <c r="C108" i="41" s="1"/>
  <c r="D108" i="41" s="1"/>
  <c r="C144" i="41"/>
  <c r="E144" i="41"/>
  <c r="E143" i="41"/>
  <c r="F143" i="41" s="1"/>
  <c r="F97" i="41"/>
  <c r="H160" i="42"/>
  <c r="E160" i="42"/>
  <c r="G160" i="42" s="1"/>
  <c r="C361" i="42"/>
  <c r="C363" i="42" s="1"/>
  <c r="B178" i="42"/>
  <c r="B361" i="42" s="1"/>
  <c r="B363" i="42" s="1"/>
  <c r="E159" i="42"/>
  <c r="H343" i="42"/>
  <c r="I30" i="42"/>
  <c r="I343" i="42" s="1"/>
  <c r="H344" i="42"/>
  <c r="I31" i="42"/>
  <c r="I344" i="42" s="1"/>
  <c r="B137" i="42"/>
  <c r="B138" i="42"/>
  <c r="B136" i="42"/>
  <c r="E305" i="42"/>
  <c r="C152" i="42"/>
  <c r="D152" i="42" s="1"/>
  <c r="B21" i="41"/>
  <c r="D27" i="41" s="1"/>
  <c r="H31" i="41" s="1"/>
  <c r="D104" i="41"/>
  <c r="C107" i="41" s="1"/>
  <c r="D107" i="41" s="1"/>
  <c r="F96" i="41"/>
  <c r="D362" i="41"/>
  <c r="C179" i="41"/>
  <c r="D178" i="41"/>
  <c r="K361" i="41"/>
  <c r="C316" i="41"/>
  <c r="K188" i="41"/>
  <c r="C119" i="41"/>
  <c r="C121" i="41" s="1"/>
  <c r="D121" i="41" s="1"/>
  <c r="F126" i="41"/>
  <c r="D142" i="41"/>
  <c r="D145" i="41"/>
  <c r="F145" i="41" s="1"/>
  <c r="D146" i="41"/>
  <c r="D148" i="41"/>
  <c r="F168" i="41"/>
  <c r="F171" i="41"/>
  <c r="C174" i="41"/>
  <c r="D177" i="41" s="1"/>
  <c r="F127" i="41"/>
  <c r="F128" i="41"/>
  <c r="C142" i="41"/>
  <c r="C146" i="41"/>
  <c r="C148" i="41"/>
  <c r="F148" i="41" s="1"/>
  <c r="H178" i="41"/>
  <c r="H361" i="41" s="1"/>
  <c r="D27" i="40"/>
  <c r="H30" i="40" s="1"/>
  <c r="I30" i="40" s="1"/>
  <c r="I343" i="40" s="1"/>
  <c r="D29" i="40"/>
  <c r="N188" i="40"/>
  <c r="H32" i="40"/>
  <c r="F28" i="40"/>
  <c r="G28" i="40"/>
  <c r="D178" i="40"/>
  <c r="D360" i="40"/>
  <c r="C177" i="40"/>
  <c r="D362" i="40"/>
  <c r="C179" i="40"/>
  <c r="C316" i="40"/>
  <c r="K188" i="40"/>
  <c r="F143" i="40"/>
  <c r="M178" i="40"/>
  <c r="M361" i="40" s="1"/>
  <c r="F96" i="40"/>
  <c r="C119" i="40"/>
  <c r="C121" i="40" s="1"/>
  <c r="D121" i="40" s="1"/>
  <c r="F126" i="40"/>
  <c r="F142" i="40"/>
  <c r="F178" i="40"/>
  <c r="F166" i="40"/>
  <c r="M175" i="42" l="1"/>
  <c r="H31" i="40"/>
  <c r="M178" i="41"/>
  <c r="M361" i="41" s="1"/>
  <c r="H343" i="40"/>
  <c r="F146" i="40"/>
  <c r="E150" i="40"/>
  <c r="F119" i="41"/>
  <c r="C150" i="40"/>
  <c r="F119" i="40"/>
  <c r="G27" i="40"/>
  <c r="I162" i="40"/>
  <c r="F27" i="40"/>
  <c r="F174" i="41"/>
  <c r="E158" i="40"/>
  <c r="F160" i="40"/>
  <c r="G188" i="40"/>
  <c r="D181" i="40"/>
  <c r="J363" i="40" s="1"/>
  <c r="B122" i="40"/>
  <c r="B123" i="40"/>
  <c r="E307" i="40"/>
  <c r="C154" i="40"/>
  <c r="D154" i="40" s="1"/>
  <c r="K307" i="40" s="1"/>
  <c r="B121" i="40"/>
  <c r="D150" i="40"/>
  <c r="F174" i="40"/>
  <c r="F134" i="40"/>
  <c r="B136" i="40" s="1"/>
  <c r="F104" i="40"/>
  <c r="B108" i="40" s="1"/>
  <c r="F147" i="41"/>
  <c r="E150" i="41"/>
  <c r="E307" i="41" s="1"/>
  <c r="F149" i="41"/>
  <c r="B123" i="41"/>
  <c r="B122" i="41"/>
  <c r="B121" i="41"/>
  <c r="F104" i="41"/>
  <c r="F144" i="41"/>
  <c r="B107" i="41"/>
  <c r="D28" i="41"/>
  <c r="G159" i="42"/>
  <c r="F159" i="42"/>
  <c r="D155" i="42"/>
  <c r="K305" i="42"/>
  <c r="K308" i="42" s="1"/>
  <c r="E161" i="42"/>
  <c r="D181" i="41"/>
  <c r="J363" i="41" s="1"/>
  <c r="D29" i="41"/>
  <c r="K175" i="41"/>
  <c r="I175" i="41"/>
  <c r="L175" i="41"/>
  <c r="H175" i="41"/>
  <c r="J175" i="41"/>
  <c r="F142" i="41"/>
  <c r="C150" i="41"/>
  <c r="D360" i="41"/>
  <c r="C177" i="41"/>
  <c r="D150" i="41"/>
  <c r="F146" i="41"/>
  <c r="F134" i="41"/>
  <c r="C178" i="41"/>
  <c r="D361" i="41"/>
  <c r="B179" i="41"/>
  <c r="B362" i="41" s="1"/>
  <c r="C362" i="41"/>
  <c r="E305" i="40"/>
  <c r="C152" i="40"/>
  <c r="D152" i="40" s="1"/>
  <c r="E159" i="40"/>
  <c r="F361" i="40"/>
  <c r="H178" i="40"/>
  <c r="H361" i="40" s="1"/>
  <c r="F150" i="40"/>
  <c r="H344" i="40"/>
  <c r="I31" i="40"/>
  <c r="I344" i="40" s="1"/>
  <c r="C362" i="40"/>
  <c r="B179" i="40"/>
  <c r="B362" i="40" s="1"/>
  <c r="C360" i="40"/>
  <c r="B177" i="40"/>
  <c r="B360" i="40" s="1"/>
  <c r="D361" i="40"/>
  <c r="C178" i="40"/>
  <c r="B138" i="40"/>
  <c r="B106" i="40"/>
  <c r="H345" i="40"/>
  <c r="I32" i="40"/>
  <c r="I345" i="40" s="1"/>
  <c r="K175" i="40"/>
  <c r="I175" i="40"/>
  <c r="L175" i="40"/>
  <c r="J175" i="40"/>
  <c r="H175" i="40"/>
  <c r="B107" i="40"/>
  <c r="H160" i="40"/>
  <c r="E160" i="40"/>
  <c r="G160" i="40" s="1"/>
  <c r="F417" i="39"/>
  <c r="G379" i="39"/>
  <c r="F379" i="39"/>
  <c r="E379" i="39"/>
  <c r="D379" i="39"/>
  <c r="C379" i="39"/>
  <c r="B378" i="39"/>
  <c r="B377" i="39"/>
  <c r="L374" i="39"/>
  <c r="B374" i="39"/>
  <c r="F368" i="39"/>
  <c r="F363" i="39"/>
  <c r="L338" i="39"/>
  <c r="J338" i="39"/>
  <c r="H338" i="39"/>
  <c r="F338" i="39"/>
  <c r="D338" i="39"/>
  <c r="L337" i="39"/>
  <c r="J337" i="39"/>
  <c r="H337" i="39"/>
  <c r="F337" i="39"/>
  <c r="D337" i="39"/>
  <c r="L334" i="39"/>
  <c r="J334" i="39"/>
  <c r="H334" i="39"/>
  <c r="F334" i="39"/>
  <c r="D334" i="39"/>
  <c r="L333" i="39"/>
  <c r="J333" i="39"/>
  <c r="H333" i="39"/>
  <c r="F333" i="39"/>
  <c r="D333" i="39"/>
  <c r="L332" i="39"/>
  <c r="J332" i="39"/>
  <c r="H332" i="39"/>
  <c r="F332" i="39"/>
  <c r="D332" i="39"/>
  <c r="L331" i="39"/>
  <c r="J331" i="39"/>
  <c r="H331" i="39"/>
  <c r="F331" i="39"/>
  <c r="D331" i="39"/>
  <c r="L330" i="39"/>
  <c r="J330" i="39"/>
  <c r="H330" i="39"/>
  <c r="F330" i="39"/>
  <c r="D330" i="39"/>
  <c r="L329" i="39"/>
  <c r="J329" i="39"/>
  <c r="H329" i="39"/>
  <c r="F329" i="39"/>
  <c r="D329" i="39"/>
  <c r="L328" i="39"/>
  <c r="J328" i="39"/>
  <c r="H328" i="39"/>
  <c r="F328" i="39"/>
  <c r="D328" i="39"/>
  <c r="L327" i="39"/>
  <c r="J327" i="39"/>
  <c r="H327" i="39"/>
  <c r="F327" i="39"/>
  <c r="D327" i="39"/>
  <c r="L326" i="39"/>
  <c r="J326" i="39"/>
  <c r="H326" i="39"/>
  <c r="F326" i="39"/>
  <c r="D326" i="39"/>
  <c r="C319" i="39"/>
  <c r="C318" i="39"/>
  <c r="C317" i="39"/>
  <c r="C315" i="39"/>
  <c r="C312" i="39"/>
  <c r="H307" i="39"/>
  <c r="H306" i="39"/>
  <c r="H305" i="39"/>
  <c r="J300" i="39"/>
  <c r="I300" i="39"/>
  <c r="H300" i="39"/>
  <c r="G300" i="39"/>
  <c r="F300" i="39"/>
  <c r="E300" i="39"/>
  <c r="D300" i="39"/>
  <c r="C300" i="39"/>
  <c r="J299" i="39"/>
  <c r="I299" i="39"/>
  <c r="H299" i="39"/>
  <c r="G299" i="39"/>
  <c r="F299" i="39"/>
  <c r="E299" i="39"/>
  <c r="D299" i="39"/>
  <c r="C299" i="39"/>
  <c r="J298" i="39"/>
  <c r="J302" i="39" s="1"/>
  <c r="I298" i="39"/>
  <c r="I302" i="39" s="1"/>
  <c r="H298" i="39"/>
  <c r="H302" i="39" s="1"/>
  <c r="G298" i="39"/>
  <c r="G302" i="39" s="1"/>
  <c r="F298" i="39"/>
  <c r="F302" i="39" s="1"/>
  <c r="E298" i="39"/>
  <c r="E302" i="39" s="1"/>
  <c r="D298" i="39"/>
  <c r="D302" i="39" s="1"/>
  <c r="C298" i="39"/>
  <c r="C302" i="39" s="1"/>
  <c r="N294" i="39"/>
  <c r="G294" i="39"/>
  <c r="C294" i="39"/>
  <c r="N293" i="39"/>
  <c r="J293" i="39"/>
  <c r="G293" i="39"/>
  <c r="C293" i="39"/>
  <c r="N292" i="39"/>
  <c r="J292" i="39"/>
  <c r="G292" i="39"/>
  <c r="C292" i="39"/>
  <c r="N291" i="39"/>
  <c r="J291" i="39"/>
  <c r="G291" i="39"/>
  <c r="C291" i="39"/>
  <c r="B282" i="39"/>
  <c r="M280" i="39"/>
  <c r="I280" i="39"/>
  <c r="B280" i="39"/>
  <c r="L199" i="39"/>
  <c r="I199" i="39"/>
  <c r="G199" i="39"/>
  <c r="E199" i="39"/>
  <c r="C199" i="39"/>
  <c r="L198" i="39"/>
  <c r="I198" i="39"/>
  <c r="G198" i="39"/>
  <c r="E198" i="39"/>
  <c r="C198" i="39"/>
  <c r="L197" i="39"/>
  <c r="I197" i="39"/>
  <c r="G197" i="39"/>
  <c r="E197" i="39"/>
  <c r="C197" i="39"/>
  <c r="L196" i="39"/>
  <c r="I196" i="39"/>
  <c r="G196" i="39"/>
  <c r="E196" i="39"/>
  <c r="C196" i="39"/>
  <c r="L195" i="39"/>
  <c r="I195" i="39"/>
  <c r="G195" i="39"/>
  <c r="E195" i="39"/>
  <c r="C195" i="39"/>
  <c r="L194" i="39"/>
  <c r="I194" i="39"/>
  <c r="G194" i="39"/>
  <c r="E194" i="39"/>
  <c r="C194" i="39"/>
  <c r="L193" i="39"/>
  <c r="I193" i="39"/>
  <c r="G193" i="39"/>
  <c r="E193" i="39"/>
  <c r="C193" i="39"/>
  <c r="L192" i="39"/>
  <c r="I192" i="39"/>
  <c r="G192" i="39"/>
  <c r="E192" i="39"/>
  <c r="C192" i="39"/>
  <c r="C188" i="39"/>
  <c r="M187" i="39"/>
  <c r="F187" i="39"/>
  <c r="B187" i="39"/>
  <c r="M186" i="39"/>
  <c r="I186" i="39"/>
  <c r="B186" i="39"/>
  <c r="L174" i="39"/>
  <c r="K174" i="39"/>
  <c r="J174" i="39"/>
  <c r="I174" i="39"/>
  <c r="H174" i="39"/>
  <c r="M173" i="39"/>
  <c r="G173" i="39"/>
  <c r="E173" i="39"/>
  <c r="D173" i="39"/>
  <c r="C173" i="39"/>
  <c r="M172" i="39"/>
  <c r="G172" i="39"/>
  <c r="E172" i="39"/>
  <c r="D172" i="39"/>
  <c r="C172" i="39"/>
  <c r="M171" i="39"/>
  <c r="G171" i="39"/>
  <c r="E171" i="39"/>
  <c r="D171" i="39"/>
  <c r="C171" i="39"/>
  <c r="M170" i="39"/>
  <c r="G170" i="39"/>
  <c r="E170" i="39"/>
  <c r="D170" i="39"/>
  <c r="C170" i="39"/>
  <c r="M169" i="39"/>
  <c r="G169" i="39"/>
  <c r="D169" i="39"/>
  <c r="C169" i="39"/>
  <c r="M168" i="39"/>
  <c r="G168" i="39"/>
  <c r="E168" i="39"/>
  <c r="D168" i="39"/>
  <c r="C168" i="39"/>
  <c r="M167" i="39"/>
  <c r="G167" i="39"/>
  <c r="E167" i="39"/>
  <c r="D167" i="39"/>
  <c r="M166" i="39"/>
  <c r="G166" i="39"/>
  <c r="E166" i="39"/>
  <c r="D166" i="39"/>
  <c r="F178" i="39" s="1"/>
  <c r="C166" i="39"/>
  <c r="B155" i="39"/>
  <c r="B149" i="39"/>
  <c r="E149" i="39" s="1"/>
  <c r="B148" i="39"/>
  <c r="E148" i="39" s="1"/>
  <c r="B147" i="39"/>
  <c r="E147" i="39" s="1"/>
  <c r="B146" i="39"/>
  <c r="D146" i="39" s="1"/>
  <c r="B145" i="39"/>
  <c r="C145" i="39" s="1"/>
  <c r="B144" i="39"/>
  <c r="E144" i="39" s="1"/>
  <c r="B143" i="39"/>
  <c r="D143" i="39" s="1"/>
  <c r="B142" i="39"/>
  <c r="E142" i="39" s="1"/>
  <c r="E133" i="39"/>
  <c r="D133" i="39"/>
  <c r="C133" i="39"/>
  <c r="E132" i="39"/>
  <c r="D132" i="39"/>
  <c r="C132" i="39"/>
  <c r="E131" i="39"/>
  <c r="D131" i="39"/>
  <c r="C131" i="39"/>
  <c r="E130" i="39"/>
  <c r="D130" i="39"/>
  <c r="C130" i="39"/>
  <c r="D129" i="39"/>
  <c r="C129" i="39"/>
  <c r="E128" i="39"/>
  <c r="D128" i="39"/>
  <c r="C128" i="39"/>
  <c r="E127" i="39"/>
  <c r="D127" i="39"/>
  <c r="E126" i="39"/>
  <c r="D126" i="39"/>
  <c r="C126" i="39"/>
  <c r="E118" i="39"/>
  <c r="D118" i="39"/>
  <c r="C118" i="39"/>
  <c r="E117" i="39"/>
  <c r="D117" i="39"/>
  <c r="C117" i="39"/>
  <c r="E116" i="39"/>
  <c r="D116" i="39"/>
  <c r="C116" i="39"/>
  <c r="E115" i="39"/>
  <c r="D115" i="39"/>
  <c r="C115" i="39"/>
  <c r="D114" i="39"/>
  <c r="C114" i="39"/>
  <c r="F114" i="39" s="1"/>
  <c r="E113" i="39"/>
  <c r="D113" i="39"/>
  <c r="C113" i="39"/>
  <c r="E112" i="39"/>
  <c r="D112" i="39"/>
  <c r="E111" i="39"/>
  <c r="D111" i="39"/>
  <c r="C111" i="39"/>
  <c r="C119" i="39" s="1"/>
  <c r="C121" i="39" s="1"/>
  <c r="D121" i="39" s="1"/>
  <c r="E103" i="39"/>
  <c r="D103" i="39"/>
  <c r="C103" i="39"/>
  <c r="E102" i="39"/>
  <c r="D102" i="39"/>
  <c r="C102" i="39"/>
  <c r="E101" i="39"/>
  <c r="D101" i="39"/>
  <c r="C101" i="39"/>
  <c r="E100" i="39"/>
  <c r="D100" i="39"/>
  <c r="C100" i="39"/>
  <c r="F100" i="39" s="1"/>
  <c r="D99" i="39"/>
  <c r="C99" i="39"/>
  <c r="E98" i="39"/>
  <c r="D98" i="39"/>
  <c r="F98" i="39" s="1"/>
  <c r="C98" i="39"/>
  <c r="E97" i="39"/>
  <c r="D97" i="39"/>
  <c r="E96" i="39"/>
  <c r="E104" i="39" s="1"/>
  <c r="C108" i="39" s="1"/>
  <c r="D108" i="39" s="1"/>
  <c r="D96" i="39"/>
  <c r="C96" i="39"/>
  <c r="N88" i="39"/>
  <c r="L88" i="39"/>
  <c r="J88" i="39"/>
  <c r="H88" i="39"/>
  <c r="F88" i="39"/>
  <c r="N83" i="39"/>
  <c r="L83" i="39"/>
  <c r="M338" i="39" s="1"/>
  <c r="J83" i="39"/>
  <c r="H83" i="39"/>
  <c r="F83" i="39"/>
  <c r="N81" i="39"/>
  <c r="L81" i="39"/>
  <c r="M337" i="39" s="1"/>
  <c r="J81" i="39"/>
  <c r="H81" i="39"/>
  <c r="F81" i="39"/>
  <c r="N78" i="39"/>
  <c r="L78" i="39"/>
  <c r="M334" i="39" s="1"/>
  <c r="J78" i="39"/>
  <c r="H78" i="39"/>
  <c r="F78" i="39"/>
  <c r="N76" i="39"/>
  <c r="L76" i="39"/>
  <c r="M333" i="39" s="1"/>
  <c r="J76" i="39"/>
  <c r="H76" i="39"/>
  <c r="F76" i="39"/>
  <c r="N73" i="39"/>
  <c r="L73" i="39"/>
  <c r="M332" i="39" s="1"/>
  <c r="J73" i="39"/>
  <c r="H73" i="39"/>
  <c r="F73" i="39"/>
  <c r="N71" i="39"/>
  <c r="L71" i="39"/>
  <c r="M331" i="39" s="1"/>
  <c r="J71" i="39"/>
  <c r="H71" i="39"/>
  <c r="F71" i="39"/>
  <c r="N69" i="39"/>
  <c r="L69" i="39"/>
  <c r="M330" i="39" s="1"/>
  <c r="J69" i="39"/>
  <c r="H69" i="39"/>
  <c r="F69" i="39"/>
  <c r="N67" i="39"/>
  <c r="L67" i="39"/>
  <c r="M329" i="39" s="1"/>
  <c r="J67" i="39"/>
  <c r="H67" i="39"/>
  <c r="F67" i="39"/>
  <c r="N64" i="39"/>
  <c r="L64" i="39"/>
  <c r="M328" i="39" s="1"/>
  <c r="J64" i="39"/>
  <c r="H64" i="39"/>
  <c r="F64" i="39"/>
  <c r="N62" i="39"/>
  <c r="L62" i="39"/>
  <c r="M327" i="39" s="1"/>
  <c r="J62" i="39"/>
  <c r="H62" i="39"/>
  <c r="F62" i="39"/>
  <c r="N60" i="39"/>
  <c r="L60" i="39"/>
  <c r="M326" i="39" s="1"/>
  <c r="J60" i="39"/>
  <c r="H60" i="39"/>
  <c r="F60" i="39"/>
  <c r="P26" i="39"/>
  <c r="F26" i="39"/>
  <c r="G25" i="39"/>
  <c r="F25" i="39"/>
  <c r="B21" i="39"/>
  <c r="D28" i="39" s="1"/>
  <c r="D14" i="39"/>
  <c r="K188" i="39" s="1"/>
  <c r="G6" i="39"/>
  <c r="F96" i="39" l="1"/>
  <c r="F99" i="39"/>
  <c r="F102" i="39"/>
  <c r="E119" i="39"/>
  <c r="C123" i="39" s="1"/>
  <c r="D123" i="39" s="1"/>
  <c r="F116" i="39"/>
  <c r="F126" i="39"/>
  <c r="F129" i="39"/>
  <c r="F132" i="39"/>
  <c r="F118" i="39"/>
  <c r="E134" i="39"/>
  <c r="C138" i="39" s="1"/>
  <c r="D138" i="39" s="1"/>
  <c r="F128" i="39"/>
  <c r="F130" i="39"/>
  <c r="K178" i="39"/>
  <c r="K361" i="39" s="1"/>
  <c r="C174" i="39"/>
  <c r="D177" i="39" s="1"/>
  <c r="F171" i="39"/>
  <c r="F173" i="39"/>
  <c r="H308" i="39"/>
  <c r="C146" i="39"/>
  <c r="E174" i="39"/>
  <c r="D179" i="39" s="1"/>
  <c r="N166" i="39"/>
  <c r="N167" i="39"/>
  <c r="F168" i="39"/>
  <c r="F169" i="39"/>
  <c r="N169" i="39"/>
  <c r="N170" i="39"/>
  <c r="N171" i="39"/>
  <c r="N172" i="39"/>
  <c r="N173" i="39"/>
  <c r="E146" i="39"/>
  <c r="F146" i="39" s="1"/>
  <c r="D142" i="39"/>
  <c r="D145" i="39"/>
  <c r="F145" i="39" s="1"/>
  <c r="D148" i="39"/>
  <c r="E306" i="40"/>
  <c r="C153" i="40"/>
  <c r="D153" i="40" s="1"/>
  <c r="K306" i="40" s="1"/>
  <c r="D104" i="39"/>
  <c r="C107" i="39" s="1"/>
  <c r="D107" i="39" s="1"/>
  <c r="F97" i="39"/>
  <c r="F104" i="39" s="1"/>
  <c r="B107" i="39" s="1"/>
  <c r="F101" i="39"/>
  <c r="F103" i="39"/>
  <c r="D119" i="39"/>
  <c r="C122" i="39" s="1"/>
  <c r="D122" i="39" s="1"/>
  <c r="F112" i="39"/>
  <c r="F113" i="39"/>
  <c r="F115" i="39"/>
  <c r="F117" i="39"/>
  <c r="D134" i="39"/>
  <c r="C137" i="39" s="1"/>
  <c r="D137" i="39" s="1"/>
  <c r="F127" i="39"/>
  <c r="F131" i="39"/>
  <c r="F133" i="39"/>
  <c r="C142" i="39"/>
  <c r="F142" i="39" s="1"/>
  <c r="C148" i="39"/>
  <c r="F167" i="39"/>
  <c r="N168" i="39"/>
  <c r="F170" i="39"/>
  <c r="F172" i="39"/>
  <c r="B379" i="39"/>
  <c r="B137" i="40"/>
  <c r="M175" i="41"/>
  <c r="C154" i="41"/>
  <c r="D154" i="41" s="1"/>
  <c r="K307" i="41" s="1"/>
  <c r="F150" i="41"/>
  <c r="B108" i="41"/>
  <c r="B106" i="41"/>
  <c r="F161" i="42"/>
  <c r="G161" i="42"/>
  <c r="F27" i="41"/>
  <c r="I162" i="41"/>
  <c r="G27" i="41"/>
  <c r="I31" i="41"/>
  <c r="I344" i="41" s="1"/>
  <c r="H32" i="41"/>
  <c r="F28" i="41"/>
  <c r="N188" i="41"/>
  <c r="G28" i="41"/>
  <c r="E158" i="41"/>
  <c r="E159" i="41" s="1"/>
  <c r="H30" i="41"/>
  <c r="H343" i="41" s="1"/>
  <c r="F160" i="41"/>
  <c r="H160" i="41" s="1"/>
  <c r="G188" i="41"/>
  <c r="B138" i="41"/>
  <c r="B136" i="41"/>
  <c r="B137" i="41"/>
  <c r="H344" i="41"/>
  <c r="E306" i="41"/>
  <c r="C153" i="41"/>
  <c r="D153" i="41" s="1"/>
  <c r="K306" i="41" s="1"/>
  <c r="C361" i="41"/>
  <c r="B178" i="41"/>
  <c r="B361" i="41" s="1"/>
  <c r="B177" i="41"/>
  <c r="B360" i="41" s="1"/>
  <c r="C360" i="41"/>
  <c r="C152" i="41"/>
  <c r="D152" i="41" s="1"/>
  <c r="E305" i="41"/>
  <c r="D27" i="39"/>
  <c r="G159" i="40"/>
  <c r="F159" i="40"/>
  <c r="D155" i="40"/>
  <c r="K305" i="40"/>
  <c r="K308" i="40" s="1"/>
  <c r="C361" i="40"/>
  <c r="C363" i="40" s="1"/>
  <c r="B178" i="40"/>
  <c r="B361" i="40" s="1"/>
  <c r="B363" i="40" s="1"/>
  <c r="M175" i="40"/>
  <c r="E161" i="40"/>
  <c r="D29" i="39"/>
  <c r="D362" i="39"/>
  <c r="C179" i="39"/>
  <c r="F361" i="39"/>
  <c r="F134" i="39"/>
  <c r="B137" i="39" s="1"/>
  <c r="D360" i="39"/>
  <c r="C177" i="39"/>
  <c r="C104" i="39"/>
  <c r="C106" i="39" s="1"/>
  <c r="D106" i="39" s="1"/>
  <c r="F111" i="39"/>
  <c r="F119" i="39" s="1"/>
  <c r="B123" i="39" s="1"/>
  <c r="C134" i="39"/>
  <c r="C136" i="39" s="1"/>
  <c r="D136" i="39" s="1"/>
  <c r="E143" i="39"/>
  <c r="E150" i="39" s="1"/>
  <c r="D144" i="39"/>
  <c r="D147" i="39"/>
  <c r="D149" i="39"/>
  <c r="F166" i="39"/>
  <c r="F174" i="39" s="1"/>
  <c r="C144" i="39"/>
  <c r="C147" i="39"/>
  <c r="C149" i="39"/>
  <c r="D174" i="39"/>
  <c r="M174" i="39"/>
  <c r="L189" i="39" s="1"/>
  <c r="M178" i="39"/>
  <c r="M361" i="39" s="1"/>
  <c r="C316" i="39"/>
  <c r="N88" i="33"/>
  <c r="L88" i="33"/>
  <c r="J88" i="33"/>
  <c r="H88" i="33"/>
  <c r="F88" i="33"/>
  <c r="N83" i="33"/>
  <c r="L83" i="33"/>
  <c r="J83" i="33"/>
  <c r="H83" i="33"/>
  <c r="F83" i="33"/>
  <c r="N81" i="33"/>
  <c r="L81" i="33"/>
  <c r="J81" i="33"/>
  <c r="H81" i="33"/>
  <c r="F81" i="33"/>
  <c r="N78" i="33"/>
  <c r="L78" i="33"/>
  <c r="J78" i="33"/>
  <c r="H78" i="33"/>
  <c r="F78" i="33"/>
  <c r="N76" i="33"/>
  <c r="L76" i="33"/>
  <c r="J76" i="33"/>
  <c r="H76" i="33"/>
  <c r="F76" i="33"/>
  <c r="N73" i="33"/>
  <c r="L73" i="33"/>
  <c r="J73" i="33"/>
  <c r="H73" i="33"/>
  <c r="F73" i="33"/>
  <c r="N71" i="33"/>
  <c r="L71" i="33"/>
  <c r="J71" i="33"/>
  <c r="H71" i="33"/>
  <c r="F71" i="33"/>
  <c r="N69" i="33"/>
  <c r="L69" i="33"/>
  <c r="J69" i="33"/>
  <c r="H69" i="33"/>
  <c r="F69" i="33"/>
  <c r="N67" i="33"/>
  <c r="L67" i="33"/>
  <c r="J67" i="33"/>
  <c r="H67" i="33"/>
  <c r="F67" i="33"/>
  <c r="N64" i="33"/>
  <c r="L64" i="33"/>
  <c r="J64" i="33"/>
  <c r="H64" i="33"/>
  <c r="F64" i="33"/>
  <c r="N62" i="33"/>
  <c r="L62" i="33"/>
  <c r="J62" i="33"/>
  <c r="H62" i="33"/>
  <c r="F62" i="33"/>
  <c r="N60" i="33"/>
  <c r="L60" i="33"/>
  <c r="J60" i="33"/>
  <c r="H60" i="33"/>
  <c r="F60" i="33"/>
  <c r="F417" i="38"/>
  <c r="G379" i="38"/>
  <c r="F379" i="38"/>
  <c r="E379" i="38"/>
  <c r="D379" i="38"/>
  <c r="C379" i="38"/>
  <c r="B378" i="38"/>
  <c r="B377" i="38"/>
  <c r="L374" i="38"/>
  <c r="B374" i="38"/>
  <c r="F368" i="38"/>
  <c r="F363" i="38"/>
  <c r="L338" i="38"/>
  <c r="J338" i="38"/>
  <c r="H338" i="38"/>
  <c r="F338" i="38"/>
  <c r="D338" i="38"/>
  <c r="L337" i="38"/>
  <c r="J337" i="38"/>
  <c r="H337" i="38"/>
  <c r="F337" i="38"/>
  <c r="D337" i="38"/>
  <c r="L334" i="38"/>
  <c r="J334" i="38"/>
  <c r="H334" i="38"/>
  <c r="F334" i="38"/>
  <c r="D334" i="38"/>
  <c r="L333" i="38"/>
  <c r="J333" i="38"/>
  <c r="H333" i="38"/>
  <c r="F333" i="38"/>
  <c r="D333" i="38"/>
  <c r="L332" i="38"/>
  <c r="J332" i="38"/>
  <c r="H332" i="38"/>
  <c r="F332" i="38"/>
  <c r="D332" i="38"/>
  <c r="L331" i="38"/>
  <c r="J331" i="38"/>
  <c r="H331" i="38"/>
  <c r="F331" i="38"/>
  <c r="D331" i="38"/>
  <c r="L330" i="38"/>
  <c r="J330" i="38"/>
  <c r="H330" i="38"/>
  <c r="F330" i="38"/>
  <c r="D330" i="38"/>
  <c r="L329" i="38"/>
  <c r="J329" i="38"/>
  <c r="H329" i="38"/>
  <c r="F329" i="38"/>
  <c r="D329" i="38"/>
  <c r="L328" i="38"/>
  <c r="J328" i="38"/>
  <c r="H328" i="38"/>
  <c r="F328" i="38"/>
  <c r="D328" i="38"/>
  <c r="L327" i="38"/>
  <c r="J327" i="38"/>
  <c r="H327" i="38"/>
  <c r="F327" i="38"/>
  <c r="D327" i="38"/>
  <c r="L326" i="38"/>
  <c r="J326" i="38"/>
  <c r="H326" i="38"/>
  <c r="F326" i="38"/>
  <c r="D326" i="38"/>
  <c r="C319" i="38"/>
  <c r="C318" i="38"/>
  <c r="C317" i="38"/>
  <c r="C315" i="38"/>
  <c r="C312" i="38"/>
  <c r="H307" i="38"/>
  <c r="H306" i="38"/>
  <c r="H305" i="38"/>
  <c r="J300" i="38"/>
  <c r="I300" i="38"/>
  <c r="H300" i="38"/>
  <c r="G300" i="38"/>
  <c r="F300" i="38"/>
  <c r="E300" i="38"/>
  <c r="D300" i="38"/>
  <c r="C300" i="38"/>
  <c r="J299" i="38"/>
  <c r="I299" i="38"/>
  <c r="H299" i="38"/>
  <c r="G299" i="38"/>
  <c r="F299" i="38"/>
  <c r="E299" i="38"/>
  <c r="D299" i="38"/>
  <c r="C299" i="38"/>
  <c r="J298" i="38"/>
  <c r="J302" i="38" s="1"/>
  <c r="I298" i="38"/>
  <c r="I302" i="38" s="1"/>
  <c r="H298" i="38"/>
  <c r="H302" i="38" s="1"/>
  <c r="G298" i="38"/>
  <c r="G302" i="38" s="1"/>
  <c r="F298" i="38"/>
  <c r="F302" i="38" s="1"/>
  <c r="E298" i="38"/>
  <c r="E302" i="38" s="1"/>
  <c r="D298" i="38"/>
  <c r="D302" i="38" s="1"/>
  <c r="C298" i="38"/>
  <c r="C302" i="38" s="1"/>
  <c r="N294" i="38"/>
  <c r="G294" i="38"/>
  <c r="C294" i="38"/>
  <c r="N293" i="38"/>
  <c r="J293" i="38"/>
  <c r="G293" i="38"/>
  <c r="C293" i="38"/>
  <c r="N292" i="38"/>
  <c r="J292" i="38"/>
  <c r="G292" i="38"/>
  <c r="C292" i="38"/>
  <c r="N291" i="38"/>
  <c r="J291" i="38"/>
  <c r="G291" i="38"/>
  <c r="C291" i="38"/>
  <c r="B282" i="38"/>
  <c r="M280" i="38"/>
  <c r="I280" i="38"/>
  <c r="B280" i="38"/>
  <c r="L199" i="38"/>
  <c r="I199" i="38"/>
  <c r="G199" i="38"/>
  <c r="E199" i="38"/>
  <c r="C199" i="38"/>
  <c r="L198" i="38"/>
  <c r="I198" i="38"/>
  <c r="G198" i="38"/>
  <c r="E198" i="38"/>
  <c r="C198" i="38"/>
  <c r="L197" i="38"/>
  <c r="I197" i="38"/>
  <c r="G197" i="38"/>
  <c r="E197" i="38"/>
  <c r="C197" i="38"/>
  <c r="L196" i="38"/>
  <c r="I196" i="38"/>
  <c r="G196" i="38"/>
  <c r="E196" i="38"/>
  <c r="C196" i="38"/>
  <c r="L195" i="38"/>
  <c r="I195" i="38"/>
  <c r="G195" i="38"/>
  <c r="E195" i="38"/>
  <c r="C195" i="38"/>
  <c r="L194" i="38"/>
  <c r="I194" i="38"/>
  <c r="G194" i="38"/>
  <c r="E194" i="38"/>
  <c r="C194" i="38"/>
  <c r="L193" i="38"/>
  <c r="I193" i="38"/>
  <c r="G193" i="38"/>
  <c r="E193" i="38"/>
  <c r="C193" i="38"/>
  <c r="L192" i="38"/>
  <c r="I192" i="38"/>
  <c r="G192" i="38"/>
  <c r="E192" i="38"/>
  <c r="C192" i="38"/>
  <c r="C188" i="38"/>
  <c r="M187" i="38"/>
  <c r="F187" i="38"/>
  <c r="B187" i="38"/>
  <c r="M186" i="38"/>
  <c r="I186" i="38"/>
  <c r="B186" i="38"/>
  <c r="L174" i="38"/>
  <c r="K174" i="38"/>
  <c r="J174" i="38"/>
  <c r="I174" i="38"/>
  <c r="H174" i="38"/>
  <c r="M173" i="38"/>
  <c r="G173" i="38"/>
  <c r="E173" i="38"/>
  <c r="D173" i="38"/>
  <c r="C173" i="38"/>
  <c r="M172" i="38"/>
  <c r="G172" i="38"/>
  <c r="E172" i="38"/>
  <c r="D172" i="38"/>
  <c r="C172" i="38"/>
  <c r="M171" i="38"/>
  <c r="G171" i="38"/>
  <c r="E171" i="38"/>
  <c r="D171" i="38"/>
  <c r="C171" i="38"/>
  <c r="M170" i="38"/>
  <c r="G170" i="38"/>
  <c r="E170" i="38"/>
  <c r="D170" i="38"/>
  <c r="C170" i="38"/>
  <c r="M169" i="38"/>
  <c r="G169" i="38"/>
  <c r="D169" i="38"/>
  <c r="C169" i="38"/>
  <c r="M168" i="38"/>
  <c r="G168" i="38"/>
  <c r="E168" i="38"/>
  <c r="D168" i="38"/>
  <c r="C168" i="38"/>
  <c r="M167" i="38"/>
  <c r="G167" i="38"/>
  <c r="E167" i="38"/>
  <c r="D167" i="38"/>
  <c r="M166" i="38"/>
  <c r="G166" i="38"/>
  <c r="E166" i="38"/>
  <c r="D166" i="38"/>
  <c r="F178" i="38" s="1"/>
  <c r="C166" i="38"/>
  <c r="B155" i="38"/>
  <c r="B149" i="38"/>
  <c r="E149" i="38" s="1"/>
  <c r="B148" i="38"/>
  <c r="D148" i="38" s="1"/>
  <c r="B147" i="38"/>
  <c r="E147" i="38" s="1"/>
  <c r="B146" i="38"/>
  <c r="D146" i="38" s="1"/>
  <c r="B145" i="38"/>
  <c r="D145" i="38" s="1"/>
  <c r="B144" i="38"/>
  <c r="E144" i="38" s="1"/>
  <c r="B143" i="38"/>
  <c r="D143" i="38" s="1"/>
  <c r="B142" i="38"/>
  <c r="D142" i="38" s="1"/>
  <c r="E133" i="38"/>
  <c r="D133" i="38"/>
  <c r="C133" i="38"/>
  <c r="E132" i="38"/>
  <c r="D132" i="38"/>
  <c r="C132" i="38"/>
  <c r="E131" i="38"/>
  <c r="D131" i="38"/>
  <c r="C131" i="38"/>
  <c r="E130" i="38"/>
  <c r="D130" i="38"/>
  <c r="C130" i="38"/>
  <c r="D129" i="38"/>
  <c r="C129" i="38"/>
  <c r="E128" i="38"/>
  <c r="D128" i="38"/>
  <c r="C128" i="38"/>
  <c r="E127" i="38"/>
  <c r="D127" i="38"/>
  <c r="E126" i="38"/>
  <c r="D126" i="38"/>
  <c r="C126" i="38"/>
  <c r="E118" i="38"/>
  <c r="D118" i="38"/>
  <c r="C118" i="38"/>
  <c r="E117" i="38"/>
  <c r="D117" i="38"/>
  <c r="C117" i="38"/>
  <c r="E116" i="38"/>
  <c r="D116" i="38"/>
  <c r="C116" i="38"/>
  <c r="E115" i="38"/>
  <c r="D115" i="38"/>
  <c r="C115" i="38"/>
  <c r="D114" i="38"/>
  <c r="C114" i="38"/>
  <c r="E113" i="38"/>
  <c r="D113" i="38"/>
  <c r="C113" i="38"/>
  <c r="E112" i="38"/>
  <c r="D112" i="38"/>
  <c r="E111" i="38"/>
  <c r="D111" i="38"/>
  <c r="C111" i="38"/>
  <c r="E103" i="38"/>
  <c r="D103" i="38"/>
  <c r="C103" i="38"/>
  <c r="E102" i="38"/>
  <c r="D102" i="38"/>
  <c r="C102" i="38"/>
  <c r="E101" i="38"/>
  <c r="D101" i="38"/>
  <c r="C101" i="38"/>
  <c r="E100" i="38"/>
  <c r="D100" i="38"/>
  <c r="C100" i="38"/>
  <c r="D99" i="38"/>
  <c r="C99" i="38"/>
  <c r="E98" i="38"/>
  <c r="D98" i="38"/>
  <c r="C98" i="38"/>
  <c r="E97" i="38"/>
  <c r="D97" i="38"/>
  <c r="E96" i="38"/>
  <c r="D96" i="38"/>
  <c r="C96" i="38"/>
  <c r="N88" i="38"/>
  <c r="L88" i="38"/>
  <c r="J88" i="38"/>
  <c r="H88" i="38"/>
  <c r="F88" i="38"/>
  <c r="N83" i="38"/>
  <c r="L83" i="38"/>
  <c r="M338" i="38" s="1"/>
  <c r="J83" i="38"/>
  <c r="H83" i="38"/>
  <c r="F83" i="38"/>
  <c r="N81" i="38"/>
  <c r="L81" i="38"/>
  <c r="M337" i="38" s="1"/>
  <c r="J81" i="38"/>
  <c r="H81" i="38"/>
  <c r="F81" i="38"/>
  <c r="N78" i="38"/>
  <c r="L78" i="38"/>
  <c r="M334" i="38" s="1"/>
  <c r="J78" i="38"/>
  <c r="H78" i="38"/>
  <c r="F78" i="38"/>
  <c r="N76" i="38"/>
  <c r="L76" i="38"/>
  <c r="M333" i="38" s="1"/>
  <c r="J76" i="38"/>
  <c r="H76" i="38"/>
  <c r="F76" i="38"/>
  <c r="N73" i="38"/>
  <c r="L73" i="38"/>
  <c r="M332" i="38" s="1"/>
  <c r="J73" i="38"/>
  <c r="H73" i="38"/>
  <c r="F73" i="38"/>
  <c r="N71" i="38"/>
  <c r="L71" i="38"/>
  <c r="M331" i="38" s="1"/>
  <c r="J71" i="38"/>
  <c r="H71" i="38"/>
  <c r="F71" i="38"/>
  <c r="N69" i="38"/>
  <c r="L69" i="38"/>
  <c r="M330" i="38" s="1"/>
  <c r="J69" i="38"/>
  <c r="H69" i="38"/>
  <c r="F69" i="38"/>
  <c r="N67" i="38"/>
  <c r="L67" i="38"/>
  <c r="M329" i="38" s="1"/>
  <c r="J67" i="38"/>
  <c r="H67" i="38"/>
  <c r="F67" i="38"/>
  <c r="N64" i="38"/>
  <c r="L64" i="38"/>
  <c r="M328" i="38" s="1"/>
  <c r="J64" i="38"/>
  <c r="H64" i="38"/>
  <c r="F64" i="38"/>
  <c r="N62" i="38"/>
  <c r="L62" i="38"/>
  <c r="M327" i="38" s="1"/>
  <c r="J62" i="38"/>
  <c r="H62" i="38"/>
  <c r="F62" i="38"/>
  <c r="N60" i="38"/>
  <c r="L60" i="38"/>
  <c r="M326" i="38" s="1"/>
  <c r="J60" i="38"/>
  <c r="H60" i="38"/>
  <c r="F60" i="38"/>
  <c r="P26" i="38"/>
  <c r="F26" i="38"/>
  <c r="G25" i="38"/>
  <c r="F25" i="38"/>
  <c r="B21" i="38"/>
  <c r="D28" i="38" s="1"/>
  <c r="D14" i="38"/>
  <c r="K188" i="38" s="1"/>
  <c r="G6" i="38"/>
  <c r="F126" i="38" l="1"/>
  <c r="F129" i="38"/>
  <c r="F132" i="38"/>
  <c r="H308" i="38"/>
  <c r="F147" i="39"/>
  <c r="E134" i="38"/>
  <c r="C138" i="38" s="1"/>
  <c r="D138" i="38" s="1"/>
  <c r="F128" i="38"/>
  <c r="F130" i="38"/>
  <c r="F148" i="39"/>
  <c r="D104" i="38"/>
  <c r="C107" i="38" s="1"/>
  <c r="D107" i="38" s="1"/>
  <c r="F97" i="38"/>
  <c r="F101" i="38"/>
  <c r="F103" i="38"/>
  <c r="F111" i="38"/>
  <c r="F112" i="38"/>
  <c r="F113" i="38"/>
  <c r="F115" i="38"/>
  <c r="F117" i="38"/>
  <c r="C146" i="38"/>
  <c r="F146" i="38" s="1"/>
  <c r="N166" i="38"/>
  <c r="N167" i="38"/>
  <c r="N168" i="38"/>
  <c r="N169" i="38"/>
  <c r="N170" i="38"/>
  <c r="N171" i="38"/>
  <c r="N172" i="38"/>
  <c r="N173" i="38"/>
  <c r="E146" i="38"/>
  <c r="F96" i="38"/>
  <c r="F98" i="38"/>
  <c r="F100" i="38"/>
  <c r="F102" i="38"/>
  <c r="C119" i="38"/>
  <c r="C121" i="38" s="1"/>
  <c r="D121" i="38" s="1"/>
  <c r="E119" i="38"/>
  <c r="C123" i="38" s="1"/>
  <c r="D123" i="38" s="1"/>
  <c r="F114" i="38"/>
  <c r="F116" i="38"/>
  <c r="F118" i="38"/>
  <c r="D119" i="38"/>
  <c r="C122" i="38" s="1"/>
  <c r="D122" i="38" s="1"/>
  <c r="D134" i="38"/>
  <c r="C137" i="38" s="1"/>
  <c r="D137" i="38" s="1"/>
  <c r="F127" i="38"/>
  <c r="F131" i="38"/>
  <c r="F133" i="38"/>
  <c r="C142" i="38"/>
  <c r="F142" i="38" s="1"/>
  <c r="E142" i="38"/>
  <c r="C145" i="38"/>
  <c r="F145" i="38" s="1"/>
  <c r="C148" i="38"/>
  <c r="E148" i="38"/>
  <c r="F167" i="38"/>
  <c r="C174" i="38"/>
  <c r="D177" i="38" s="1"/>
  <c r="C177" i="38" s="1"/>
  <c r="E174" i="38"/>
  <c r="D179" i="38" s="1"/>
  <c r="K178" i="38"/>
  <c r="F170" i="38"/>
  <c r="F171" i="38"/>
  <c r="F172" i="38"/>
  <c r="F173" i="38"/>
  <c r="B379" i="38"/>
  <c r="F149" i="39"/>
  <c r="F144" i="39"/>
  <c r="B363" i="41"/>
  <c r="E104" i="38"/>
  <c r="C108" i="38" s="1"/>
  <c r="D108" i="38" s="1"/>
  <c r="F119" i="38"/>
  <c r="B122" i="38" s="1"/>
  <c r="C316" i="38"/>
  <c r="D150" i="39"/>
  <c r="C363" i="41"/>
  <c r="E160" i="41"/>
  <c r="G160" i="41" s="1"/>
  <c r="I30" i="41"/>
  <c r="I343" i="41" s="1"/>
  <c r="H345" i="41"/>
  <c r="I32" i="41"/>
  <c r="I345" i="41" s="1"/>
  <c r="D155" i="41"/>
  <c r="K305" i="41"/>
  <c r="K308" i="41" s="1"/>
  <c r="G159" i="41"/>
  <c r="F159" i="41"/>
  <c r="E161" i="41"/>
  <c r="D27" i="38"/>
  <c r="F161" i="40"/>
  <c r="G161" i="40"/>
  <c r="E307" i="39"/>
  <c r="C154" i="39"/>
  <c r="D154" i="39" s="1"/>
  <c r="K307" i="39" s="1"/>
  <c r="E306" i="39"/>
  <c r="C153" i="39"/>
  <c r="D153" i="39" s="1"/>
  <c r="K306" i="39" s="1"/>
  <c r="D181" i="39"/>
  <c r="J363" i="39" s="1"/>
  <c r="D178" i="39"/>
  <c r="L175" i="39"/>
  <c r="J175" i="39"/>
  <c r="H175" i="39"/>
  <c r="N188" i="39"/>
  <c r="F28" i="39"/>
  <c r="H32" i="39"/>
  <c r="G28" i="39"/>
  <c r="F143" i="39"/>
  <c r="F150" i="39" s="1"/>
  <c r="B121" i="39"/>
  <c r="C150" i="39"/>
  <c r="K175" i="39"/>
  <c r="C362" i="39"/>
  <c r="B179" i="39"/>
  <c r="B362" i="39" s="1"/>
  <c r="B122" i="39"/>
  <c r="G188" i="39"/>
  <c r="E158" i="39"/>
  <c r="G27" i="39"/>
  <c r="I162" i="39"/>
  <c r="F160" i="39"/>
  <c r="H31" i="39"/>
  <c r="H30" i="39"/>
  <c r="F27" i="39"/>
  <c r="B136" i="39"/>
  <c r="B106" i="39"/>
  <c r="C360" i="39"/>
  <c r="B177" i="39"/>
  <c r="B360" i="39" s="1"/>
  <c r="B138" i="39"/>
  <c r="B108" i="39"/>
  <c r="H178" i="39"/>
  <c r="H361" i="39" s="1"/>
  <c r="I175" i="39"/>
  <c r="B123" i="38"/>
  <c r="F361" i="38"/>
  <c r="D360" i="38"/>
  <c r="D362" i="38"/>
  <c r="C179" i="38"/>
  <c r="K361" i="38"/>
  <c r="D29" i="38"/>
  <c r="F99" i="38"/>
  <c r="F104" i="38" s="1"/>
  <c r="C104" i="38"/>
  <c r="C106" i="38" s="1"/>
  <c r="D106" i="38" s="1"/>
  <c r="F134" i="38"/>
  <c r="B137" i="38" s="1"/>
  <c r="C134" i="38"/>
  <c r="C136" i="38" s="1"/>
  <c r="D136" i="38" s="1"/>
  <c r="E143" i="38"/>
  <c r="E150" i="38" s="1"/>
  <c r="D144" i="38"/>
  <c r="D147" i="38"/>
  <c r="D149" i="38"/>
  <c r="F166" i="38"/>
  <c r="D174" i="38"/>
  <c r="M174" i="38"/>
  <c r="L189" i="38" s="1"/>
  <c r="C144" i="38"/>
  <c r="C147" i="38"/>
  <c r="C149" i="38"/>
  <c r="F168" i="38"/>
  <c r="F169" i="38"/>
  <c r="C151" i="36"/>
  <c r="C144" i="36"/>
  <c r="C131" i="36"/>
  <c r="F146" i="36"/>
  <c r="C148" i="36"/>
  <c r="C149" i="36"/>
  <c r="C150" i="36"/>
  <c r="C147" i="36"/>
  <c r="C143" i="36"/>
  <c r="C140" i="36"/>
  <c r="F147" i="38" l="1"/>
  <c r="B136" i="38"/>
  <c r="C150" i="38"/>
  <c r="E305" i="38" s="1"/>
  <c r="F143" i="38"/>
  <c r="F148" i="38"/>
  <c r="D150" i="38"/>
  <c r="B121" i="38"/>
  <c r="F161" i="41"/>
  <c r="G161" i="41"/>
  <c r="H344" i="39"/>
  <c r="I31" i="39"/>
  <c r="I344" i="39" s="1"/>
  <c r="H343" i="39"/>
  <c r="I30" i="39"/>
  <c r="I343" i="39" s="1"/>
  <c r="E160" i="39"/>
  <c r="G160" i="39" s="1"/>
  <c r="H160" i="39"/>
  <c r="M175" i="39"/>
  <c r="D361" i="39"/>
  <c r="C178" i="39"/>
  <c r="E159" i="39"/>
  <c r="E305" i="39"/>
  <c r="C152" i="39"/>
  <c r="D152" i="39" s="1"/>
  <c r="H345" i="39"/>
  <c r="I32" i="39"/>
  <c r="I345" i="39" s="1"/>
  <c r="B108" i="38"/>
  <c r="B107" i="38"/>
  <c r="C153" i="38"/>
  <c r="D153" i="38" s="1"/>
  <c r="K306" i="38" s="1"/>
  <c r="E306" i="38"/>
  <c r="C152" i="38"/>
  <c r="D152" i="38" s="1"/>
  <c r="E307" i="38"/>
  <c r="C154" i="38"/>
  <c r="D154" i="38" s="1"/>
  <c r="K307" i="38" s="1"/>
  <c r="D181" i="38"/>
  <c r="J363" i="38" s="1"/>
  <c r="D178" i="38"/>
  <c r="F28" i="38"/>
  <c r="N188" i="38"/>
  <c r="G28" i="38"/>
  <c r="H32" i="38"/>
  <c r="F149" i="38"/>
  <c r="F144" i="38"/>
  <c r="F150" i="38" s="1"/>
  <c r="F174" i="38"/>
  <c r="B138" i="38"/>
  <c r="B106" i="38"/>
  <c r="E158" i="38"/>
  <c r="G27" i="38"/>
  <c r="G188" i="38"/>
  <c r="I162" i="38"/>
  <c r="F160" i="38"/>
  <c r="H31" i="38"/>
  <c r="F27" i="38"/>
  <c r="H30" i="38"/>
  <c r="M178" i="38"/>
  <c r="M361" i="38" s="1"/>
  <c r="C362" i="38"/>
  <c r="B179" i="38"/>
  <c r="B362" i="38" s="1"/>
  <c r="C360" i="38"/>
  <c r="B177" i="38"/>
  <c r="B360" i="38" s="1"/>
  <c r="H178" i="38"/>
  <c r="H361" i="38" s="1"/>
  <c r="F139" i="36"/>
  <c r="K305" i="39" l="1"/>
  <c r="K308" i="39" s="1"/>
  <c r="D155" i="39"/>
  <c r="F159" i="39"/>
  <c r="G159" i="39"/>
  <c r="C361" i="39"/>
  <c r="C363" i="39" s="1"/>
  <c r="B178" i="39"/>
  <c r="B361" i="39" s="1"/>
  <c r="B363" i="39" s="1"/>
  <c r="E161" i="39"/>
  <c r="E159" i="38"/>
  <c r="H343" i="38"/>
  <c r="I30" i="38"/>
  <c r="I343" i="38" s="1"/>
  <c r="H344" i="38"/>
  <c r="I31" i="38"/>
  <c r="I344" i="38" s="1"/>
  <c r="L175" i="38"/>
  <c r="J175" i="38"/>
  <c r="H175" i="38"/>
  <c r="K175" i="38"/>
  <c r="I175" i="38"/>
  <c r="K305" i="38"/>
  <c r="K308" i="38" s="1"/>
  <c r="D155" i="38"/>
  <c r="E160" i="38"/>
  <c r="G160" i="38" s="1"/>
  <c r="H160" i="38"/>
  <c r="H345" i="38"/>
  <c r="I32" i="38"/>
  <c r="I345" i="38" s="1"/>
  <c r="D361" i="38"/>
  <c r="C178" i="38"/>
  <c r="C130" i="36"/>
  <c r="C128" i="36"/>
  <c r="C129" i="36"/>
  <c r="C127" i="36"/>
  <c r="G161" i="39" l="1"/>
  <c r="F161" i="39"/>
  <c r="E161" i="38"/>
  <c r="G161" i="38" s="1"/>
  <c r="C361" i="38"/>
  <c r="C363" i="38" s="1"/>
  <c r="B178" i="38"/>
  <c r="B361" i="38" s="1"/>
  <c r="B363" i="38" s="1"/>
  <c r="M175" i="38"/>
  <c r="F159" i="38"/>
  <c r="G159" i="38"/>
  <c r="C126" i="36"/>
  <c r="C125" i="36"/>
  <c r="F124" i="36"/>
  <c r="C122" i="36"/>
  <c r="C100" i="36"/>
  <c r="C120" i="36"/>
  <c r="N124" i="36"/>
  <c r="L124" i="36"/>
  <c r="J124" i="36"/>
  <c r="H124" i="36"/>
  <c r="C98" i="36"/>
  <c r="C96" i="36"/>
  <c r="C99" i="36"/>
  <c r="C97" i="36"/>
  <c r="F161" i="38" l="1"/>
  <c r="C106" i="36"/>
  <c r="C119" i="36"/>
  <c r="C104" i="36"/>
  <c r="C109" i="36"/>
  <c r="C117" i="36"/>
  <c r="C114" i="36"/>
  <c r="C116" i="36"/>
  <c r="C113" i="36"/>
  <c r="C111" i="36" l="1"/>
  <c r="C110" i="36"/>
  <c r="C108" i="36"/>
  <c r="C105" i="36"/>
  <c r="F102" i="36"/>
  <c r="C103" i="36"/>
  <c r="F95" i="36" l="1"/>
  <c r="N102" i="36" l="1"/>
  <c r="L102" i="36"/>
  <c r="J102" i="36"/>
  <c r="H102" i="36"/>
  <c r="N95" i="36" l="1"/>
  <c r="L95" i="36"/>
  <c r="J95" i="36"/>
  <c r="H95" i="36"/>
  <c r="P27" i="35" l="1"/>
  <c r="E26" i="35" s="1"/>
  <c r="F555" i="36" l="1"/>
  <c r="N481" i="36"/>
  <c r="M479" i="36"/>
  <c r="K478" i="36"/>
  <c r="K526" i="36" s="1"/>
  <c r="F454" i="36"/>
  <c r="L426" i="36"/>
  <c r="J426" i="36"/>
  <c r="H426" i="36"/>
  <c r="F426" i="36"/>
  <c r="D426" i="36"/>
  <c r="L425" i="36"/>
  <c r="J425" i="36"/>
  <c r="H425" i="36"/>
  <c r="F425" i="36"/>
  <c r="D425" i="36"/>
  <c r="L422" i="36"/>
  <c r="J422" i="36"/>
  <c r="H422" i="36"/>
  <c r="F422" i="36"/>
  <c r="D422" i="36"/>
  <c r="L421" i="36"/>
  <c r="J421" i="36"/>
  <c r="H421" i="36"/>
  <c r="F421" i="36"/>
  <c r="D421" i="36"/>
  <c r="L420" i="36"/>
  <c r="J420" i="36"/>
  <c r="H420" i="36"/>
  <c r="F420" i="36"/>
  <c r="D420" i="36"/>
  <c r="L419" i="36"/>
  <c r="J419" i="36"/>
  <c r="H419" i="36"/>
  <c r="F419" i="36"/>
  <c r="D419" i="36"/>
  <c r="L418" i="36"/>
  <c r="J418" i="36"/>
  <c r="H418" i="36"/>
  <c r="F418" i="36"/>
  <c r="D418" i="36"/>
  <c r="L417" i="36"/>
  <c r="J417" i="36"/>
  <c r="H417" i="36"/>
  <c r="F417" i="36"/>
  <c r="D417" i="36"/>
  <c r="L416" i="36"/>
  <c r="J416" i="36"/>
  <c r="H416" i="36"/>
  <c r="F416" i="36"/>
  <c r="D416" i="36"/>
  <c r="L415" i="36"/>
  <c r="J415" i="36"/>
  <c r="H415" i="36"/>
  <c r="F415" i="36"/>
  <c r="D415" i="36"/>
  <c r="L414" i="36"/>
  <c r="J414" i="36"/>
  <c r="H414" i="36"/>
  <c r="F414" i="36"/>
  <c r="D414" i="36"/>
  <c r="C408" i="36"/>
  <c r="C407" i="36"/>
  <c r="C406" i="36"/>
  <c r="C404" i="36"/>
  <c r="C401" i="36"/>
  <c r="H397" i="36"/>
  <c r="H396" i="36"/>
  <c r="H395" i="36"/>
  <c r="J390" i="36"/>
  <c r="I390" i="36"/>
  <c r="H390" i="36"/>
  <c r="G390" i="36"/>
  <c r="F390" i="36"/>
  <c r="E390" i="36"/>
  <c r="D390" i="36"/>
  <c r="C390" i="36"/>
  <c r="J389" i="36"/>
  <c r="I389" i="36"/>
  <c r="H389" i="36"/>
  <c r="G389" i="36"/>
  <c r="F389" i="36"/>
  <c r="E389" i="36"/>
  <c r="D389" i="36"/>
  <c r="C389" i="36"/>
  <c r="J388" i="36"/>
  <c r="J392" i="36" s="1"/>
  <c r="I388" i="36"/>
  <c r="I392" i="36" s="1"/>
  <c r="H388" i="36"/>
  <c r="H392" i="36" s="1"/>
  <c r="G388" i="36"/>
  <c r="G392" i="36" s="1"/>
  <c r="F388" i="36"/>
  <c r="F392" i="36" s="1"/>
  <c r="E388" i="36"/>
  <c r="E392" i="36" s="1"/>
  <c r="D388" i="36"/>
  <c r="D392" i="36" s="1"/>
  <c r="C388" i="36"/>
  <c r="C392" i="36" s="1"/>
  <c r="N384" i="36"/>
  <c r="G384" i="36"/>
  <c r="C384" i="36"/>
  <c r="J383" i="36"/>
  <c r="G383" i="36"/>
  <c r="C383" i="36"/>
  <c r="N382" i="36"/>
  <c r="J382" i="36"/>
  <c r="G382" i="36"/>
  <c r="C382" i="36"/>
  <c r="N381" i="36"/>
  <c r="J381" i="36"/>
  <c r="G381" i="36"/>
  <c r="C381" i="36"/>
  <c r="G373" i="36"/>
  <c r="D373" i="36"/>
  <c r="K372" i="36"/>
  <c r="F372" i="36"/>
  <c r="B372" i="36"/>
  <c r="M370" i="36"/>
  <c r="B370" i="36"/>
  <c r="D363" i="36"/>
  <c r="L288" i="36"/>
  <c r="I288" i="36"/>
  <c r="G288" i="36"/>
  <c r="E288" i="36"/>
  <c r="C288" i="36"/>
  <c r="L287" i="36"/>
  <c r="I287" i="36"/>
  <c r="G287" i="36"/>
  <c r="E287" i="36"/>
  <c r="C287" i="36"/>
  <c r="L286" i="36"/>
  <c r="I286" i="36"/>
  <c r="G286" i="36"/>
  <c r="E286" i="36"/>
  <c r="C286" i="36"/>
  <c r="L285" i="36"/>
  <c r="I285" i="36"/>
  <c r="G285" i="36"/>
  <c r="E285" i="36"/>
  <c r="C285" i="36"/>
  <c r="L284" i="36"/>
  <c r="I284" i="36"/>
  <c r="G284" i="36"/>
  <c r="E284" i="36"/>
  <c r="C284" i="36"/>
  <c r="L283" i="36"/>
  <c r="I283" i="36"/>
  <c r="G283" i="36"/>
  <c r="E283" i="36"/>
  <c r="C283" i="36"/>
  <c r="L282" i="36"/>
  <c r="I282" i="36"/>
  <c r="G282" i="36"/>
  <c r="E282" i="36"/>
  <c r="C282" i="36"/>
  <c r="L281" i="36"/>
  <c r="I281" i="36"/>
  <c r="G281" i="36"/>
  <c r="E281" i="36"/>
  <c r="C281" i="36"/>
  <c r="C278" i="36"/>
  <c r="M277" i="36"/>
  <c r="F277" i="36"/>
  <c r="M276" i="36"/>
  <c r="B276" i="36"/>
  <c r="L261" i="36"/>
  <c r="K261" i="36"/>
  <c r="J261" i="36"/>
  <c r="I261" i="36"/>
  <c r="H261" i="36"/>
  <c r="M260" i="36"/>
  <c r="G260" i="36"/>
  <c r="E260" i="36"/>
  <c r="D260" i="36"/>
  <c r="C260" i="36"/>
  <c r="M259" i="36"/>
  <c r="G259" i="36"/>
  <c r="E259" i="36"/>
  <c r="D259" i="36"/>
  <c r="C259" i="36"/>
  <c r="M258" i="36"/>
  <c r="G258" i="36"/>
  <c r="E258" i="36"/>
  <c r="D258" i="36"/>
  <c r="C258" i="36"/>
  <c r="M257" i="36"/>
  <c r="G257" i="36"/>
  <c r="E257" i="36"/>
  <c r="D257" i="36"/>
  <c r="C257" i="36"/>
  <c r="M256" i="36"/>
  <c r="G256" i="36"/>
  <c r="D256" i="36"/>
  <c r="C256" i="36"/>
  <c r="M255" i="36"/>
  <c r="G255" i="36"/>
  <c r="E255" i="36"/>
  <c r="D255" i="36"/>
  <c r="C255" i="36"/>
  <c r="M254" i="36"/>
  <c r="G254" i="36"/>
  <c r="E254" i="36"/>
  <c r="D254" i="36"/>
  <c r="M253" i="36"/>
  <c r="G253" i="36"/>
  <c r="E253" i="36"/>
  <c r="D253" i="36"/>
  <c r="F265" i="36" s="1"/>
  <c r="C253" i="36"/>
  <c r="N249" i="36"/>
  <c r="K249" i="36"/>
  <c r="H249" i="36"/>
  <c r="E249" i="36"/>
  <c r="B249" i="36"/>
  <c r="B246" i="36"/>
  <c r="B240" i="36"/>
  <c r="D240" i="36" s="1"/>
  <c r="B239" i="36"/>
  <c r="E239" i="36" s="1"/>
  <c r="B238" i="36"/>
  <c r="E238" i="36" s="1"/>
  <c r="B237" i="36"/>
  <c r="E237" i="36" s="1"/>
  <c r="B236" i="36"/>
  <c r="C236" i="36" s="1"/>
  <c r="B235" i="36"/>
  <c r="E235" i="36" s="1"/>
  <c r="B234" i="36"/>
  <c r="E234" i="36" s="1"/>
  <c r="B233" i="36"/>
  <c r="E233" i="36" s="1"/>
  <c r="E224" i="36"/>
  <c r="D224" i="36"/>
  <c r="C224" i="36"/>
  <c r="E223" i="36"/>
  <c r="D223" i="36"/>
  <c r="C223" i="36"/>
  <c r="E222" i="36"/>
  <c r="D222" i="36"/>
  <c r="C222" i="36"/>
  <c r="E221" i="36"/>
  <c r="D221" i="36"/>
  <c r="C221" i="36"/>
  <c r="D220" i="36"/>
  <c r="C220" i="36"/>
  <c r="E219" i="36"/>
  <c r="D219" i="36"/>
  <c r="C219" i="36"/>
  <c r="E218" i="36"/>
  <c r="D218" i="36"/>
  <c r="E217" i="36"/>
  <c r="D217" i="36"/>
  <c r="C217" i="36"/>
  <c r="E209" i="36"/>
  <c r="D209" i="36"/>
  <c r="C209" i="36"/>
  <c r="E208" i="36"/>
  <c r="D208" i="36"/>
  <c r="C208" i="36"/>
  <c r="E207" i="36"/>
  <c r="D207" i="36"/>
  <c r="C207" i="36"/>
  <c r="E206" i="36"/>
  <c r="D206" i="36"/>
  <c r="C206" i="36"/>
  <c r="D205" i="36"/>
  <c r="C205" i="36"/>
  <c r="E204" i="36"/>
  <c r="D204" i="36"/>
  <c r="C204" i="36"/>
  <c r="E203" i="36"/>
  <c r="D203" i="36"/>
  <c r="E202" i="36"/>
  <c r="D202" i="36"/>
  <c r="C202" i="36"/>
  <c r="E194" i="36"/>
  <c r="D194" i="36"/>
  <c r="C194" i="36"/>
  <c r="E193" i="36"/>
  <c r="D193" i="36"/>
  <c r="C193" i="36"/>
  <c r="E192" i="36"/>
  <c r="D192" i="36"/>
  <c r="C192" i="36"/>
  <c r="E191" i="36"/>
  <c r="D191" i="36"/>
  <c r="C191" i="36"/>
  <c r="D190" i="36"/>
  <c r="C190" i="36"/>
  <c r="E189" i="36"/>
  <c r="D189" i="36"/>
  <c r="C189" i="36"/>
  <c r="E188" i="36"/>
  <c r="D188" i="36"/>
  <c r="E187" i="36"/>
  <c r="D187" i="36"/>
  <c r="C187" i="36"/>
  <c r="N83" i="36"/>
  <c r="L83" i="36"/>
  <c r="J83" i="36"/>
  <c r="H83" i="36"/>
  <c r="F83" i="36"/>
  <c r="N78" i="36"/>
  <c r="L78" i="36"/>
  <c r="M426" i="36" s="1"/>
  <c r="J78" i="36"/>
  <c r="H78" i="36"/>
  <c r="F78" i="36"/>
  <c r="N76" i="36"/>
  <c r="L76" i="36"/>
  <c r="M425" i="36" s="1"/>
  <c r="J76" i="36"/>
  <c r="H76" i="36"/>
  <c r="F76" i="36"/>
  <c r="N73" i="36"/>
  <c r="L73" i="36"/>
  <c r="M422" i="36" s="1"/>
  <c r="J73" i="36"/>
  <c r="H73" i="36"/>
  <c r="F73" i="36"/>
  <c r="N71" i="36"/>
  <c r="L71" i="36"/>
  <c r="M421" i="36" s="1"/>
  <c r="J71" i="36"/>
  <c r="H71" i="36"/>
  <c r="F71" i="36"/>
  <c r="N68" i="36"/>
  <c r="L68" i="36"/>
  <c r="M420" i="36" s="1"/>
  <c r="J68" i="36"/>
  <c r="H68" i="36"/>
  <c r="F68" i="36"/>
  <c r="N66" i="36"/>
  <c r="L66" i="36"/>
  <c r="M419" i="36" s="1"/>
  <c r="J66" i="36"/>
  <c r="H66" i="36"/>
  <c r="F66" i="36"/>
  <c r="N64" i="36"/>
  <c r="L64" i="36"/>
  <c r="M418" i="36" s="1"/>
  <c r="J64" i="36"/>
  <c r="H64" i="36"/>
  <c r="F64" i="36"/>
  <c r="N62" i="36"/>
  <c r="L62" i="36"/>
  <c r="M417" i="36" s="1"/>
  <c r="J62" i="36"/>
  <c r="H62" i="36"/>
  <c r="F62" i="36"/>
  <c r="N59" i="36"/>
  <c r="L59" i="36"/>
  <c r="M416" i="36" s="1"/>
  <c r="J59" i="36"/>
  <c r="H59" i="36"/>
  <c r="F59" i="36"/>
  <c r="N57" i="36"/>
  <c r="L57" i="36"/>
  <c r="M415" i="36" s="1"/>
  <c r="J57" i="36"/>
  <c r="H57" i="36"/>
  <c r="F57" i="36"/>
  <c r="N55" i="36"/>
  <c r="L55" i="36"/>
  <c r="M414" i="36" s="1"/>
  <c r="J55" i="36"/>
  <c r="H55" i="36"/>
  <c r="F55" i="36"/>
  <c r="E25" i="36"/>
  <c r="F25" i="36" s="1"/>
  <c r="E24" i="36"/>
  <c r="D23" i="36"/>
  <c r="E23" i="36" s="1"/>
  <c r="D18" i="36"/>
  <c r="C405" i="36" s="1"/>
  <c r="G17" i="36"/>
  <c r="D16" i="36"/>
  <c r="F16" i="36" s="1"/>
  <c r="D14" i="36"/>
  <c r="C402" i="36" s="1"/>
  <c r="D13" i="36"/>
  <c r="D12" i="36"/>
  <c r="K9" i="36"/>
  <c r="G6" i="36"/>
  <c r="B5" i="36"/>
  <c r="I370" i="36" s="1"/>
  <c r="C195" i="36" l="1"/>
  <c r="C197" i="36" s="1"/>
  <c r="D197" i="36" s="1"/>
  <c r="E195" i="36"/>
  <c r="C199" i="36" s="1"/>
  <c r="D199" i="36" s="1"/>
  <c r="F190" i="36"/>
  <c r="F192" i="36"/>
  <c r="F194" i="36"/>
  <c r="F202" i="36"/>
  <c r="E210" i="36"/>
  <c r="C214" i="36" s="1"/>
  <c r="D214" i="36" s="1"/>
  <c r="F204" i="36"/>
  <c r="F206" i="36"/>
  <c r="F208" i="36"/>
  <c r="F220" i="36"/>
  <c r="F222" i="36"/>
  <c r="F224" i="36"/>
  <c r="D234" i="36"/>
  <c r="N254" i="36"/>
  <c r="N255" i="36"/>
  <c r="N256" i="36"/>
  <c r="N258" i="36"/>
  <c r="N259" i="36"/>
  <c r="N260" i="36"/>
  <c r="E225" i="36"/>
  <c r="C229" i="36" s="1"/>
  <c r="D229" i="36" s="1"/>
  <c r="F234" i="36"/>
  <c r="D235" i="36"/>
  <c r="D238" i="36"/>
  <c r="C240" i="36"/>
  <c r="E240" i="36"/>
  <c r="E241" i="36" s="1"/>
  <c r="D195" i="36"/>
  <c r="C198" i="36" s="1"/>
  <c r="D198" i="36" s="1"/>
  <c r="F188" i="36"/>
  <c r="F189" i="36"/>
  <c r="F191" i="36"/>
  <c r="F193" i="36"/>
  <c r="D210" i="36"/>
  <c r="C213" i="36" s="1"/>
  <c r="D213" i="36" s="1"/>
  <c r="F203" i="36"/>
  <c r="F205" i="36"/>
  <c r="F207" i="36"/>
  <c r="F209" i="36"/>
  <c r="D225" i="36"/>
  <c r="C228" i="36" s="1"/>
  <c r="D228" i="36" s="1"/>
  <c r="C225" i="36"/>
  <c r="C227" i="36" s="1"/>
  <c r="D227" i="36" s="1"/>
  <c r="F221" i="36"/>
  <c r="F223" i="36"/>
  <c r="C235" i="36"/>
  <c r="F235" i="36" s="1"/>
  <c r="C238" i="36"/>
  <c r="F238" i="36" s="1"/>
  <c r="F253" i="36"/>
  <c r="E261" i="36"/>
  <c r="D266" i="36" s="1"/>
  <c r="C266" i="36" s="1"/>
  <c r="F254" i="36"/>
  <c r="D261" i="36"/>
  <c r="H265" i="36" s="1"/>
  <c r="F256" i="36"/>
  <c r="F257" i="36"/>
  <c r="K265" i="36"/>
  <c r="F259" i="36"/>
  <c r="F260" i="36"/>
  <c r="H398" i="36"/>
  <c r="N248" i="36"/>
  <c r="N250" i="36" s="1"/>
  <c r="M261" i="36"/>
  <c r="D535" i="36" s="1"/>
  <c r="N257" i="36"/>
  <c r="N253" i="36"/>
  <c r="H9" i="36"/>
  <c r="F187" i="36"/>
  <c r="C210" i="36"/>
  <c r="C212" i="36" s="1"/>
  <c r="D212" i="36" s="1"/>
  <c r="F217" i="36"/>
  <c r="D233" i="36"/>
  <c r="D236" i="36"/>
  <c r="F236" i="36" s="1"/>
  <c r="D237" i="36"/>
  <c r="D239" i="36"/>
  <c r="B248" i="36"/>
  <c r="E248" i="36"/>
  <c r="E250" i="36" s="1"/>
  <c r="K248" i="36"/>
  <c r="K250" i="36" s="1"/>
  <c r="F255" i="36"/>
  <c r="F258" i="36"/>
  <c r="C261" i="36"/>
  <c r="D264" i="36" s="1"/>
  <c r="C264" i="36" s="1"/>
  <c r="B277" i="36"/>
  <c r="G278" i="36"/>
  <c r="D15" i="36"/>
  <c r="F15" i="36" s="1"/>
  <c r="D19" i="36"/>
  <c r="F19" i="36" s="1"/>
  <c r="C20" i="36"/>
  <c r="F218" i="36"/>
  <c r="F219" i="36"/>
  <c r="C233" i="36"/>
  <c r="C237" i="36"/>
  <c r="F237" i="36" s="1"/>
  <c r="C239" i="36"/>
  <c r="H248" i="36"/>
  <c r="H250" i="36" s="1"/>
  <c r="K278" i="36"/>
  <c r="M388" i="34"/>
  <c r="D265" i="36" l="1"/>
  <c r="C265" i="36" s="1"/>
  <c r="F195" i="36"/>
  <c r="B197" i="36" s="1"/>
  <c r="M265" i="36"/>
  <c r="D268" i="36"/>
  <c r="F210" i="36"/>
  <c r="B213" i="36" s="1"/>
  <c r="E397" i="36"/>
  <c r="C245" i="36"/>
  <c r="D245" i="36" s="1"/>
  <c r="K397" i="36" s="1"/>
  <c r="F261" i="36"/>
  <c r="I262" i="36" s="1"/>
  <c r="F240" i="36"/>
  <c r="L279" i="36"/>
  <c r="F239" i="36"/>
  <c r="C241" i="36"/>
  <c r="F233" i="36"/>
  <c r="B250" i="36"/>
  <c r="C248" i="36"/>
  <c r="D241" i="36"/>
  <c r="B199" i="36"/>
  <c r="F225" i="36"/>
  <c r="B198" i="36"/>
  <c r="N390" i="34"/>
  <c r="K387" i="34"/>
  <c r="K435" i="34" s="1"/>
  <c r="H262" i="36" l="1"/>
  <c r="B265" i="36"/>
  <c r="J535" i="36" s="1"/>
  <c r="K262" i="36"/>
  <c r="F241" i="36"/>
  <c r="B212" i="36"/>
  <c r="B264" i="36"/>
  <c r="G535" i="36" s="1"/>
  <c r="B266" i="36"/>
  <c r="M535" i="36" s="1"/>
  <c r="B214" i="36"/>
  <c r="L262" i="36"/>
  <c r="J262" i="36"/>
  <c r="E396" i="36"/>
  <c r="C244" i="36"/>
  <c r="D244" i="36" s="1"/>
  <c r="K396" i="36" s="1"/>
  <c r="B229" i="36"/>
  <c r="B228" i="36"/>
  <c r="B227" i="36"/>
  <c r="E395" i="36"/>
  <c r="C243" i="36"/>
  <c r="D243" i="36" s="1"/>
  <c r="B5" i="34"/>
  <c r="B5" i="35"/>
  <c r="C186" i="35"/>
  <c r="M262" i="36" l="1"/>
  <c r="K395" i="36"/>
  <c r="K398" i="36" s="1"/>
  <c r="D246" i="36"/>
  <c r="E157" i="35"/>
  <c r="K157" i="35" l="1"/>
  <c r="B21" i="33" l="1"/>
  <c r="D28" i="33" l="1"/>
  <c r="D27" i="33"/>
  <c r="E158" i="33" s="1"/>
  <c r="D271" i="35"/>
  <c r="E24" i="35"/>
  <c r="F24" i="35" s="1"/>
  <c r="D22" i="35"/>
  <c r="E22" i="35" s="1"/>
  <c r="D18" i="35"/>
  <c r="G17" i="35"/>
  <c r="N157" i="35" s="1"/>
  <c r="D16" i="35"/>
  <c r="F16" i="35" s="1"/>
  <c r="D14" i="35"/>
  <c r="D13" i="35"/>
  <c r="D12" i="35"/>
  <c r="K9" i="35"/>
  <c r="H9" i="35"/>
  <c r="G6" i="35"/>
  <c r="D16" i="34"/>
  <c r="F16" i="34" s="1"/>
  <c r="D14" i="34"/>
  <c r="H157" i="35"/>
  <c r="G186" i="35" l="1"/>
  <c r="K186" i="35"/>
  <c r="D15" i="35"/>
  <c r="F15" i="35" s="1"/>
  <c r="B157" i="35"/>
  <c r="F455" i="35"/>
  <c r="F362" i="35"/>
  <c r="L334" i="35"/>
  <c r="J334" i="35"/>
  <c r="H334" i="35"/>
  <c r="F334" i="35"/>
  <c r="D334" i="35"/>
  <c r="L333" i="35"/>
  <c r="J333" i="35"/>
  <c r="H333" i="35"/>
  <c r="F333" i="35"/>
  <c r="D333" i="35"/>
  <c r="L330" i="35"/>
  <c r="J330" i="35"/>
  <c r="H330" i="35"/>
  <c r="F330" i="35"/>
  <c r="D330" i="35"/>
  <c r="L329" i="35"/>
  <c r="J329" i="35"/>
  <c r="H329" i="35"/>
  <c r="F329" i="35"/>
  <c r="D329" i="35"/>
  <c r="L328" i="35"/>
  <c r="J328" i="35"/>
  <c r="H328" i="35"/>
  <c r="F328" i="35"/>
  <c r="D328" i="35"/>
  <c r="L327" i="35"/>
  <c r="J327" i="35"/>
  <c r="H327" i="35"/>
  <c r="F327" i="35"/>
  <c r="D327" i="35"/>
  <c r="L326" i="35"/>
  <c r="J326" i="35"/>
  <c r="H326" i="35"/>
  <c r="F326" i="35"/>
  <c r="D326" i="35"/>
  <c r="L325" i="35"/>
  <c r="J325" i="35"/>
  <c r="H325" i="35"/>
  <c r="F325" i="35"/>
  <c r="D325" i="35"/>
  <c r="L324" i="35"/>
  <c r="J324" i="35"/>
  <c r="H324" i="35"/>
  <c r="F324" i="35"/>
  <c r="D324" i="35"/>
  <c r="L323" i="35"/>
  <c r="J323" i="35"/>
  <c r="H323" i="35"/>
  <c r="F323" i="35"/>
  <c r="D323" i="35"/>
  <c r="L322" i="35"/>
  <c r="J322" i="35"/>
  <c r="H322" i="35"/>
  <c r="F322" i="35"/>
  <c r="D322" i="35"/>
  <c r="C316" i="35"/>
  <c r="C315" i="35"/>
  <c r="C314" i="35"/>
  <c r="C312" i="35"/>
  <c r="C309" i="35"/>
  <c r="H305" i="35"/>
  <c r="H304" i="35"/>
  <c r="H303" i="35"/>
  <c r="J298" i="35"/>
  <c r="I298" i="35"/>
  <c r="H298" i="35"/>
  <c r="G298" i="35"/>
  <c r="F298" i="35"/>
  <c r="E298" i="35"/>
  <c r="D298" i="35"/>
  <c r="C298" i="35"/>
  <c r="J297" i="35"/>
  <c r="I297" i="35"/>
  <c r="H297" i="35"/>
  <c r="G297" i="35"/>
  <c r="F297" i="35"/>
  <c r="E297" i="35"/>
  <c r="D297" i="35"/>
  <c r="C297" i="35"/>
  <c r="J296" i="35"/>
  <c r="J300" i="35" s="1"/>
  <c r="I296" i="35"/>
  <c r="I300" i="35" s="1"/>
  <c r="H296" i="35"/>
  <c r="H300" i="35" s="1"/>
  <c r="G296" i="35"/>
  <c r="G300" i="35" s="1"/>
  <c r="F296" i="35"/>
  <c r="F300" i="35" s="1"/>
  <c r="E296" i="35"/>
  <c r="E300" i="35" s="1"/>
  <c r="D296" i="35"/>
  <c r="D300" i="35" s="1"/>
  <c r="C296" i="35"/>
  <c r="N292" i="35"/>
  <c r="G292" i="35"/>
  <c r="C292" i="35"/>
  <c r="J291" i="35"/>
  <c r="G291" i="35"/>
  <c r="C291" i="35"/>
  <c r="N290" i="35"/>
  <c r="J290" i="35"/>
  <c r="G290" i="35"/>
  <c r="C290" i="35"/>
  <c r="N289" i="35"/>
  <c r="J289" i="35"/>
  <c r="G289" i="35"/>
  <c r="C289" i="35"/>
  <c r="G281" i="35"/>
  <c r="D281" i="35"/>
  <c r="K280" i="35"/>
  <c r="F280" i="35"/>
  <c r="B280" i="35"/>
  <c r="M278" i="35"/>
  <c r="I278" i="35"/>
  <c r="B278" i="35"/>
  <c r="L197" i="35"/>
  <c r="I197" i="35"/>
  <c r="G197" i="35"/>
  <c r="E197" i="35"/>
  <c r="C197" i="35"/>
  <c r="L196" i="35"/>
  <c r="I196" i="35"/>
  <c r="G196" i="35"/>
  <c r="E196" i="35"/>
  <c r="C196" i="35"/>
  <c r="L195" i="35"/>
  <c r="I195" i="35"/>
  <c r="G195" i="35"/>
  <c r="E195" i="35"/>
  <c r="C195" i="35"/>
  <c r="L194" i="35"/>
  <c r="I194" i="35"/>
  <c r="G194" i="35"/>
  <c r="E194" i="35"/>
  <c r="C194" i="35"/>
  <c r="L193" i="35"/>
  <c r="I193" i="35"/>
  <c r="G193" i="35"/>
  <c r="E193" i="35"/>
  <c r="C193" i="35"/>
  <c r="L192" i="35"/>
  <c r="I192" i="35"/>
  <c r="G192" i="35"/>
  <c r="E192" i="35"/>
  <c r="C192" i="35"/>
  <c r="L191" i="35"/>
  <c r="I191" i="35"/>
  <c r="G191" i="35"/>
  <c r="E191" i="35"/>
  <c r="C191" i="35"/>
  <c r="L190" i="35"/>
  <c r="I190" i="35"/>
  <c r="G190" i="35"/>
  <c r="E190" i="35"/>
  <c r="C190" i="35"/>
  <c r="M185" i="35"/>
  <c r="F185" i="35"/>
  <c r="B185" i="35"/>
  <c r="M184" i="35"/>
  <c r="B184" i="35"/>
  <c r="L170" i="35"/>
  <c r="K170" i="35"/>
  <c r="J170" i="35"/>
  <c r="I170" i="35"/>
  <c r="H170" i="35"/>
  <c r="M169" i="35"/>
  <c r="G169" i="35"/>
  <c r="E169" i="35"/>
  <c r="D169" i="35"/>
  <c r="C169" i="35"/>
  <c r="M168" i="35"/>
  <c r="G168" i="35"/>
  <c r="E168" i="35"/>
  <c r="D168" i="35"/>
  <c r="C168" i="35"/>
  <c r="M167" i="35"/>
  <c r="G167" i="35"/>
  <c r="E167" i="35"/>
  <c r="D167" i="35"/>
  <c r="C167" i="35"/>
  <c r="M166" i="35"/>
  <c r="G166" i="35"/>
  <c r="E166" i="35"/>
  <c r="D166" i="35"/>
  <c r="C166" i="35"/>
  <c r="M165" i="35"/>
  <c r="G165" i="35"/>
  <c r="D165" i="35"/>
  <c r="C165" i="35"/>
  <c r="M164" i="35"/>
  <c r="G164" i="35"/>
  <c r="E164" i="35"/>
  <c r="D164" i="35"/>
  <c r="C164" i="35"/>
  <c r="M163" i="35"/>
  <c r="G163" i="35"/>
  <c r="E163" i="35"/>
  <c r="D163" i="35"/>
  <c r="M162" i="35"/>
  <c r="G162" i="35"/>
  <c r="E162" i="35"/>
  <c r="D162" i="35"/>
  <c r="C162" i="35"/>
  <c r="N158" i="35"/>
  <c r="K158" i="35"/>
  <c r="H158" i="35"/>
  <c r="H159" i="35" s="1"/>
  <c r="E158" i="35"/>
  <c r="B158" i="35"/>
  <c r="B155" i="35"/>
  <c r="D149" i="35"/>
  <c r="D148" i="35"/>
  <c r="D147" i="35"/>
  <c r="D146" i="35"/>
  <c r="D145" i="35"/>
  <c r="D144" i="35"/>
  <c r="E143" i="35"/>
  <c r="D142" i="35"/>
  <c r="E133" i="35"/>
  <c r="D133" i="35"/>
  <c r="C133" i="35"/>
  <c r="E132" i="35"/>
  <c r="D132" i="35"/>
  <c r="C132" i="35"/>
  <c r="E131" i="35"/>
  <c r="D131" i="35"/>
  <c r="C131" i="35"/>
  <c r="E130" i="35"/>
  <c r="D130" i="35"/>
  <c r="C130" i="35"/>
  <c r="D129" i="35"/>
  <c r="C129" i="35"/>
  <c r="E128" i="35"/>
  <c r="D128" i="35"/>
  <c r="C128" i="35"/>
  <c r="E127" i="35"/>
  <c r="D127" i="35"/>
  <c r="E126" i="35"/>
  <c r="D126" i="35"/>
  <c r="C126" i="35"/>
  <c r="E118" i="35"/>
  <c r="D118" i="35"/>
  <c r="C118" i="35"/>
  <c r="E117" i="35"/>
  <c r="D117" i="35"/>
  <c r="C117" i="35"/>
  <c r="E116" i="35"/>
  <c r="D116" i="35"/>
  <c r="C116" i="35"/>
  <c r="E115" i="35"/>
  <c r="D115" i="35"/>
  <c r="C115" i="35"/>
  <c r="D114" i="35"/>
  <c r="C114" i="35"/>
  <c r="E113" i="35"/>
  <c r="D113" i="35"/>
  <c r="C113" i="35"/>
  <c r="E112" i="35"/>
  <c r="D112" i="35"/>
  <c r="E111" i="35"/>
  <c r="D111" i="35"/>
  <c r="C111" i="35"/>
  <c r="E103" i="35"/>
  <c r="D103" i="35"/>
  <c r="C103" i="35"/>
  <c r="E102" i="35"/>
  <c r="D102" i="35"/>
  <c r="C102" i="35"/>
  <c r="E101" i="35"/>
  <c r="D101" i="35"/>
  <c r="C101" i="35"/>
  <c r="E100" i="35"/>
  <c r="D100" i="35"/>
  <c r="C100" i="35"/>
  <c r="D99" i="35"/>
  <c r="C99" i="35"/>
  <c r="E98" i="35"/>
  <c r="D98" i="35"/>
  <c r="C98" i="35"/>
  <c r="E97" i="35"/>
  <c r="D97" i="35"/>
  <c r="E96" i="35"/>
  <c r="D96" i="35"/>
  <c r="C96" i="35"/>
  <c r="N83" i="35"/>
  <c r="L83" i="35"/>
  <c r="J83" i="35"/>
  <c r="H83" i="35"/>
  <c r="F83" i="35"/>
  <c r="N78" i="35"/>
  <c r="L78" i="35"/>
  <c r="M334" i="35" s="1"/>
  <c r="J78" i="35"/>
  <c r="H78" i="35"/>
  <c r="F78" i="35"/>
  <c r="N76" i="35"/>
  <c r="L76" i="35"/>
  <c r="M333" i="35" s="1"/>
  <c r="J76" i="35"/>
  <c r="H76" i="35"/>
  <c r="F76" i="35"/>
  <c r="N73" i="35"/>
  <c r="L73" i="35"/>
  <c r="M330" i="35" s="1"/>
  <c r="J73" i="35"/>
  <c r="H73" i="35"/>
  <c r="F73" i="35"/>
  <c r="N71" i="35"/>
  <c r="L71" i="35"/>
  <c r="M329" i="35" s="1"/>
  <c r="J71" i="35"/>
  <c r="H71" i="35"/>
  <c r="F71" i="35"/>
  <c r="N68" i="35"/>
  <c r="L68" i="35"/>
  <c r="M328" i="35" s="1"/>
  <c r="J68" i="35"/>
  <c r="H68" i="35"/>
  <c r="F68" i="35"/>
  <c r="N66" i="35"/>
  <c r="L66" i="35"/>
  <c r="M327" i="35" s="1"/>
  <c r="J66" i="35"/>
  <c r="H66" i="35"/>
  <c r="F66" i="35"/>
  <c r="N64" i="35"/>
  <c r="L64" i="35"/>
  <c r="M326" i="35" s="1"/>
  <c r="J64" i="35"/>
  <c r="H64" i="35"/>
  <c r="F64" i="35"/>
  <c r="N62" i="35"/>
  <c r="L62" i="35"/>
  <c r="M325" i="35" s="1"/>
  <c r="J62" i="35"/>
  <c r="H62" i="35"/>
  <c r="F62" i="35"/>
  <c r="N59" i="35"/>
  <c r="L59" i="35"/>
  <c r="M324" i="35" s="1"/>
  <c r="J59" i="35"/>
  <c r="H59" i="35"/>
  <c r="F59" i="35"/>
  <c r="N57" i="35"/>
  <c r="L57" i="35"/>
  <c r="M323" i="35" s="1"/>
  <c r="J57" i="35"/>
  <c r="H57" i="35"/>
  <c r="F57" i="35"/>
  <c r="N55" i="35"/>
  <c r="L55" i="35"/>
  <c r="M322" i="35" s="1"/>
  <c r="J55" i="35"/>
  <c r="H55" i="35"/>
  <c r="F55" i="35"/>
  <c r="C310" i="35"/>
  <c r="N83" i="34"/>
  <c r="L83" i="34"/>
  <c r="J83" i="34"/>
  <c r="H83" i="34"/>
  <c r="F83" i="34"/>
  <c r="N78" i="34"/>
  <c r="L78" i="34"/>
  <c r="J78" i="34"/>
  <c r="H78" i="34"/>
  <c r="F78" i="34"/>
  <c r="N76" i="34"/>
  <c r="L76" i="34"/>
  <c r="J76" i="34"/>
  <c r="H76" i="34"/>
  <c r="F76" i="34"/>
  <c r="N73" i="34"/>
  <c r="L73" i="34"/>
  <c r="J73" i="34"/>
  <c r="H73" i="34"/>
  <c r="F73" i="34"/>
  <c r="N71" i="34"/>
  <c r="L71" i="34"/>
  <c r="J71" i="34"/>
  <c r="H71" i="34"/>
  <c r="F71" i="34"/>
  <c r="N68" i="34"/>
  <c r="L68" i="34"/>
  <c r="J68" i="34"/>
  <c r="H68" i="34"/>
  <c r="F68" i="34"/>
  <c r="N66" i="34"/>
  <c r="L66" i="34"/>
  <c r="J66" i="34"/>
  <c r="H66" i="34"/>
  <c r="F66" i="34"/>
  <c r="N64" i="34"/>
  <c r="L64" i="34"/>
  <c r="J64" i="34"/>
  <c r="H64" i="34"/>
  <c r="F64" i="34"/>
  <c r="N62" i="34"/>
  <c r="L62" i="34"/>
  <c r="J62" i="34"/>
  <c r="H62" i="34"/>
  <c r="F62" i="34"/>
  <c r="N59" i="34"/>
  <c r="L59" i="34"/>
  <c r="J59" i="34"/>
  <c r="H59" i="34"/>
  <c r="F59" i="34"/>
  <c r="N57" i="34"/>
  <c r="L57" i="34"/>
  <c r="J57" i="34"/>
  <c r="H57" i="34"/>
  <c r="F57" i="34"/>
  <c r="N55" i="34"/>
  <c r="L55" i="34"/>
  <c r="J55" i="34"/>
  <c r="H55" i="34"/>
  <c r="F55" i="34"/>
  <c r="F174" i="35" l="1"/>
  <c r="F128" i="35"/>
  <c r="F129" i="35"/>
  <c r="F130" i="35"/>
  <c r="F165" i="35"/>
  <c r="F132" i="35"/>
  <c r="K174" i="35"/>
  <c r="F167" i="35"/>
  <c r="H306" i="35"/>
  <c r="F97" i="35"/>
  <c r="F98" i="35"/>
  <c r="F116" i="35"/>
  <c r="F126" i="35"/>
  <c r="F133" i="35"/>
  <c r="N164" i="35"/>
  <c r="F164" i="35"/>
  <c r="N162" i="35"/>
  <c r="N165" i="35"/>
  <c r="N167" i="35"/>
  <c r="N168" i="35"/>
  <c r="M170" i="35"/>
  <c r="D435" i="35" s="1"/>
  <c r="C170" i="35"/>
  <c r="D173" i="35" s="1"/>
  <c r="C173" i="35" s="1"/>
  <c r="E170" i="35"/>
  <c r="D175" i="35" s="1"/>
  <c r="C175" i="35" s="1"/>
  <c r="N166" i="35"/>
  <c r="F168" i="35"/>
  <c r="F163" i="35"/>
  <c r="F166" i="35"/>
  <c r="N163" i="35"/>
  <c r="N169" i="35"/>
  <c r="F169" i="35"/>
  <c r="F131" i="35"/>
  <c r="C149" i="35"/>
  <c r="F118" i="35"/>
  <c r="C145" i="35"/>
  <c r="D119" i="35"/>
  <c r="C122" i="35" s="1"/>
  <c r="D122" i="35" s="1"/>
  <c r="C300" i="35"/>
  <c r="F112" i="35"/>
  <c r="D104" i="35"/>
  <c r="C107" i="35" s="1"/>
  <c r="D107" i="35" s="1"/>
  <c r="E148" i="35"/>
  <c r="F102" i="35"/>
  <c r="C148" i="35"/>
  <c r="F148" i="35" s="1"/>
  <c r="F100" i="35"/>
  <c r="C313" i="35"/>
  <c r="C104" i="35"/>
  <c r="C106" i="35" s="1"/>
  <c r="D106" i="35" s="1"/>
  <c r="E104" i="35"/>
  <c r="C108" i="35" s="1"/>
  <c r="D108" i="35" s="1"/>
  <c r="F99" i="35"/>
  <c r="F101" i="35"/>
  <c r="F103" i="35"/>
  <c r="C119" i="35"/>
  <c r="C121" i="35" s="1"/>
  <c r="D121" i="35" s="1"/>
  <c r="E119" i="35"/>
  <c r="C123" i="35" s="1"/>
  <c r="D123" i="35" s="1"/>
  <c r="F113" i="35"/>
  <c r="F114" i="35"/>
  <c r="F115" i="35"/>
  <c r="F117" i="35"/>
  <c r="C134" i="35"/>
  <c r="C136" i="35" s="1"/>
  <c r="D136" i="35" s="1"/>
  <c r="E134" i="35"/>
  <c r="C138" i="35" s="1"/>
  <c r="D138" i="35" s="1"/>
  <c r="F127" i="35"/>
  <c r="D134" i="35"/>
  <c r="C137" i="35" s="1"/>
  <c r="D137" i="35" s="1"/>
  <c r="C142" i="35"/>
  <c r="E142" i="35"/>
  <c r="D143" i="35"/>
  <c r="F143" i="35" s="1"/>
  <c r="C144" i="35"/>
  <c r="C146" i="35"/>
  <c r="E146" i="35"/>
  <c r="C147" i="35"/>
  <c r="E149" i="35"/>
  <c r="E144" i="35"/>
  <c r="F145" i="35"/>
  <c r="E147" i="35"/>
  <c r="F162" i="35"/>
  <c r="D170" i="35"/>
  <c r="D177" i="35" s="1"/>
  <c r="F111" i="35"/>
  <c r="N159" i="35"/>
  <c r="F96" i="35"/>
  <c r="E159" i="35"/>
  <c r="K159" i="35"/>
  <c r="F144" i="35" l="1"/>
  <c r="F134" i="35"/>
  <c r="B137" i="35" s="1"/>
  <c r="L188" i="35"/>
  <c r="F170" i="35"/>
  <c r="K171" i="35" s="1"/>
  <c r="F147" i="35"/>
  <c r="F146" i="35"/>
  <c r="F119" i="35"/>
  <c r="B121" i="35" s="1"/>
  <c r="E150" i="35"/>
  <c r="E305" i="35" s="1"/>
  <c r="F149" i="35"/>
  <c r="D150" i="35"/>
  <c r="C153" i="35" s="1"/>
  <c r="D153" i="35" s="1"/>
  <c r="K304" i="35" s="1"/>
  <c r="F104" i="35"/>
  <c r="B107" i="35" s="1"/>
  <c r="F142" i="35"/>
  <c r="D174" i="35"/>
  <c r="C174" i="35" s="1"/>
  <c r="C150" i="35"/>
  <c r="M174" i="35"/>
  <c r="H174" i="35"/>
  <c r="B159" i="35"/>
  <c r="C157" i="35"/>
  <c r="B136" i="35" l="1"/>
  <c r="B138" i="35"/>
  <c r="B123" i="35"/>
  <c r="B174" i="35"/>
  <c r="J435" i="35" s="1"/>
  <c r="H171" i="35"/>
  <c r="J171" i="35"/>
  <c r="L171" i="35"/>
  <c r="I171" i="35"/>
  <c r="B175" i="35"/>
  <c r="M435" i="35" s="1"/>
  <c r="B173" i="35"/>
  <c r="G435" i="35" s="1"/>
  <c r="E304" i="35"/>
  <c r="F150" i="35"/>
  <c r="C154" i="35"/>
  <c r="D154" i="35" s="1"/>
  <c r="K305" i="35" s="1"/>
  <c r="B122" i="35"/>
  <c r="B106" i="35"/>
  <c r="B108" i="35"/>
  <c r="E303" i="35"/>
  <c r="C152" i="35"/>
  <c r="D152" i="35" s="1"/>
  <c r="N158" i="34"/>
  <c r="K158" i="34"/>
  <c r="H158" i="34"/>
  <c r="E158" i="34"/>
  <c r="B158" i="34"/>
  <c r="M171" i="35" l="1"/>
  <c r="K303" i="35"/>
  <c r="K306" i="35" s="1"/>
  <c r="D155" i="35"/>
  <c r="M164" i="34"/>
  <c r="D272" i="34" l="1"/>
  <c r="G17" i="34" l="1"/>
  <c r="E25" i="34" l="1"/>
  <c r="F25" i="34" s="1"/>
  <c r="F464" i="34" l="1"/>
  <c r="E24" i="34"/>
  <c r="F363" i="34"/>
  <c r="L335" i="34"/>
  <c r="J335" i="34"/>
  <c r="H335" i="34"/>
  <c r="F335" i="34"/>
  <c r="D335" i="34"/>
  <c r="L334" i="34"/>
  <c r="J334" i="34"/>
  <c r="H334" i="34"/>
  <c r="F334" i="34"/>
  <c r="D334" i="34"/>
  <c r="L331" i="34"/>
  <c r="J331" i="34"/>
  <c r="H331" i="34"/>
  <c r="F331" i="34"/>
  <c r="D331" i="34"/>
  <c r="L330" i="34"/>
  <c r="J330" i="34"/>
  <c r="H330" i="34"/>
  <c r="F330" i="34"/>
  <c r="D330" i="34"/>
  <c r="L329" i="34"/>
  <c r="J329" i="34"/>
  <c r="H329" i="34"/>
  <c r="F329" i="34"/>
  <c r="D329" i="34"/>
  <c r="L328" i="34"/>
  <c r="J328" i="34"/>
  <c r="H328" i="34"/>
  <c r="F328" i="34"/>
  <c r="D328" i="34"/>
  <c r="L327" i="34"/>
  <c r="J327" i="34"/>
  <c r="H327" i="34"/>
  <c r="F327" i="34"/>
  <c r="D327" i="34"/>
  <c r="L326" i="34"/>
  <c r="J326" i="34"/>
  <c r="H326" i="34"/>
  <c r="F326" i="34"/>
  <c r="D326" i="34"/>
  <c r="L325" i="34"/>
  <c r="J325" i="34"/>
  <c r="H325" i="34"/>
  <c r="F325" i="34"/>
  <c r="D325" i="34"/>
  <c r="L324" i="34"/>
  <c r="J324" i="34"/>
  <c r="H324" i="34"/>
  <c r="F324" i="34"/>
  <c r="D324" i="34"/>
  <c r="L323" i="34"/>
  <c r="J323" i="34"/>
  <c r="H323" i="34"/>
  <c r="F323" i="34"/>
  <c r="D323" i="34"/>
  <c r="C317" i="34"/>
  <c r="C316" i="34"/>
  <c r="C315" i="34"/>
  <c r="C313" i="34"/>
  <c r="C310" i="34"/>
  <c r="H306" i="34"/>
  <c r="H305" i="34"/>
  <c r="H304" i="34"/>
  <c r="J299" i="34"/>
  <c r="I299" i="34"/>
  <c r="H299" i="34"/>
  <c r="G299" i="34"/>
  <c r="F299" i="34"/>
  <c r="E299" i="34"/>
  <c r="D299" i="34"/>
  <c r="C299" i="34"/>
  <c r="J298" i="34"/>
  <c r="I298" i="34"/>
  <c r="H298" i="34"/>
  <c r="G298" i="34"/>
  <c r="F298" i="34"/>
  <c r="E298" i="34"/>
  <c r="D298" i="34"/>
  <c r="C298" i="34"/>
  <c r="J297" i="34"/>
  <c r="J301" i="34" s="1"/>
  <c r="I297" i="34"/>
  <c r="I301" i="34" s="1"/>
  <c r="H297" i="34"/>
  <c r="G297" i="34"/>
  <c r="G301" i="34" s="1"/>
  <c r="F297" i="34"/>
  <c r="F301" i="34" s="1"/>
  <c r="E297" i="34"/>
  <c r="E301" i="34" s="1"/>
  <c r="D297" i="34"/>
  <c r="D301" i="34" s="1"/>
  <c r="C297" i="34"/>
  <c r="C301" i="34" s="1"/>
  <c r="N293" i="34"/>
  <c r="G293" i="34"/>
  <c r="C293" i="34"/>
  <c r="J292" i="34"/>
  <c r="G292" i="34"/>
  <c r="C292" i="34"/>
  <c r="N291" i="34"/>
  <c r="J291" i="34"/>
  <c r="G291" i="34"/>
  <c r="C291" i="34"/>
  <c r="N290" i="34"/>
  <c r="J290" i="34"/>
  <c r="G290" i="34"/>
  <c r="C290" i="34"/>
  <c r="G282" i="34"/>
  <c r="D282" i="34"/>
  <c r="K281" i="34"/>
  <c r="F281" i="34"/>
  <c r="B281" i="34"/>
  <c r="M279" i="34"/>
  <c r="B279" i="34"/>
  <c r="L197" i="34"/>
  <c r="I197" i="34"/>
  <c r="G197" i="34"/>
  <c r="E197" i="34"/>
  <c r="C197" i="34"/>
  <c r="L196" i="34"/>
  <c r="I196" i="34"/>
  <c r="G196" i="34"/>
  <c r="E196" i="34"/>
  <c r="C196" i="34"/>
  <c r="L195" i="34"/>
  <c r="I195" i="34"/>
  <c r="G195" i="34"/>
  <c r="E195" i="34"/>
  <c r="C195" i="34"/>
  <c r="L194" i="34"/>
  <c r="I194" i="34"/>
  <c r="G194" i="34"/>
  <c r="E194" i="34"/>
  <c r="C194" i="34"/>
  <c r="L193" i="34"/>
  <c r="I193" i="34"/>
  <c r="G193" i="34"/>
  <c r="E193" i="34"/>
  <c r="C193" i="34"/>
  <c r="L192" i="34"/>
  <c r="I192" i="34"/>
  <c r="G192" i="34"/>
  <c r="E192" i="34"/>
  <c r="C192" i="34"/>
  <c r="L191" i="34"/>
  <c r="I191" i="34"/>
  <c r="G191" i="34"/>
  <c r="E191" i="34"/>
  <c r="C191" i="34"/>
  <c r="L190" i="34"/>
  <c r="I190" i="34"/>
  <c r="G190" i="34"/>
  <c r="E190" i="34"/>
  <c r="C190" i="34"/>
  <c r="C187" i="34"/>
  <c r="M186" i="34"/>
  <c r="F186" i="34"/>
  <c r="M185" i="34"/>
  <c r="B185" i="34"/>
  <c r="L170" i="34"/>
  <c r="K170" i="34"/>
  <c r="J170" i="34"/>
  <c r="I170" i="34"/>
  <c r="H170" i="34"/>
  <c r="M169" i="34"/>
  <c r="G169" i="34"/>
  <c r="E169" i="34"/>
  <c r="D169" i="34"/>
  <c r="C169" i="34"/>
  <c r="M168" i="34"/>
  <c r="G168" i="34"/>
  <c r="E168" i="34"/>
  <c r="D168" i="34"/>
  <c r="C168" i="34"/>
  <c r="M167" i="34"/>
  <c r="G167" i="34"/>
  <c r="E167" i="34"/>
  <c r="D167" i="34"/>
  <c r="C167" i="34"/>
  <c r="M166" i="34"/>
  <c r="G166" i="34"/>
  <c r="E166" i="34"/>
  <c r="D166" i="34"/>
  <c r="C166" i="34"/>
  <c r="M165" i="34"/>
  <c r="G165" i="34"/>
  <c r="D165" i="34"/>
  <c r="C165" i="34"/>
  <c r="G164" i="34"/>
  <c r="E164" i="34"/>
  <c r="D164" i="34"/>
  <c r="C164" i="34"/>
  <c r="M163" i="34"/>
  <c r="G163" i="34"/>
  <c r="E163" i="34"/>
  <c r="D163" i="34"/>
  <c r="M162" i="34"/>
  <c r="G162" i="34"/>
  <c r="E162" i="34"/>
  <c r="D162" i="34"/>
  <c r="F174" i="34" s="1"/>
  <c r="C162" i="34"/>
  <c r="B155" i="34"/>
  <c r="B149" i="34"/>
  <c r="D149" i="34" s="1"/>
  <c r="B148" i="34"/>
  <c r="E148" i="34" s="1"/>
  <c r="B147" i="34"/>
  <c r="D147" i="34" s="1"/>
  <c r="B146" i="34"/>
  <c r="E146" i="34" s="1"/>
  <c r="B145" i="34"/>
  <c r="C145" i="34" s="1"/>
  <c r="B144" i="34"/>
  <c r="D144" i="34" s="1"/>
  <c r="B143" i="34"/>
  <c r="E143" i="34" s="1"/>
  <c r="B142" i="34"/>
  <c r="E142" i="34" s="1"/>
  <c r="E133" i="34"/>
  <c r="D133" i="34"/>
  <c r="C133" i="34"/>
  <c r="E132" i="34"/>
  <c r="D132" i="34"/>
  <c r="C132" i="34"/>
  <c r="E131" i="34"/>
  <c r="D131" i="34"/>
  <c r="C131" i="34"/>
  <c r="E130" i="34"/>
  <c r="D130" i="34"/>
  <c r="C130" i="34"/>
  <c r="D129" i="34"/>
  <c r="C129" i="34"/>
  <c r="E128" i="34"/>
  <c r="D128" i="34"/>
  <c r="C128" i="34"/>
  <c r="E127" i="34"/>
  <c r="D127" i="34"/>
  <c r="E126" i="34"/>
  <c r="D126" i="34"/>
  <c r="C126" i="34"/>
  <c r="E118" i="34"/>
  <c r="D118" i="34"/>
  <c r="C118" i="34"/>
  <c r="E117" i="34"/>
  <c r="D117" i="34"/>
  <c r="C117" i="34"/>
  <c r="E116" i="34"/>
  <c r="D116" i="34"/>
  <c r="C116" i="34"/>
  <c r="E115" i="34"/>
  <c r="D115" i="34"/>
  <c r="C115" i="34"/>
  <c r="D114" i="34"/>
  <c r="C114" i="34"/>
  <c r="E113" i="34"/>
  <c r="D113" i="34"/>
  <c r="C113" i="34"/>
  <c r="E112" i="34"/>
  <c r="D112" i="34"/>
  <c r="E111" i="34"/>
  <c r="D111" i="34"/>
  <c r="C111" i="34"/>
  <c r="E103" i="34"/>
  <c r="D103" i="34"/>
  <c r="C103" i="34"/>
  <c r="E102" i="34"/>
  <c r="D102" i="34"/>
  <c r="C102" i="34"/>
  <c r="E101" i="34"/>
  <c r="D101" i="34"/>
  <c r="C101" i="34"/>
  <c r="E100" i="34"/>
  <c r="D100" i="34"/>
  <c r="C100" i="34"/>
  <c r="D99" i="34"/>
  <c r="C99" i="34"/>
  <c r="E98" i="34"/>
  <c r="D98" i="34"/>
  <c r="C98" i="34"/>
  <c r="E97" i="34"/>
  <c r="D97" i="34"/>
  <c r="E96" i="34"/>
  <c r="D96" i="34"/>
  <c r="C96" i="34"/>
  <c r="M335" i="34"/>
  <c r="M334" i="34"/>
  <c r="M331" i="34"/>
  <c r="M330" i="34"/>
  <c r="M329" i="34"/>
  <c r="M328" i="34"/>
  <c r="M327" i="34"/>
  <c r="M326" i="34"/>
  <c r="M325" i="34"/>
  <c r="M324" i="34"/>
  <c r="M323" i="34"/>
  <c r="D23" i="34"/>
  <c r="E23" i="34" s="1"/>
  <c r="D18" i="34"/>
  <c r="C20" i="34" s="1"/>
  <c r="C311" i="34"/>
  <c r="D13" i="34"/>
  <c r="D12" i="34"/>
  <c r="E157" i="34" s="1"/>
  <c r="K9" i="34"/>
  <c r="G6" i="34"/>
  <c r="N162" i="34" l="1"/>
  <c r="D15" i="34"/>
  <c r="F15" i="34" s="1"/>
  <c r="B157" i="34"/>
  <c r="H157" i="34"/>
  <c r="H159" i="34" s="1"/>
  <c r="H301" i="34"/>
  <c r="D104" i="34"/>
  <c r="C107" i="34" s="1"/>
  <c r="D107" i="34" s="1"/>
  <c r="D119" i="34"/>
  <c r="C122" i="34" s="1"/>
  <c r="D122" i="34" s="1"/>
  <c r="K157" i="34"/>
  <c r="K159" i="34" s="1"/>
  <c r="N157" i="34"/>
  <c r="N159" i="34" s="1"/>
  <c r="E159" i="34"/>
  <c r="F166" i="34"/>
  <c r="F118" i="34"/>
  <c r="H307" i="34"/>
  <c r="F131" i="34"/>
  <c r="F133" i="34"/>
  <c r="F162" i="34"/>
  <c r="F165" i="34"/>
  <c r="E170" i="34"/>
  <c r="D175" i="34" s="1"/>
  <c r="C175" i="34" s="1"/>
  <c r="F127" i="34"/>
  <c r="D134" i="34"/>
  <c r="C137" i="34" s="1"/>
  <c r="D137" i="34" s="1"/>
  <c r="F112" i="34"/>
  <c r="F167" i="34"/>
  <c r="F168" i="34"/>
  <c r="M170" i="34"/>
  <c r="L188" i="34" s="1"/>
  <c r="D170" i="34"/>
  <c r="D174" i="34" s="1"/>
  <c r="C174" i="34" s="1"/>
  <c r="K174" i="34"/>
  <c r="F99" i="34"/>
  <c r="F102" i="34"/>
  <c r="F111" i="34"/>
  <c r="E119" i="34"/>
  <c r="C123" i="34" s="1"/>
  <c r="D123" i="34" s="1"/>
  <c r="F114" i="34"/>
  <c r="F115" i="34"/>
  <c r="F117" i="34"/>
  <c r="C134" i="34"/>
  <c r="C136" i="34" s="1"/>
  <c r="D136" i="34" s="1"/>
  <c r="E134" i="34"/>
  <c r="C138" i="34" s="1"/>
  <c r="D138" i="34" s="1"/>
  <c r="F129" i="34"/>
  <c r="F169" i="34"/>
  <c r="F97" i="34"/>
  <c r="F98" i="34"/>
  <c r="F100" i="34"/>
  <c r="F103" i="34"/>
  <c r="F113" i="34"/>
  <c r="F116" i="34"/>
  <c r="F128" i="34"/>
  <c r="E144" i="34"/>
  <c r="C147" i="34"/>
  <c r="C149" i="34"/>
  <c r="F163" i="34"/>
  <c r="N163" i="34"/>
  <c r="N165" i="34"/>
  <c r="N166" i="34"/>
  <c r="N167" i="34"/>
  <c r="N169" i="34"/>
  <c r="F130" i="34"/>
  <c r="F132" i="34"/>
  <c r="D143" i="34"/>
  <c r="F143" i="34" s="1"/>
  <c r="C144" i="34"/>
  <c r="F144" i="34" s="1"/>
  <c r="E147" i="34"/>
  <c r="E149" i="34"/>
  <c r="N168" i="34"/>
  <c r="F164" i="34"/>
  <c r="N164" i="34"/>
  <c r="D19" i="34"/>
  <c r="F19" i="34" s="1"/>
  <c r="G187" i="34"/>
  <c r="C104" i="34"/>
  <c r="C106" i="34" s="1"/>
  <c r="D106" i="34" s="1"/>
  <c r="E104" i="34"/>
  <c r="C108" i="34" s="1"/>
  <c r="D108" i="34" s="1"/>
  <c r="F101" i="34"/>
  <c r="C314" i="34"/>
  <c r="K187" i="34"/>
  <c r="F96" i="34"/>
  <c r="D177" i="34"/>
  <c r="C119" i="34"/>
  <c r="C121" i="34" s="1"/>
  <c r="D121" i="34" s="1"/>
  <c r="F126" i="34"/>
  <c r="D142" i="34"/>
  <c r="D145" i="34"/>
  <c r="F145" i="34" s="1"/>
  <c r="D146" i="34"/>
  <c r="D148" i="34"/>
  <c r="C170" i="34"/>
  <c r="D173" i="34" s="1"/>
  <c r="C173" i="34" s="1"/>
  <c r="C142" i="34"/>
  <c r="C146" i="34"/>
  <c r="C148" i="34"/>
  <c r="D14" i="33"/>
  <c r="C157" i="34" l="1"/>
  <c r="B159" i="34"/>
  <c r="F170" i="34"/>
  <c r="F147" i="34"/>
  <c r="F134" i="34"/>
  <c r="B138" i="34" s="1"/>
  <c r="F119" i="34"/>
  <c r="B122" i="34" s="1"/>
  <c r="D444" i="34"/>
  <c r="F148" i="34"/>
  <c r="F146" i="34"/>
  <c r="H174" i="34"/>
  <c r="M174" i="34"/>
  <c r="F104" i="34"/>
  <c r="B107" i="34" s="1"/>
  <c r="E150" i="34"/>
  <c r="C154" i="34" s="1"/>
  <c r="D154" i="34" s="1"/>
  <c r="K306" i="34" s="1"/>
  <c r="F149" i="34"/>
  <c r="D150" i="34"/>
  <c r="C150" i="34"/>
  <c r="F142" i="34"/>
  <c r="B378" i="33"/>
  <c r="B377" i="33"/>
  <c r="B137" i="34" l="1"/>
  <c r="B175" i="34"/>
  <c r="M444" i="34" s="1"/>
  <c r="K171" i="34"/>
  <c r="B136" i="34"/>
  <c r="B173" i="34"/>
  <c r="G444" i="34" s="1"/>
  <c r="L171" i="34"/>
  <c r="B174" i="34"/>
  <c r="J444" i="34" s="1"/>
  <c r="J171" i="34"/>
  <c r="I171" i="34"/>
  <c r="H171" i="34"/>
  <c r="B121" i="34"/>
  <c r="B123" i="34"/>
  <c r="B108" i="34"/>
  <c r="B106" i="34"/>
  <c r="E306" i="34"/>
  <c r="F150" i="34"/>
  <c r="E304" i="34"/>
  <c r="C152" i="34"/>
  <c r="D152" i="34" s="1"/>
  <c r="E305" i="34"/>
  <c r="C153" i="34"/>
  <c r="D153" i="34" s="1"/>
  <c r="K305" i="34" s="1"/>
  <c r="B379" i="33"/>
  <c r="N293" i="33"/>
  <c r="M171" i="34" l="1"/>
  <c r="K304" i="34"/>
  <c r="K307" i="34" s="1"/>
  <c r="D155" i="34"/>
  <c r="F417" i="33"/>
  <c r="P26" i="33" l="1"/>
  <c r="L374" i="33" l="1"/>
  <c r="B374" i="33"/>
  <c r="G379" i="33"/>
  <c r="F379" i="33"/>
  <c r="E379" i="33"/>
  <c r="D379" i="33"/>
  <c r="C379" i="33"/>
  <c r="C166" i="33"/>
  <c r="D166" i="33"/>
  <c r="E166" i="33"/>
  <c r="G166" i="33"/>
  <c r="D167" i="33"/>
  <c r="E167" i="33"/>
  <c r="G167" i="33"/>
  <c r="C168" i="33"/>
  <c r="D168" i="33"/>
  <c r="E168" i="33"/>
  <c r="G168" i="33"/>
  <c r="F166" i="33" l="1"/>
  <c r="F167" i="33"/>
  <c r="F168" i="33"/>
  <c r="F26" i="33"/>
  <c r="G25" i="33"/>
  <c r="F25" i="33"/>
  <c r="K188" i="33"/>
  <c r="F368" i="33"/>
  <c r="F363" i="33"/>
  <c r="L338" i="33"/>
  <c r="J338" i="33"/>
  <c r="H338" i="33"/>
  <c r="F338" i="33"/>
  <c r="D338" i="33"/>
  <c r="L337" i="33"/>
  <c r="J337" i="33"/>
  <c r="H337" i="33"/>
  <c r="F337" i="33"/>
  <c r="D337" i="33"/>
  <c r="L334" i="33"/>
  <c r="J334" i="33"/>
  <c r="H334" i="33"/>
  <c r="F334" i="33"/>
  <c r="D334" i="33"/>
  <c r="L333" i="33"/>
  <c r="J333" i="33"/>
  <c r="H333" i="33"/>
  <c r="F333" i="33"/>
  <c r="D333" i="33"/>
  <c r="L332" i="33"/>
  <c r="J332" i="33"/>
  <c r="H332" i="33"/>
  <c r="F332" i="33"/>
  <c r="D332" i="33"/>
  <c r="L331" i="33"/>
  <c r="J331" i="33"/>
  <c r="H331" i="33"/>
  <c r="F331" i="33"/>
  <c r="D331" i="33"/>
  <c r="L330" i="33"/>
  <c r="J330" i="33"/>
  <c r="H330" i="33"/>
  <c r="F330" i="33"/>
  <c r="D330" i="33"/>
  <c r="L329" i="33"/>
  <c r="J329" i="33"/>
  <c r="H329" i="33"/>
  <c r="F329" i="33"/>
  <c r="D329" i="33"/>
  <c r="L328" i="33"/>
  <c r="J328" i="33"/>
  <c r="H328" i="33"/>
  <c r="F328" i="33"/>
  <c r="D328" i="33"/>
  <c r="L327" i="33"/>
  <c r="J327" i="33"/>
  <c r="H327" i="33"/>
  <c r="F327" i="33"/>
  <c r="D327" i="33"/>
  <c r="L326" i="33"/>
  <c r="J326" i="33"/>
  <c r="H326" i="33"/>
  <c r="F326" i="33"/>
  <c r="D326" i="33"/>
  <c r="C319" i="33"/>
  <c r="C318" i="33"/>
  <c r="C317" i="33"/>
  <c r="C315" i="33"/>
  <c r="C312" i="33"/>
  <c r="H307" i="33"/>
  <c r="H306" i="33"/>
  <c r="H305" i="33"/>
  <c r="J300" i="33"/>
  <c r="I300" i="33"/>
  <c r="H300" i="33"/>
  <c r="G300" i="33"/>
  <c r="F300" i="33"/>
  <c r="E300" i="33"/>
  <c r="D300" i="33"/>
  <c r="C300" i="33"/>
  <c r="J299" i="33"/>
  <c r="I299" i="33"/>
  <c r="H299" i="33"/>
  <c r="G299" i="33"/>
  <c r="F299" i="33"/>
  <c r="E299" i="33"/>
  <c r="D299" i="33"/>
  <c r="C299" i="33"/>
  <c r="J298" i="33"/>
  <c r="J302" i="33" s="1"/>
  <c r="I298" i="33"/>
  <c r="I302" i="33" s="1"/>
  <c r="H298" i="33"/>
  <c r="G298" i="33"/>
  <c r="G302" i="33" s="1"/>
  <c r="F298" i="33"/>
  <c r="F302" i="33" s="1"/>
  <c r="E298" i="33"/>
  <c r="E302" i="33" s="1"/>
  <c r="D298" i="33"/>
  <c r="D302" i="33" s="1"/>
  <c r="C298" i="33"/>
  <c r="C302" i="33" s="1"/>
  <c r="N294" i="33"/>
  <c r="G294" i="33"/>
  <c r="C294" i="33"/>
  <c r="J293" i="33"/>
  <c r="G293" i="33"/>
  <c r="C293" i="33"/>
  <c r="N292" i="33"/>
  <c r="J292" i="33"/>
  <c r="G292" i="33"/>
  <c r="C292" i="33"/>
  <c r="N291" i="33"/>
  <c r="J291" i="33"/>
  <c r="G291" i="33"/>
  <c r="C291" i="33"/>
  <c r="B282" i="33"/>
  <c r="M280" i="33"/>
  <c r="I280" i="33"/>
  <c r="B280" i="33"/>
  <c r="L199" i="33"/>
  <c r="I199" i="33"/>
  <c r="G199" i="33"/>
  <c r="E199" i="33"/>
  <c r="C199" i="33"/>
  <c r="L198" i="33"/>
  <c r="I198" i="33"/>
  <c r="G198" i="33"/>
  <c r="E198" i="33"/>
  <c r="C198" i="33"/>
  <c r="L197" i="33"/>
  <c r="I197" i="33"/>
  <c r="G197" i="33"/>
  <c r="E197" i="33"/>
  <c r="C197" i="33"/>
  <c r="L196" i="33"/>
  <c r="G196" i="33"/>
  <c r="E196" i="33"/>
  <c r="C196" i="33"/>
  <c r="L195" i="33"/>
  <c r="I195" i="33"/>
  <c r="G195" i="33"/>
  <c r="E195" i="33"/>
  <c r="C195" i="33"/>
  <c r="L194" i="33"/>
  <c r="I194" i="33"/>
  <c r="G194" i="33"/>
  <c r="E194" i="33"/>
  <c r="C194" i="33"/>
  <c r="L193" i="33"/>
  <c r="I193" i="33"/>
  <c r="G193" i="33"/>
  <c r="E193" i="33"/>
  <c r="C193" i="33"/>
  <c r="L192" i="33"/>
  <c r="I192" i="33"/>
  <c r="G192" i="33"/>
  <c r="E192" i="33"/>
  <c r="C192" i="33"/>
  <c r="C188" i="33"/>
  <c r="M187" i="33"/>
  <c r="F187" i="33"/>
  <c r="B187" i="33"/>
  <c r="M186" i="33"/>
  <c r="I186" i="33"/>
  <c r="B186" i="33"/>
  <c r="L174" i="33"/>
  <c r="K174" i="33"/>
  <c r="J174" i="33"/>
  <c r="I174" i="33"/>
  <c r="H174" i="33"/>
  <c r="M173" i="33"/>
  <c r="G173" i="33"/>
  <c r="E173" i="33"/>
  <c r="D173" i="33"/>
  <c r="C173" i="33"/>
  <c r="M172" i="33"/>
  <c r="G172" i="33"/>
  <c r="E172" i="33"/>
  <c r="D172" i="33"/>
  <c r="C172" i="33"/>
  <c r="M171" i="33"/>
  <c r="G171" i="33"/>
  <c r="E171" i="33"/>
  <c r="D171" i="33"/>
  <c r="C171" i="33"/>
  <c r="M170" i="33"/>
  <c r="G170" i="33"/>
  <c r="E170" i="33"/>
  <c r="D170" i="33"/>
  <c r="C170" i="33"/>
  <c r="M169" i="33"/>
  <c r="G169" i="33"/>
  <c r="D169" i="33"/>
  <c r="C169" i="33"/>
  <c r="M168" i="33"/>
  <c r="M167" i="33"/>
  <c r="M166" i="33"/>
  <c r="F178" i="33"/>
  <c r="B155" i="33"/>
  <c r="B149" i="33"/>
  <c r="E149" i="33" s="1"/>
  <c r="B148" i="33"/>
  <c r="D148" i="33" s="1"/>
  <c r="B147" i="33"/>
  <c r="E147" i="33" s="1"/>
  <c r="B146" i="33"/>
  <c r="D146" i="33" s="1"/>
  <c r="B145" i="33"/>
  <c r="D145" i="33" s="1"/>
  <c r="B144" i="33"/>
  <c r="E144" i="33" s="1"/>
  <c r="B143" i="33"/>
  <c r="D143" i="33" s="1"/>
  <c r="B142" i="33"/>
  <c r="D142" i="33" s="1"/>
  <c r="E133" i="33"/>
  <c r="D133" i="33"/>
  <c r="C133" i="33"/>
  <c r="E132" i="33"/>
  <c r="D132" i="33"/>
  <c r="C132" i="33"/>
  <c r="E131" i="33"/>
  <c r="D131" i="33"/>
  <c r="C131" i="33"/>
  <c r="E130" i="33"/>
  <c r="D130" i="33"/>
  <c r="C130" i="33"/>
  <c r="D129" i="33"/>
  <c r="C129" i="33"/>
  <c r="E128" i="33"/>
  <c r="D128" i="33"/>
  <c r="C128" i="33"/>
  <c r="E127" i="33"/>
  <c r="D127" i="33"/>
  <c r="E126" i="33"/>
  <c r="D126" i="33"/>
  <c r="C126" i="33"/>
  <c r="E118" i="33"/>
  <c r="D118" i="33"/>
  <c r="C118" i="33"/>
  <c r="E117" i="33"/>
  <c r="D117" i="33"/>
  <c r="C117" i="33"/>
  <c r="E116" i="33"/>
  <c r="D116" i="33"/>
  <c r="C116" i="33"/>
  <c r="E115" i="33"/>
  <c r="D115" i="33"/>
  <c r="C115" i="33"/>
  <c r="D114" i="33"/>
  <c r="C114" i="33"/>
  <c r="E113" i="33"/>
  <c r="D113" i="33"/>
  <c r="C113" i="33"/>
  <c r="E112" i="33"/>
  <c r="D112" i="33"/>
  <c r="E111" i="33"/>
  <c r="D111" i="33"/>
  <c r="C111" i="33"/>
  <c r="E103" i="33"/>
  <c r="D103" i="33"/>
  <c r="C103" i="33"/>
  <c r="E102" i="33"/>
  <c r="D102" i="33"/>
  <c r="C102" i="33"/>
  <c r="E101" i="33"/>
  <c r="D101" i="33"/>
  <c r="C101" i="33"/>
  <c r="E100" i="33"/>
  <c r="D100" i="33"/>
  <c r="C100" i="33"/>
  <c r="D99" i="33"/>
  <c r="C99" i="33"/>
  <c r="E98" i="33"/>
  <c r="D98" i="33"/>
  <c r="C98" i="33"/>
  <c r="E97" i="33"/>
  <c r="D97" i="33"/>
  <c r="E96" i="33"/>
  <c r="D96" i="33"/>
  <c r="C96" i="33"/>
  <c r="M338" i="33"/>
  <c r="M337" i="33"/>
  <c r="M334" i="33"/>
  <c r="M333" i="33"/>
  <c r="M332" i="33"/>
  <c r="M331" i="33"/>
  <c r="M330" i="33"/>
  <c r="M329" i="33"/>
  <c r="M328" i="33"/>
  <c r="M327" i="33"/>
  <c r="M326" i="33"/>
  <c r="G6" i="33"/>
  <c r="D104" i="33" l="1"/>
  <c r="C107" i="33" s="1"/>
  <c r="D107" i="33" s="1"/>
  <c r="F97" i="33"/>
  <c r="F101" i="33"/>
  <c r="F103" i="33"/>
  <c r="D119" i="33"/>
  <c r="C122" i="33" s="1"/>
  <c r="D122" i="33" s="1"/>
  <c r="F112" i="33"/>
  <c r="F113" i="33"/>
  <c r="D134" i="33"/>
  <c r="C137" i="33" s="1"/>
  <c r="D137" i="33" s="1"/>
  <c r="F127" i="33"/>
  <c r="F131" i="33"/>
  <c r="F115" i="33"/>
  <c r="F117" i="33"/>
  <c r="C174" i="33"/>
  <c r="D177" i="33" s="1"/>
  <c r="C177" i="33" s="1"/>
  <c r="F133" i="33"/>
  <c r="C142" i="33"/>
  <c r="E174" i="33"/>
  <c r="D179" i="33" s="1"/>
  <c r="D362" i="33" s="1"/>
  <c r="N166" i="33"/>
  <c r="N167" i="33"/>
  <c r="N168" i="33"/>
  <c r="F169" i="33"/>
  <c r="N169" i="33"/>
  <c r="N170" i="33"/>
  <c r="N171" i="33"/>
  <c r="N172" i="33"/>
  <c r="N173" i="33"/>
  <c r="H302" i="33"/>
  <c r="H308" i="33"/>
  <c r="F96" i="33"/>
  <c r="E104" i="33"/>
  <c r="C108" i="33" s="1"/>
  <c r="D108" i="33" s="1"/>
  <c r="F98" i="33"/>
  <c r="F99" i="33"/>
  <c r="F100" i="33"/>
  <c r="F102" i="33"/>
  <c r="C119" i="33"/>
  <c r="C121" i="33" s="1"/>
  <c r="D121" i="33" s="1"/>
  <c r="E119" i="33"/>
  <c r="C123" i="33" s="1"/>
  <c r="D123" i="33" s="1"/>
  <c r="F114" i="33"/>
  <c r="F116" i="33"/>
  <c r="F118" i="33"/>
  <c r="F126" i="33"/>
  <c r="E134" i="33"/>
  <c r="C138" i="33" s="1"/>
  <c r="D138" i="33" s="1"/>
  <c r="F128" i="33"/>
  <c r="F129" i="33"/>
  <c r="F130" i="33"/>
  <c r="F132" i="33"/>
  <c r="E142" i="33"/>
  <c r="F142" i="33" s="1"/>
  <c r="C145" i="33"/>
  <c r="F145" i="33" s="1"/>
  <c r="C146" i="33"/>
  <c r="C148" i="33"/>
  <c r="K178" i="33"/>
  <c r="K361" i="33" s="1"/>
  <c r="F170" i="33"/>
  <c r="F171" i="33"/>
  <c r="F172" i="33"/>
  <c r="F173" i="33"/>
  <c r="E146" i="33"/>
  <c r="E148" i="33"/>
  <c r="D360" i="33"/>
  <c r="F361" i="33"/>
  <c r="C104" i="33"/>
  <c r="C106" i="33" s="1"/>
  <c r="D106" i="33" s="1"/>
  <c r="F111" i="33"/>
  <c r="C134" i="33"/>
  <c r="C136" i="33" s="1"/>
  <c r="D136" i="33" s="1"/>
  <c r="E143" i="33"/>
  <c r="D144" i="33"/>
  <c r="D147" i="33"/>
  <c r="D149" i="33"/>
  <c r="D174" i="33"/>
  <c r="M174" i="33"/>
  <c r="L189" i="33" s="1"/>
  <c r="C316" i="33"/>
  <c r="C144" i="33"/>
  <c r="C147" i="33"/>
  <c r="C149" i="33"/>
  <c r="F27" i="33" l="1"/>
  <c r="D29" i="33"/>
  <c r="F148" i="33"/>
  <c r="F174" i="33"/>
  <c r="H175" i="33" s="1"/>
  <c r="F119" i="33"/>
  <c r="B122" i="33" s="1"/>
  <c r="C179" i="33"/>
  <c r="C362" i="33" s="1"/>
  <c r="E150" i="33"/>
  <c r="E307" i="33" s="1"/>
  <c r="F134" i="33"/>
  <c r="B138" i="33" s="1"/>
  <c r="F146" i="33"/>
  <c r="F104" i="33"/>
  <c r="B108" i="33" s="1"/>
  <c r="F147" i="33"/>
  <c r="B136" i="33"/>
  <c r="D150" i="33"/>
  <c r="E306" i="33" s="1"/>
  <c r="F143" i="33"/>
  <c r="D178" i="33"/>
  <c r="B177" i="33"/>
  <c r="B360" i="33" s="1"/>
  <c r="C360" i="33"/>
  <c r="F149" i="33"/>
  <c r="F144" i="33"/>
  <c r="I175" i="33"/>
  <c r="C150" i="33"/>
  <c r="M178" i="33"/>
  <c r="M361" i="33" s="1"/>
  <c r="H178" i="33"/>
  <c r="H361" i="33" s="1"/>
  <c r="E159" i="33" l="1"/>
  <c r="I162" i="33"/>
  <c r="G188" i="33"/>
  <c r="F160" i="33"/>
  <c r="H160" i="33" s="1"/>
  <c r="G27" i="33"/>
  <c r="D181" i="33"/>
  <c r="J363" i="33" s="1"/>
  <c r="H31" i="33"/>
  <c r="H30" i="33"/>
  <c r="H343" i="33" s="1"/>
  <c r="B179" i="33"/>
  <c r="B362" i="33" s="1"/>
  <c r="J175" i="33"/>
  <c r="C154" i="33"/>
  <c r="D154" i="33" s="1"/>
  <c r="K307" i="33" s="1"/>
  <c r="B121" i="33"/>
  <c r="L175" i="33"/>
  <c r="K175" i="33"/>
  <c r="F28" i="33"/>
  <c r="N188" i="33"/>
  <c r="H32" i="33"/>
  <c r="G28" i="33"/>
  <c r="B123" i="33"/>
  <c r="B137" i="33"/>
  <c r="B107" i="33"/>
  <c r="C153" i="33"/>
  <c r="D153" i="33" s="1"/>
  <c r="K306" i="33" s="1"/>
  <c r="B106" i="33"/>
  <c r="F150" i="33"/>
  <c r="C178" i="33"/>
  <c r="D361" i="33"/>
  <c r="C152" i="33"/>
  <c r="D152" i="33" s="1"/>
  <c r="E305" i="33"/>
  <c r="E160" i="33" l="1"/>
  <c r="G160" i="33" s="1"/>
  <c r="H344" i="33"/>
  <c r="I31" i="33"/>
  <c r="I344" i="33" s="1"/>
  <c r="I30" i="33"/>
  <c r="I343" i="33" s="1"/>
  <c r="M175" i="33"/>
  <c r="I32" i="33"/>
  <c r="I345" i="33" s="1"/>
  <c r="H345" i="33"/>
  <c r="G159" i="33"/>
  <c r="F159" i="33"/>
  <c r="K305" i="33"/>
  <c r="K308" i="33" s="1"/>
  <c r="D155" i="33"/>
  <c r="C361" i="33"/>
  <c r="C363" i="33" s="1"/>
  <c r="B178" i="33"/>
  <c r="B361" i="33" s="1"/>
  <c r="B363" i="33" s="1"/>
  <c r="E161" i="33" l="1"/>
  <c r="G161" i="33" s="1"/>
  <c r="H9" i="34"/>
  <c r="B186" i="34"/>
  <c r="I279" i="34"/>
  <c r="Q94" i="36"/>
  <c r="F161" i="33" l="1"/>
  <c r="N186" i="35"/>
  <c r="N278" i="36"/>
  <c r="N187" i="34"/>
  <c r="N233" i="43"/>
</calcChain>
</file>

<file path=xl/sharedStrings.xml><?xml version="1.0" encoding="utf-8"?>
<sst xmlns="http://schemas.openxmlformats.org/spreadsheetml/2006/main" count="7950" uniqueCount="674">
  <si>
    <t>HOSPITAL GENERAL REGIONAL No. 36</t>
  </si>
  <si>
    <t>DEPARTAMENTO DE NUTRICION Y DIETETICA</t>
  </si>
  <si>
    <t>NOMBRE</t>
  </si>
  <si>
    <t>FECHA</t>
  </si>
  <si>
    <t>EDAD</t>
  </si>
  <si>
    <t>AÑOS</t>
  </si>
  <si>
    <t>PESO  ACTUAL</t>
  </si>
  <si>
    <t>KGS</t>
  </si>
  <si>
    <t>PESO IDEAL</t>
  </si>
  <si>
    <t>RANGO INFERIOR</t>
  </si>
  <si>
    <t>RANGO SUPERIOR</t>
  </si>
  <si>
    <t>TALLA</t>
  </si>
  <si>
    <t>METROS</t>
  </si>
  <si>
    <t>IMC</t>
  </si>
  <si>
    <t>KGS/m</t>
  </si>
  <si>
    <t>CLASIFICACION</t>
  </si>
  <si>
    <t>CINTURA</t>
  </si>
  <si>
    <t>CMS</t>
  </si>
  <si>
    <t>CADERA</t>
  </si>
  <si>
    <t>I.C.C</t>
  </si>
  <si>
    <t>PERFIL BIOQUIMICO</t>
  </si>
  <si>
    <t>PERFIL HEMATOLOGICO</t>
  </si>
  <si>
    <t>HEMOGLOBINA</t>
  </si>
  <si>
    <t>HEMATOCRITOS</t>
  </si>
  <si>
    <t>LEUCOCITOS</t>
  </si>
  <si>
    <t>GLUCOSA</t>
  </si>
  <si>
    <t>UREA</t>
  </si>
  <si>
    <t>ACIDO URICO</t>
  </si>
  <si>
    <t>CREATININA</t>
  </si>
  <si>
    <t>PROTEINAS</t>
  </si>
  <si>
    <t>PROTEINAS TOTALES</t>
  </si>
  <si>
    <t>ALBUMINA</t>
  </si>
  <si>
    <t>PERFIL DE LIPIDOS</t>
  </si>
  <si>
    <t>COLESTEROL</t>
  </si>
  <si>
    <t>TRIGLICERIDOS</t>
  </si>
  <si>
    <t>ESPECIALES</t>
  </si>
  <si>
    <t>BALANCE NITROGENADO</t>
  </si>
  <si>
    <t>RECORDATORIO DE 24 HORAS</t>
  </si>
  <si>
    <t>INGESTA DIARIA</t>
  </si>
  <si>
    <t>RAC</t>
  </si>
  <si>
    <t>H.C</t>
  </si>
  <si>
    <t>prot</t>
  </si>
  <si>
    <t>lip</t>
  </si>
  <si>
    <t>kcals</t>
  </si>
  <si>
    <t>leche</t>
  </si>
  <si>
    <t>carne</t>
  </si>
  <si>
    <t>fruta</t>
  </si>
  <si>
    <t>vegetales</t>
  </si>
  <si>
    <t>cer.y tub</t>
  </si>
  <si>
    <t>leguminosas</t>
  </si>
  <si>
    <t>grasas</t>
  </si>
  <si>
    <t>azucar</t>
  </si>
  <si>
    <t>%</t>
  </si>
  <si>
    <t>GRS</t>
  </si>
  <si>
    <t>KCALS</t>
  </si>
  <si>
    <t>H. DE C.</t>
  </si>
  <si>
    <t>LIPIDOS</t>
  </si>
  <si>
    <t>GEB</t>
  </si>
  <si>
    <t>GET</t>
  </si>
  <si>
    <t>raciones</t>
  </si>
  <si>
    <t>hid.Carb</t>
  </si>
  <si>
    <t>desayuno</t>
  </si>
  <si>
    <t>col. Mat.</t>
  </si>
  <si>
    <t>comida</t>
  </si>
  <si>
    <t>col.vesp.</t>
  </si>
  <si>
    <t>cena</t>
  </si>
  <si>
    <t>leg</t>
  </si>
  <si>
    <t>g</t>
  </si>
  <si>
    <t>P.O.A</t>
  </si>
  <si>
    <t>grs</t>
  </si>
  <si>
    <t>P.O.V</t>
  </si>
  <si>
    <t>INSTITUTO MEXICANO DEL SEGURO SOCIAL</t>
  </si>
  <si>
    <t>años</t>
  </si>
  <si>
    <t>SEXO</t>
  </si>
  <si>
    <t>PESO ACTUAL</t>
  </si>
  <si>
    <t>kgs</t>
  </si>
  <si>
    <t>ESTATURA</t>
  </si>
  <si>
    <t>ICC</t>
  </si>
  <si>
    <t>DIAGNOSTICO</t>
  </si>
  <si>
    <t>Tx DIETETICO</t>
  </si>
  <si>
    <t>kCALS</t>
  </si>
  <si>
    <t>ALIMENTO</t>
  </si>
  <si>
    <t>DESAYUNO</t>
  </si>
  <si>
    <t>COL. MATUTINA</t>
  </si>
  <si>
    <t>COMIDA</t>
  </si>
  <si>
    <t>COL. VESPERT.</t>
  </si>
  <si>
    <t>CENA</t>
  </si>
  <si>
    <t>LECHE</t>
  </si>
  <si>
    <t>CARNE</t>
  </si>
  <si>
    <t>FRUTAS</t>
  </si>
  <si>
    <t>VEGETALES</t>
  </si>
  <si>
    <t>PAN Y SUST.</t>
  </si>
  <si>
    <t>LEGUMINOSAS</t>
  </si>
  <si>
    <t>GRASAS</t>
  </si>
  <si>
    <t>AZUCARES</t>
  </si>
  <si>
    <t>GRUPO DE LECHE</t>
  </si>
  <si>
    <t>Leche descremada o light      1 taza  200ml.</t>
  </si>
  <si>
    <t>GRUPO DE VEGETALES</t>
  </si>
  <si>
    <t>Yogurt natural o light                           1 taza</t>
  </si>
  <si>
    <t>Queso: Hebra, panela, requesón        30 gr.</t>
  </si>
  <si>
    <t>$</t>
  </si>
  <si>
    <t>GRUPO DE CARNES</t>
  </si>
  <si>
    <t>Res magra                                       30 gramos.</t>
  </si>
  <si>
    <t>GRUPO DE CEREALES</t>
  </si>
  <si>
    <t>Queso panela                                 30 gramos.</t>
  </si>
  <si>
    <t>Bolillo                                                     ½ pieza</t>
  </si>
  <si>
    <t>Queso cottage                               30 gramos.</t>
  </si>
  <si>
    <t>Pan tostado integral                     1 rebanada</t>
  </si>
  <si>
    <t>Salchicha de pavo</t>
  </si>
  <si>
    <t>Tortilla de maíz                                     1 pieza</t>
  </si>
  <si>
    <t>Jamón de pavo</t>
  </si>
  <si>
    <t>Arroz con verduras                                ½ taza</t>
  </si>
  <si>
    <t>Soya</t>
  </si>
  <si>
    <t>Sopa de pasta                                         ½ taza</t>
  </si>
  <si>
    <t>Sardina</t>
  </si>
  <si>
    <t>Avena cocida                                     1/3 tazas</t>
  </si>
  <si>
    <t>Galletas marías                                   5 piezas</t>
  </si>
  <si>
    <t>GRUPO DE FRUTAS</t>
  </si>
  <si>
    <t>Cereal integral                                        ½ taza</t>
  </si>
  <si>
    <t>Capulines                                                1 vaso</t>
  </si>
  <si>
    <t>Amaranto                                    5 cucharadas</t>
  </si>
  <si>
    <t>Ciruela                                                  5 piezas</t>
  </si>
  <si>
    <t>Pan integral                                   1 rebanada</t>
  </si>
  <si>
    <t>Chabacanos                                   4 medianos</t>
  </si>
  <si>
    <t>Galletas integrales                              6 piezas</t>
  </si>
  <si>
    <t>Chicozapote                            1 pieza medina</t>
  </si>
  <si>
    <t>Elote                                                       ½ pieza</t>
  </si>
  <si>
    <t>Durazno                                         2 medianos</t>
  </si>
  <si>
    <t>Papa                                                       ½ pieza</t>
  </si>
  <si>
    <t>Fresas                                                 20 piezas</t>
  </si>
  <si>
    <t>Frijol                                                         ½ taza</t>
  </si>
  <si>
    <t>Guayaba                                        3 medianas</t>
  </si>
  <si>
    <t>Haba                                                        ½ taza</t>
  </si>
  <si>
    <t>Higo fresco                                       2 grandes</t>
  </si>
  <si>
    <t>Lenteja                                                    ½ taza</t>
  </si>
  <si>
    <t>Jícama                                                      1 taza</t>
  </si>
  <si>
    <t>Garbanzos                                              ½ taza</t>
  </si>
  <si>
    <t>Kiwi                                                       2 piezas</t>
  </si>
  <si>
    <t>Alberjones                                              ½ taza</t>
  </si>
  <si>
    <t>Sandía                                  1 taza 150 gamos</t>
  </si>
  <si>
    <t>Soya                                                 20 gramos</t>
  </si>
  <si>
    <t>Toronja                                                  ½ pieza</t>
  </si>
  <si>
    <t>Tuna                         150 gramos o 3 grandes</t>
  </si>
  <si>
    <t>Lima                                                      2 piezas</t>
  </si>
  <si>
    <t>Mandarina                            1 pieza grande</t>
  </si>
  <si>
    <t>Mango                                   1 pieza pequeña</t>
  </si>
  <si>
    <t>Manzana                               1 pieza pequeña</t>
  </si>
  <si>
    <t>Melón                                                       1 taza</t>
  </si>
  <si>
    <t>Naranja                                  1 pieza mediana</t>
  </si>
  <si>
    <t>Papaya                                                     1 taza</t>
  </si>
  <si>
    <t>Pera                                       1 pieza pequeña</t>
  </si>
  <si>
    <t>Piña                                                          1 taza</t>
  </si>
  <si>
    <t>Uvas                                                   18 piezas</t>
  </si>
  <si>
    <t>Zapote                                   1 pieza pequeña</t>
  </si>
  <si>
    <t>GRUPO DE GRASAS</t>
  </si>
  <si>
    <t>Por cada ración de grasa puede consumir  5 gramos o una cucharadita cafetera de:</t>
  </si>
  <si>
    <t>Aceite de maíz, girasol, algodón, cártamo, soya, margarina.</t>
  </si>
  <si>
    <t>Aguacate                                         1/4 pieza</t>
  </si>
  <si>
    <t>Aceitunas                                          4 piezas</t>
  </si>
  <si>
    <t>Cacahuate                                       10 piezas</t>
  </si>
  <si>
    <t>Nueces                                            7 mitades</t>
  </si>
  <si>
    <t>Avellanas                                           8 piezas</t>
  </si>
  <si>
    <t>Pistaches                                         18 piezas</t>
  </si>
  <si>
    <t>RECOMENDACIONES</t>
  </si>
  <si>
    <t>*Debe tener horarios fijos de alimentación.</t>
  </si>
  <si>
    <t>*Respete las cantidades de alimentación que se indique en su dieta.</t>
  </si>
  <si>
    <t>*Tome mínimo 1.5 litros de agua al día.</t>
  </si>
  <si>
    <t>*Coma la fruta y la verdura preferentemente cruda y con cascara.</t>
  </si>
  <si>
    <t>*No comer más cantidades de frutas de las indicadas.</t>
  </si>
  <si>
    <t>*Caminar mínimo 30 minutos diarios.</t>
  </si>
  <si>
    <t>*Asar, hervir, al vapor o al horno sus alimentos y evitar freír, capear o empanizar.</t>
  </si>
  <si>
    <t>Hemoglobina aumentada</t>
  </si>
  <si>
    <t>Quemaduras graves, policitemia, insuficiencia cardiaca, talasemia, enfermedad  pulmonar obstructiva cronica, deshidratacion.</t>
  </si>
  <si>
    <t>HEMOGLOBINA BAJA</t>
  </si>
  <si>
    <t>Anemia, hipertiroidismo,, cirrosis, varias enfermedades sistemicas (leucemia, lupus, Enfermedad  de Hodgkin.</t>
  </si>
  <si>
    <t>HEMATOCRITOS  AUMENTADOS</t>
  </si>
  <si>
    <t>Deshidratacion, policitemia, shock</t>
  </si>
  <si>
    <t>HEMATOCRITOS DISMINUIDOS</t>
  </si>
  <si>
    <t>Anemia  (&lt;30 ) , Perdida sanguinea, hemolisis, leucemia, hipertiroidismo, cirrosis, hiperhidratacion.</t>
  </si>
  <si>
    <t>LEUCOCITOS  AUMENTADOS</t>
  </si>
  <si>
    <t>(Leucocitosis), en leucemia, infeccion bacteriana, hemorragia, traumatismo o lesion tisular, cancer</t>
  </si>
  <si>
    <t>LEUCOCITOS DISMINUIDOS</t>
  </si>
  <si>
    <t>(LEUCOPENIA), en algunas  infecciones virales, quimiotrapia, radiacion, depresion de la medula osea.</t>
  </si>
  <si>
    <t>GLUCOSA  AUMENTADA (AYUNO)</t>
  </si>
  <si>
    <t>(Puede considerarse normal hasta 180mg/dL durante la infusion de nutricion parenteral) Diabetes, Sindrome de Cushing, deficiencia de tiamina, acromegalia, gigantismo, infecciones, graves, pancreatitis, enfermedad hepatica cronica, inactividad fisica prolongada, deficiencia de potasio. Consecuencia del uso de algunos farmacos, ( p.ej., corticoesteroides, dosis elevadas de antihipertensivos, ciclosporina)</t>
  </si>
  <si>
    <t>GLUCOSA DISMINUIDA (AYUNO)</t>
  </si>
  <si>
    <t>Sobredosis de insulina, en carcinoma de pancreas, sepsis bacteriana, hipotiroidismo, En fermedad de Addison, enfermedad hepatica,glucogenosis, abuso de alcohol, privacion alimentaria prolongada, ejercicio extenuante, pancreatitis, farmacos hipoglucemiantes orales, intrerupcion abrupta de nutricion parenteral (principalmente) o enteral, sobretodo en pacientes que reciben hipoglucemientes orales o insulina</t>
  </si>
  <si>
    <t>UREA  AUMENTADA</t>
  </si>
  <si>
    <t>Refleja degradacion proteica endogena (catabolismo)  o exogena (ingesta). Puede indicar el estado de hidratacion del paciente. En  insuficiencia renal, shok, deshidratacion, fiebre, infeccion, diabetes, gota cronica,, ingesta/catabolismo proteico excesivos, infarto de miocardio.</t>
  </si>
  <si>
    <t>UREA DISMINUIDA</t>
  </si>
  <si>
    <t>En insuficiencia hepatica, desnutricion, baja ingesta proteica, malabsorcion, hiperhidratacion,(exceso de liquidos intravenosos), gestacion, emesis,diarrea, anabolismo proteico, sindrome de secresion inadecuada de hormona antidiuretica.</t>
  </si>
  <si>
    <t>ACIDO URICO AUMENTADO</t>
  </si>
  <si>
    <t>Producto del metabolismo de las purinas,  En gota, insuficiencia renal</t>
  </si>
  <si>
    <t>CREATININA  AUMENTADO</t>
  </si>
  <si>
    <t>Es un marcador util y valido del stado nutricional calorico-proteico de pacientes en dialisis. Refleja la suma de la ingesta de alimentos ricos en creatinay en creatinina (p.e carnes) y la produccion endogena de creatinina (musculo esqueletico), menos la excresion urinaria, eliminacion dialitica y degradacion endogena de creatinina. Niveles bajos se asocian con mayor riesgo de mortalidad. Se encuentra aumentada en insuficiencia renal  aguda y cronica, daño muscular, hipertroidismo con el aumento de masa muscular, privacion alimentaria prolongada, acidosis diabetica, ingesta excesiva de carne, gigantismo, acromegalia.</t>
  </si>
  <si>
    <t>CREATININA DISMINUIDA</t>
  </si>
  <si>
    <t>En la gestacion y con la disminucion de la masa muscular.</t>
  </si>
  <si>
    <t>PROTEINAS TOTALES AUMENTADO</t>
  </si>
  <si>
    <t>En deshidratacion, enfermedades con incremento de las globulinas</t>
  </si>
  <si>
    <t>PROTEINAS TOTALES DISMINUIDO</t>
  </si>
  <si>
    <t>En defiiencia proteica, enfermedad hepatica grave, desnutricion, diarrea, quemaduras graves o infeccion, edema, sindrome nefrotico</t>
  </si>
  <si>
    <t>COLESTEROL AUMENTADO</t>
  </si>
  <si>
    <t>Es un marcador valido y clinicamente util para evaluar el estado nutricional calorico- oroteico de pacientes en hemodialisis. Niveles bajos en decliacion son pedictores de riesgo aumentado de mortalidad. Los niveles bajos tambien pueden asociarse con la presencia de estados comorbidos.    Se encuntra aumentado en hiperlipidemia, ictericia obstructiva, diabetes, hipotiroidismo, obesidad, dieta rica en grasas, Factor de riesgo grave de enfermedad cardiovascular.</t>
  </si>
  <si>
    <t>COLESTEROL DISMINUIDO</t>
  </si>
  <si>
    <t>Se encuentra disminuido en malabsorcion, desnutricion, necrosis hepatocelular, estrés, anemia, sepsis, neoplasia maligna del higado, hipertiroidismo, quemaduras extensas, enfrmedad pulmonar obstructiva cronica, artritis reumatoide, anemia megaloblastica, talasemia</t>
  </si>
  <si>
    <t>TRIGLICERIDOS  AUMENTADO</t>
  </si>
  <si>
    <t>Importante en la evaluacion del metabolismo de los lipidos. La administracion intravenosa de emulsiones lipidicas, debe ser cautelosa en los pacientes con niveles elevados.  Se  encuentra elevado en insuficiencia renal, shock, deshidratacion, fiebre, infeccion, diabetes, gota cronica, ingesta/atabolismo proteico excesivos, infarto de miocardio.</t>
  </si>
  <si>
    <t>TOTAL 24 HORAS</t>
  </si>
  <si>
    <t>M</t>
  </si>
  <si>
    <t>INSTITUTO MEXICANO EL SEGURO SOCIAL</t>
  </si>
  <si>
    <t>P.P.C.I</t>
  </si>
  <si>
    <t>REFEREN.</t>
  </si>
  <si>
    <t>3.4- 5.0</t>
  </si>
  <si>
    <t>PLIEGE CUT TRICIPITAL</t>
  </si>
  <si>
    <t>PLIEGE CUT BICIPITAL</t>
  </si>
  <si>
    <t>PLIEGE CUT SUBESC.</t>
  </si>
  <si>
    <t>CIRC. MEDIA  BRAZO</t>
  </si>
  <si>
    <t>UNIDADES</t>
  </si>
  <si>
    <t>mm.</t>
  </si>
  <si>
    <t>g/dl</t>
  </si>
  <si>
    <t>cel/mm</t>
  </si>
  <si>
    <t>mg/dl</t>
  </si>
  <si>
    <t>BUN</t>
  </si>
  <si>
    <t>9.0-20</t>
  </si>
  <si>
    <t>6.4-8.3</t>
  </si>
  <si>
    <t>3.4-7.0</t>
  </si>
  <si>
    <t>12.0-16.0</t>
  </si>
  <si>
    <t>36.0-47</t>
  </si>
  <si>
    <t>4000-11200</t>
  </si>
  <si>
    <t>65-110</t>
  </si>
  <si>
    <t>14.0-44</t>
  </si>
  <si>
    <t>0.5-1.6</t>
  </si>
  <si>
    <t>140-200mg</t>
  </si>
  <si>
    <t>40-160</t>
  </si>
  <si>
    <t>fecha de nacimiento</t>
  </si>
  <si>
    <t>gramos</t>
  </si>
  <si>
    <t>pza</t>
  </si>
  <si>
    <t>DX</t>
  </si>
  <si>
    <t>piezas</t>
  </si>
  <si>
    <t>7 piezas</t>
  </si>
  <si>
    <t xml:space="preserve">Almendras </t>
  </si>
  <si>
    <t>3/4 taza</t>
  </si>
  <si>
    <t>n 40 gr</t>
  </si>
  <si>
    <t>Clara de huevo</t>
  </si>
  <si>
    <t>Atun en agua</t>
  </si>
  <si>
    <t>Pollo sin piel</t>
  </si>
  <si>
    <t>Pescado fresco</t>
  </si>
  <si>
    <t>tazas</t>
  </si>
  <si>
    <t>taza</t>
  </si>
  <si>
    <t>Soya  hidratada</t>
  </si>
  <si>
    <t>soya germinada</t>
  </si>
  <si>
    <t>en hojuelas</t>
  </si>
  <si>
    <t>entero</t>
  </si>
  <si>
    <t>hervida</t>
  </si>
  <si>
    <t>acelgas</t>
  </si>
  <si>
    <t>50 gramos</t>
  </si>
  <si>
    <t>col</t>
  </si>
  <si>
    <t>1/2 taza</t>
  </si>
  <si>
    <t xml:space="preserve">chayote </t>
  </si>
  <si>
    <t>1 pieza</t>
  </si>
  <si>
    <t>chile poblano</t>
  </si>
  <si>
    <t>espinaca cocida</t>
  </si>
  <si>
    <t>espinaca cruda</t>
  </si>
  <si>
    <t>2 tazas</t>
  </si>
  <si>
    <t>huazontle</t>
  </si>
  <si>
    <t xml:space="preserve">jitomate </t>
  </si>
  <si>
    <t>pimiento</t>
  </si>
  <si>
    <t>zanahoria</t>
  </si>
  <si>
    <t>1 /2 taza</t>
  </si>
  <si>
    <t>calabacita cruda</t>
  </si>
  <si>
    <t>1 1/2 taza</t>
  </si>
  <si>
    <t>1 taza</t>
  </si>
  <si>
    <t>calabaza cocida</t>
  </si>
  <si>
    <t xml:space="preserve">betabel </t>
  </si>
  <si>
    <t>1/4 taza</t>
  </si>
  <si>
    <t>chicharo</t>
  </si>
  <si>
    <t xml:space="preserve">hongos </t>
  </si>
  <si>
    <t>3 cucharadas</t>
  </si>
  <si>
    <t>haba verde</t>
  </si>
  <si>
    <t xml:space="preserve">lechuga </t>
  </si>
  <si>
    <t>apio</t>
  </si>
  <si>
    <t>berro</t>
  </si>
  <si>
    <t xml:space="preserve">berenjena </t>
  </si>
  <si>
    <t xml:space="preserve">ejote </t>
  </si>
  <si>
    <t>flor de calabaza</t>
  </si>
  <si>
    <t>nopales</t>
  </si>
  <si>
    <t>romeritos</t>
  </si>
  <si>
    <t>verdolaga cocida</t>
  </si>
  <si>
    <t>brocoli cocido</t>
  </si>
  <si>
    <t>brocoli crudo</t>
  </si>
  <si>
    <t>jicama</t>
  </si>
  <si>
    <t>NSS</t>
  </si>
  <si>
    <t>m.</t>
  </si>
  <si>
    <t>comodo y ropa adecuada y aumente progresivamente el tiempo de ejercicio paulatinamente.</t>
  </si>
  <si>
    <t xml:space="preserve">*Si nunca ha realizado ejercicio inicie con 10 minutos de caminata en superficies planas , con calzado </t>
  </si>
  <si>
    <t>pieza</t>
  </si>
  <si>
    <t>medianas</t>
  </si>
  <si>
    <t>F.A</t>
  </si>
  <si>
    <t>pzas  med.</t>
  </si>
  <si>
    <t>pieza pequeña</t>
  </si>
  <si>
    <t>pza  med.</t>
  </si>
  <si>
    <t>pza peq.</t>
  </si>
  <si>
    <t>rebanada</t>
  </si>
  <si>
    <t>cucharadas</t>
  </si>
  <si>
    <t>OMS</t>
  </si>
  <si>
    <t>Factor de actividad</t>
  </si>
  <si>
    <t>Confinado en cama</t>
  </si>
  <si>
    <t>Fuera de cama</t>
  </si>
  <si>
    <t>Factor de lesion</t>
  </si>
  <si>
    <t>Infeccion</t>
  </si>
  <si>
    <t>Leve</t>
  </si>
  <si>
    <t>Grave</t>
  </si>
  <si>
    <t>Cirugia</t>
  </si>
  <si>
    <t>Mayor</t>
  </si>
  <si>
    <t>Menor</t>
  </si>
  <si>
    <t>Trauma</t>
  </si>
  <si>
    <t>Esqueletico</t>
  </si>
  <si>
    <t>Craneoencefalico</t>
  </si>
  <si>
    <t>Quemaduras</t>
  </si>
  <si>
    <t>40% de la S C</t>
  </si>
  <si>
    <t>100% de la S C</t>
  </si>
  <si>
    <t>H.B</t>
  </si>
  <si>
    <t>DATOS DEL PACIENTE</t>
  </si>
  <si>
    <t>ESCOLARIDAD</t>
  </si>
  <si>
    <t>SECUNDARIA</t>
  </si>
  <si>
    <t>BACHILLER</t>
  </si>
  <si>
    <t>TECNICO</t>
  </si>
  <si>
    <t>PROFESIONAL</t>
  </si>
  <si>
    <t>OCUPACION</t>
  </si>
  <si>
    <t>AMA DE CASA</t>
  </si>
  <si>
    <t>EMPLEADA</t>
  </si>
  <si>
    <t>PENSIONADA</t>
  </si>
  <si>
    <t>COMERCIANTE</t>
  </si>
  <si>
    <t>CAMPO</t>
  </si>
  <si>
    <t>OBRERA</t>
  </si>
  <si>
    <t>No. De familia</t>
  </si>
  <si>
    <t>adultos</t>
  </si>
  <si>
    <t>menores</t>
  </si>
  <si>
    <t>FACTORES QUE INTERVIENEN</t>
  </si>
  <si>
    <t>EJERCICIO</t>
  </si>
  <si>
    <t>SI</t>
  </si>
  <si>
    <t>NO</t>
  </si>
  <si>
    <t>ANTECEDENTES</t>
  </si>
  <si>
    <t>NUTRICIONALES</t>
  </si>
  <si>
    <t>BAJO PESO</t>
  </si>
  <si>
    <t>SOBREPESO</t>
  </si>
  <si>
    <t>DESNUTRICION</t>
  </si>
  <si>
    <t>OBESIDAD</t>
  </si>
  <si>
    <t>PATOLOGICOS</t>
  </si>
  <si>
    <t>HIPERTENSION</t>
  </si>
  <si>
    <t>DIABETES</t>
  </si>
  <si>
    <t>CARDIOPATIAS</t>
  </si>
  <si>
    <t>NEFROPATIAS</t>
  </si>
  <si>
    <t>HEREDITARIOS</t>
  </si>
  <si>
    <t>CANCER</t>
  </si>
  <si>
    <t>GASTRITIS</t>
  </si>
  <si>
    <t>COLITIS</t>
  </si>
  <si>
    <t>OTROS</t>
  </si>
  <si>
    <t>ALCOHOLISMO</t>
  </si>
  <si>
    <t>TABAQUISMO</t>
  </si>
  <si>
    <t>ALERGIAS</t>
  </si>
  <si>
    <t>ALIMENTOS</t>
  </si>
  <si>
    <t>MEDICAMENTOS</t>
  </si>
  <si>
    <t>CANTIDAD DIARIA DE INGESTA DE ALIMENTOS</t>
  </si>
  <si>
    <t xml:space="preserve">CENA </t>
  </si>
  <si>
    <t>COLACION</t>
  </si>
  <si>
    <t>TOTAL</t>
  </si>
  <si>
    <t>FRUTA</t>
  </si>
  <si>
    <t>VERDU.</t>
  </si>
  <si>
    <t>CEREA.</t>
  </si>
  <si>
    <t>LEGU.</t>
  </si>
  <si>
    <t>AZUCAR</t>
  </si>
  <si>
    <t>GRSAS.</t>
  </si>
  <si>
    <t>APORTE NUTRICIONAL</t>
  </si>
  <si>
    <t>HIDRATOS DE CARBONO</t>
  </si>
  <si>
    <t>TOTALES</t>
  </si>
  <si>
    <t>GRAMOS</t>
  </si>
  <si>
    <t>KILOCALORIAS</t>
  </si>
  <si>
    <t xml:space="preserve">    %</t>
  </si>
  <si>
    <t>PERFIL ANTROPOMETRICO</t>
  </si>
  <si>
    <t>P.A</t>
  </si>
  <si>
    <t>P.R</t>
  </si>
  <si>
    <t>% V.P</t>
  </si>
  <si>
    <t>PCT</t>
  </si>
  <si>
    <t>PCSE</t>
  </si>
  <si>
    <t>CMB</t>
  </si>
  <si>
    <t>COMPLEX</t>
  </si>
  <si>
    <t>T.A</t>
  </si>
  <si>
    <t>VALOR INICIAL</t>
  </si>
  <si>
    <t>MONITOREO</t>
  </si>
  <si>
    <t>HEMATOCRITO</t>
  </si>
  <si>
    <t>LEUCOCITO</t>
  </si>
  <si>
    <t>REFER.</t>
  </si>
  <si>
    <t>DIAGNOSTICO NUTRICIONAL</t>
  </si>
  <si>
    <t>PLAN DE MANEJO NUTRICIONAL</t>
  </si>
  <si>
    <t>PROT</t>
  </si>
  <si>
    <t>Fecha</t>
  </si>
  <si>
    <t>PIMARIA</t>
  </si>
  <si>
    <t>O</t>
  </si>
  <si>
    <t>GRAMOS PROT/KG P.I</t>
  </si>
  <si>
    <t>Adultos</t>
  </si>
  <si>
    <t>Menores</t>
  </si>
  <si>
    <t>kg</t>
  </si>
  <si>
    <t>x</t>
  </si>
  <si>
    <t>ELABORO</t>
  </si>
  <si>
    <t>X</t>
  </si>
  <si>
    <t>MASC.</t>
  </si>
  <si>
    <t>MESES</t>
  </si>
  <si>
    <t xml:space="preserve"> </t>
  </si>
  <si>
    <t>KGS.</t>
  </si>
  <si>
    <t>CMS.</t>
  </si>
  <si>
    <t>VARIACION %</t>
  </si>
  <si>
    <t>PESO AL NACER</t>
  </si>
  <si>
    <t>TALLA AL NACER</t>
  </si>
  <si>
    <t>cm</t>
  </si>
  <si>
    <t>PESO PARA LA EDAD</t>
  </si>
  <si>
    <t>TALLA ´PARA LA EDAD</t>
  </si>
  <si>
    <t>EDAD ACTUAL</t>
  </si>
  <si>
    <t>EDAD AL NACER</t>
  </si>
  <si>
    <t>LACTANCIA  MATERNA</t>
  </si>
  <si>
    <t>INICIO DE ABLACTACION</t>
  </si>
  <si>
    <t>NUMERO DE EVACUACIONES</t>
  </si>
  <si>
    <t>AL DIA</t>
  </si>
  <si>
    <t>PREESCOLAR</t>
  </si>
  <si>
    <t>MATERNAL</t>
  </si>
  <si>
    <t>PRIMARIA</t>
  </si>
  <si>
    <t>REQUERIMIENTOS DE ENERGIA Y NUTRIMENTOS</t>
  </si>
  <si>
    <t>ENERGIA</t>
  </si>
  <si>
    <t>AGUA</t>
  </si>
  <si>
    <t>MLS</t>
  </si>
  <si>
    <t>PES0 (KG)</t>
  </si>
  <si>
    <t>ESTATURA (CM)</t>
  </si>
  <si>
    <t xml:space="preserve"> cm</t>
  </si>
  <si>
    <t>PESO/EDAD</t>
  </si>
  <si>
    <t>TALLA/ EDAD</t>
  </si>
  <si>
    <t>PORCENTAJE DE PESO /TALLA  (WATERLOW)</t>
  </si>
  <si>
    <t>PORCENTAJE DE PESO /EDAD (GOMEZ)</t>
  </si>
  <si>
    <t>PORCENTAJE DE TALLA/EDAD</t>
  </si>
  <si>
    <t>PESO PARA LA TALLA</t>
  </si>
  <si>
    <t>g/proT/dia</t>
  </si>
  <si>
    <t>NTTA DTTA VICTOR HUGO HERNANDEZ MARTINEZ</t>
  </si>
  <si>
    <t>L.N JOSE IVAN FERNANDEZ HERRERA</t>
  </si>
  <si>
    <t>L.N. FANY CANO VARELA</t>
  </si>
  <si>
    <t xml:space="preserve">L.N.  RAQUEL ESPINOSA SERNA </t>
  </si>
  <si>
    <t>% T.P**</t>
  </si>
  <si>
    <t>PAN Y SUSTITUTOS</t>
  </si>
  <si>
    <t>leche entera</t>
  </si>
  <si>
    <t>una taza</t>
  </si>
  <si>
    <t xml:space="preserve">Paciente masculino de 7años 11/12 con diagnostico de desnutricion cronica agudizada, con alteracion en </t>
  </si>
  <si>
    <t>en el crecimiento lineal,evidenciado por indice inferior al porcentaje de peso/talla e indice inferior</t>
  </si>
  <si>
    <t xml:space="preserve">del porcentaje de talla/edad. La conjuncion de los indices podria indicar que es un niño que tuvo </t>
  </si>
  <si>
    <t>desnutricion en algun periodo previo al actual lo que altero su crecimiento. La madre refiere que no fue</t>
  </si>
  <si>
    <t xml:space="preserve">buena ingesta de alimento con apoyo de desayunos calientes en la escuela y dieta polimerica 1/24. Se </t>
  </si>
  <si>
    <t xml:space="preserve">diseña plan alimentario de 1925 kcals complementada por dieta polimerica (237 kcals). </t>
  </si>
  <si>
    <t>Se sugiere valoracion mensual por este servicio en consulta externa</t>
  </si>
  <si>
    <t>amamantado e inicio de ablactacion a los 6 meses, infecciones recurrentes en vias aereas superiores en, asi</t>
  </si>
  <si>
    <t xml:space="preserve">los dos primeros años de vida, asi como ERGE, refiere salmonelosis hace 4 meses. Su peso y talla son bajos .Actualmente la madre refiere </t>
  </si>
  <si>
    <t>GRUPO DE AZUCARES</t>
  </si>
  <si>
    <t>azucar de mesa</t>
  </si>
  <si>
    <t>cucharadita</t>
  </si>
  <si>
    <t>ate</t>
  </si>
  <si>
    <t>Cajeta</t>
  </si>
  <si>
    <t>Helado</t>
  </si>
  <si>
    <t>Leche condensada</t>
  </si>
  <si>
    <t>Mermelada</t>
  </si>
  <si>
    <t>Nieve</t>
  </si>
  <si>
    <t>Gomitas</t>
  </si>
  <si>
    <t>nutela</t>
  </si>
  <si>
    <t>miel</t>
  </si>
  <si>
    <t>cucharaditas</t>
  </si>
  <si>
    <t>ESTUDIANTE</t>
  </si>
  <si>
    <t>SEGURIDAD Y SOLIDARIDAD SOCIAL</t>
  </si>
  <si>
    <t>Cedula de evaluacion nutricia nd 07</t>
  </si>
  <si>
    <t>Unidad</t>
  </si>
  <si>
    <t>HGR 36</t>
  </si>
  <si>
    <t>Nombre</t>
  </si>
  <si>
    <t>PISO</t>
  </si>
  <si>
    <t>CAMA</t>
  </si>
  <si>
    <t>UCI A</t>
  </si>
  <si>
    <t>UCI P</t>
  </si>
  <si>
    <t>1.- HISTORIA CLINICA</t>
  </si>
  <si>
    <t>A) Perdida de peso en los ultimos 6 meses:</t>
  </si>
  <si>
    <t>B) Cambio porcentual</t>
  </si>
  <si>
    <t>Ganancia o perdida &lt; 5%</t>
  </si>
  <si>
    <t>Perdida de 5 - 10%</t>
  </si>
  <si>
    <t>Perdida &gt; 10%</t>
  </si>
  <si>
    <t>C)Cambio durante las ultimas dos semanas</t>
  </si>
  <si>
    <t>Aumento</t>
  </si>
  <si>
    <t>Sin cambio</t>
  </si>
  <si>
    <t>Perdida</t>
  </si>
  <si>
    <t>2.- Ingestion diaria:</t>
  </si>
  <si>
    <t>Cambio global</t>
  </si>
  <si>
    <t>B)Duracion semanas</t>
  </si>
  <si>
    <t>C) Tipo de cambio</t>
  </si>
  <si>
    <t>Dieta solida suboptima</t>
  </si>
  <si>
    <t>Dieta completa liquida</t>
  </si>
  <si>
    <t>liquidos hipocaloricos</t>
  </si>
  <si>
    <t>Hambre (inanicion)</t>
  </si>
  <si>
    <t>3.- Sintomas gastrointestinales</t>
  </si>
  <si>
    <t>(persistentes por mas de dos semanas)</t>
  </si>
  <si>
    <t>Ninguno</t>
  </si>
  <si>
    <t>Vomito</t>
  </si>
  <si>
    <t>Diarrea</t>
  </si>
  <si>
    <t>Anorexia</t>
  </si>
  <si>
    <t>4.- Deterioro funcional:</t>
  </si>
  <si>
    <t>Deterioro global:</t>
  </si>
  <si>
    <t>Moderado</t>
  </si>
  <si>
    <t>Cambio durante las ultimas dos semanas</t>
  </si>
  <si>
    <t>Mejora</t>
  </si>
  <si>
    <t>Empeoramiento</t>
  </si>
  <si>
    <t>(perdida de fuerza o energia debido a la desnutricion)</t>
  </si>
  <si>
    <t>II.- EXPLORACION FISICA</t>
  </si>
  <si>
    <t>5.-  Evidencias de perdida de grasa subcutanea en:</t>
  </si>
  <si>
    <t>Biceps</t>
  </si>
  <si>
    <t>Torax</t>
  </si>
  <si>
    <t>Triceps</t>
  </si>
  <si>
    <t>Perdida de masa muscular:</t>
  </si>
  <si>
    <t>Sien</t>
  </si>
  <si>
    <t>Clavicula</t>
  </si>
  <si>
    <t>Deltoides</t>
  </si>
  <si>
    <t>Escapula</t>
  </si>
  <si>
    <t>Oseo</t>
  </si>
  <si>
    <t>Cuadriceps</t>
  </si>
  <si>
    <t>Rodilla</t>
  </si>
  <si>
    <t>Edema</t>
  </si>
  <si>
    <t>Tobillo</t>
  </si>
  <si>
    <t>Sacro</t>
  </si>
  <si>
    <t>Ascitis (solo para pacientes en hemodialisis)</t>
  </si>
  <si>
    <t>III.- DIAGNOSTICO</t>
  </si>
  <si>
    <r>
      <t xml:space="preserve">               </t>
    </r>
    <r>
      <rPr>
        <b/>
        <sz val="11"/>
        <color rgb="FF000000"/>
        <rFont val="Calibri"/>
        <family val="2"/>
      </rPr>
      <t xml:space="preserve">BIEN NUTRIDO      </t>
    </r>
    <r>
      <rPr>
        <sz val="11"/>
        <color rgb="FF000000"/>
        <rFont val="Calibri"/>
        <family val="2"/>
      </rPr>
      <t xml:space="preserve">                                                                          _________________________                                           No deplesion de las reservas corporales o ganancia de peso, aumento de apetito independientemente de la deplesion en las reservas corporales visibles.</t>
    </r>
  </si>
  <si>
    <r>
      <rPr>
        <b/>
        <sz val="11"/>
        <color rgb="FF000000"/>
        <rFont val="Calibri"/>
        <family val="2"/>
      </rPr>
      <t>DESNUTRICION SEVERA</t>
    </r>
    <r>
      <rPr>
        <sz val="11"/>
        <color rgb="FF000000"/>
        <rFont val="Calibri"/>
        <family val="2"/>
      </rPr>
      <t xml:space="preserve">                    _____________________________          Mayor puntuacion B y C, perdida cxontinua &gt;10%, deterioro funcional, deplesion severa de reservas corporales</t>
    </r>
  </si>
  <si>
    <r>
      <rPr>
        <b/>
        <sz val="11"/>
        <color rgb="FF000000"/>
        <rFont val="Calibri"/>
        <family val="2"/>
      </rPr>
      <t xml:space="preserve">DESNUTRICION MODERADA  </t>
    </r>
    <r>
      <rPr>
        <sz val="11"/>
        <color rgb="FF000000"/>
        <rFont val="Calibri"/>
        <family val="2"/>
      </rPr>
      <t xml:space="preserve">              ___________________________                                        Perdida entre 5 al 10% sin recuperacion posterior, perdida leve de reservas corporales, disminucion de la ingesta, presencia o no de los trastornos gatrointestinales</t>
    </r>
  </si>
  <si>
    <t>IV. PLAN DE MANEJO NUTRICIO</t>
  </si>
  <si>
    <t>ESQUEMA DIETETICO</t>
  </si>
  <si>
    <t>REQUERIMIENTO IDEAL</t>
  </si>
  <si>
    <t>Kcals</t>
  </si>
  <si>
    <t>PROT.</t>
  </si>
  <si>
    <t>LIP</t>
  </si>
  <si>
    <t>INDICACIONES</t>
  </si>
  <si>
    <t xml:space="preserve">                               INSTITUTO MEXICANO EL SEGURO SOCIAL</t>
  </si>
  <si>
    <t xml:space="preserve">                                     HOSPITAL GENERAL REGIONAL No. 36</t>
  </si>
  <si>
    <t>PESO TEORICO IDEAL</t>
  </si>
  <si>
    <t>PERIMETRO ABDOMINAL</t>
  </si>
  <si>
    <t>CIRCUNFERENCIA MUÑECA</t>
  </si>
  <si>
    <t xml:space="preserve">Subjetivo paciente femenibo de 39 años de edad, refiere malestaar general, falta de apetito de ocupacion obrero escolaridad dsecubndaruia, con regulatees habitos alinenbryticiods dso veces por semamna in gesta de alcohol, </t>
  </si>
  <si>
    <t>Mifflin Sant Jeor</t>
  </si>
  <si>
    <t>Valencia</t>
  </si>
  <si>
    <t>HOSPITAL GENERAL REGIONAL 36</t>
  </si>
  <si>
    <t>ELABORO:</t>
  </si>
  <si>
    <t>Nausea</t>
  </si>
  <si>
    <t>MASCULINO</t>
  </si>
  <si>
    <t>L.N  JOSE IVAN FERNANDEZ HERRERA   MAT 7780699</t>
  </si>
  <si>
    <t>tepayehuitl sanchez yasmín</t>
  </si>
  <si>
    <t>*ANTES DE REALIZAR CUALQUIER ACTIVIDAD FISICA O EJERCICIO CONSULTE A SU MEDICO.</t>
  </si>
  <si>
    <t>Owen</t>
  </si>
  <si>
    <t>NTTA DTTA VICTOR HUGO HERNANDEZ MARTINEZ MAT. 8904707</t>
  </si>
  <si>
    <t>L.N FANY CANO VARELA MAT. 99228911</t>
  </si>
  <si>
    <t>L.N RAQUEL ESPINOSA SERNA MAT. 99229551</t>
  </si>
  <si>
    <t>CCCCCFXXZ</t>
  </si>
  <si>
    <t>F.A.</t>
  </si>
  <si>
    <t>1.35 TRAUMATISMO DE ESQUELETO</t>
  </si>
  <si>
    <t>1.20 ENCAMADO Y CIRUGIA MENOR</t>
  </si>
  <si>
    <t>1.30 AMBULATORIOS</t>
  </si>
  <si>
    <t>1.60  INFECCION GENERALIZADA</t>
  </si>
  <si>
    <t>2.10 QUEMADURAS</t>
  </si>
  <si>
    <t>F</t>
  </si>
  <si>
    <t>% PESO TEORICO</t>
  </si>
  <si>
    <t>% PESO HABITUAL</t>
  </si>
  <si>
    <t>PESO HABITUAL</t>
  </si>
  <si>
    <t>FEMENINO</t>
  </si>
  <si>
    <t>r</t>
  </si>
  <si>
    <t>A</t>
  </si>
  <si>
    <t>B</t>
  </si>
  <si>
    <t>C</t>
  </si>
  <si>
    <t>Escapúla</t>
  </si>
  <si>
    <t>Musculo interoseo</t>
  </si>
  <si>
    <t>A .- % perdida  en ultimos 6 meses &lt;5%</t>
  </si>
  <si>
    <r>
      <t>B</t>
    </r>
    <r>
      <rPr>
        <b/>
        <sz val="11"/>
        <color theme="0" tint="-0.249977111117893"/>
        <rFont val="Calibri"/>
        <family val="2"/>
      </rPr>
      <t>.-Perdida entre 5 y 10%</t>
    </r>
  </si>
  <si>
    <r>
      <t>C</t>
    </r>
    <r>
      <rPr>
        <b/>
        <sz val="11"/>
        <color theme="0" tint="-0.249977111117893"/>
        <rFont val="Calibri"/>
        <family val="2"/>
      </rPr>
      <t>.- Perdida &gt;10%</t>
    </r>
  </si>
  <si>
    <t>A.- Aumento peso en ultimas 2 semanas</t>
  </si>
  <si>
    <t>B.-persiste con perdida de peso</t>
  </si>
  <si>
    <t>C.- Continua perdiendo peso</t>
  </si>
  <si>
    <t>B.-Perdida entre 5 y 10%</t>
  </si>
  <si>
    <t>A.- Sin cambio</t>
  </si>
  <si>
    <t>B o C.- depende importancia perdida</t>
  </si>
  <si>
    <t>3706 83 0015 1M1983 ORD</t>
  </si>
  <si>
    <t>*Coma la fruta y la verdura preferentemente cocida y sin cascara.</t>
  </si>
  <si>
    <t>Durazno cocido                                        2 medianos</t>
  </si>
  <si>
    <t>Guayaba cocida                                       3 medianas</t>
  </si>
  <si>
    <t>Manzana cocida                              1 pieza pequeña</t>
  </si>
  <si>
    <t>Pera  cocida                                      1 pieza pequeña</t>
  </si>
  <si>
    <t>ejote  cocido</t>
  </si>
  <si>
    <t>zanahoria cocida</t>
  </si>
  <si>
    <t>PESO CORREGIDO</t>
  </si>
  <si>
    <t>MIEMBRO AMPUTADO</t>
  </si>
  <si>
    <t>0.7 mano</t>
  </si>
  <si>
    <t>2.3 antebrazo y mano</t>
  </si>
  <si>
    <t>5.0 miembro superior</t>
  </si>
  <si>
    <t>1.5 pie</t>
  </si>
  <si>
    <t>5.9 pierna y pie</t>
  </si>
  <si>
    <t>ELECTROLITOS</t>
  </si>
  <si>
    <t>CALCIO</t>
  </si>
  <si>
    <t>SIGNOS Y SINTOMAS</t>
  </si>
  <si>
    <t>FIOSIOPATOLOGIA</t>
  </si>
  <si>
    <t xml:space="preserve">TRATAMIENTO </t>
  </si>
  <si>
    <t>FOSFORO</t>
  </si>
  <si>
    <t>2.5-4.5</t>
  </si>
  <si>
    <t>8.4-10.2</t>
  </si>
  <si>
    <t>FISIOPATOLOGIA</t>
  </si>
  <si>
    <t>FISIOPATLOGIA</t>
  </si>
  <si>
    <t>MAGNESIO</t>
  </si>
  <si>
    <t>TRATAMIENTO</t>
  </si>
  <si>
    <t>1.6 -2.4</t>
  </si>
  <si>
    <t>SODIO</t>
  </si>
  <si>
    <t>136-145</t>
  </si>
  <si>
    <t>POTASIO</t>
  </si>
  <si>
    <t>FISIIPATOLOGIA</t>
  </si>
  <si>
    <t>FISIOPÁTOLOGIA</t>
  </si>
  <si>
    <t>CLOSTOMIA</t>
  </si>
  <si>
    <t>MENDOZA RIVAS GRECIA</t>
  </si>
  <si>
    <t>CONTEO DE HIDRATOS DE CARBONO</t>
  </si>
  <si>
    <t>GRS  HCO</t>
  </si>
  <si>
    <t>SEMANAS DE EMBARAZO</t>
  </si>
  <si>
    <t>REQUERIMIENTOS DE ENERGIA</t>
  </si>
  <si>
    <t>KCALS /KG</t>
  </si>
  <si>
    <t>kilocalorias /dia</t>
  </si>
  <si>
    <t>EMBARAZO GEMELAR</t>
  </si>
  <si>
    <t>PROTEINAS/DIA</t>
  </si>
  <si>
    <t xml:space="preserve">PROTEINAS/DIA </t>
  </si>
  <si>
    <t>L.N ARACELI ZAPATA LANDA</t>
  </si>
  <si>
    <t>CUAHUIZO ACA SANTOS JHOVANY</t>
  </si>
  <si>
    <t>6290 67 6404</t>
  </si>
  <si>
    <t>Paciente masculino en edad escolar con esofagostomia  con antecedente de quemadura esofagica por</t>
  </si>
  <si>
    <t xml:space="preserve">ingesta de alcali hace un mes,  actualmente con alimentacion enteral  atraves de gastrostomia, con buena tolerancia </t>
  </si>
  <si>
    <t>DM + HAS</t>
  </si>
  <si>
    <t>LUIS ALEJANDRO JUAREZ</t>
  </si>
  <si>
    <t>DESNUTRICION PRIMER GRADO</t>
  </si>
  <si>
    <t xml:space="preserve">Paciente masculino  de 2 años 6 meses con diagnostico de desnutricion aguda, con antecedentes de </t>
  </si>
  <si>
    <t>4808 89 0625 3M12 ORD</t>
  </si>
  <si>
    <t>4 eventos quirurgicos desde febrero del año en curso, el ultimo el 06/07/15 con reseccion de 10 cms de</t>
  </si>
  <si>
    <t>por  indice inferior de porcentaje de peso para edad, y normal para porcentaje de talla/edad.</t>
  </si>
  <si>
    <t>intestino y yeyunostomia, actualmente en ayuno.</t>
  </si>
  <si>
    <t>Paciente con desnutricion  agudizada leve primer grado, sin alteracion del crecimiento lineal, evidenciado</t>
  </si>
  <si>
    <t>Antropometricos: peso actual 11 kgs, talla 92cms    IMC 13.0</t>
  </si>
  <si>
    <t>Necesidades energeticas 1300 kcals</t>
  </si>
  <si>
    <t>Plan de tratamiento nutricio, iniciamos con dieta polimerica de 1000 kcals, dividida en 4 tomas, vigilando</t>
  </si>
  <si>
    <t>tolerancia iticase incrementar hasta completa sus necesidades eneg</t>
  </si>
  <si>
    <t>DM GESTACIONAL  25.5 SEMANAS DE GESTACION</t>
  </si>
  <si>
    <t>BONILLA RODRIGUEZ EUGENIA</t>
  </si>
  <si>
    <t>6297 76 0414 1f ORD. 1976</t>
  </si>
  <si>
    <t>ZABALA FRANCO JULIANA</t>
  </si>
  <si>
    <t xml:space="preserve">OBESIDAD SEGUNDO GRADO+ GASTRITIS </t>
  </si>
  <si>
    <t>*Coma la fruta y la verdura preferentemente cocida.</t>
  </si>
  <si>
    <t>DEPARTAMENTO DE NUTRICION Y DIETETICA HGR 36</t>
  </si>
  <si>
    <t>D</t>
  </si>
  <si>
    <t>E</t>
  </si>
  <si>
    <t>OBESIDAD SEGUNDO GRADO</t>
  </si>
  <si>
    <t>G</t>
  </si>
  <si>
    <t>H</t>
  </si>
  <si>
    <t>I</t>
  </si>
  <si>
    <t>k</t>
  </si>
  <si>
    <t>L</t>
  </si>
  <si>
    <t>DIAB</t>
  </si>
  <si>
    <t>EVALUACION BIOQUIMICA</t>
  </si>
  <si>
    <t>Ñ</t>
  </si>
  <si>
    <t xml:space="preserve">I </t>
  </si>
  <si>
    <t>P</t>
  </si>
  <si>
    <t>Q</t>
  </si>
  <si>
    <t>R</t>
  </si>
  <si>
    <t>S</t>
  </si>
  <si>
    <t>T</t>
  </si>
  <si>
    <t>U</t>
  </si>
  <si>
    <t>V</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</si>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</sst>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0.00_-;\-* #,##0.00_-;_-* &quot;-&quot;??_-;_-@_-"/>
    <numFmt numFmtId="164" formatCode="m/d/yyyy"/>
    <numFmt numFmtId="165" formatCode="0.0"/>
    <numFmt numFmtId="166" formatCode="#,##0.00_ ;\-#,##0.00\ "/>
    <numFmt numFmtId="167" formatCode="_-[$€-2]* #,##0.00_-;\-[$€-2]* #,##0.00_-;_-[$€-2]* &quot;-&quot;??_-"/>
    <numFmt numFmtId="168" formatCode="#,##0.0"/>
    <numFmt numFmtId="169" formatCode="0.000"/>
  </numFmts>
  <fonts count="89">
    <font>
      <sz val="11"/>
      <color rgb="FF000000"/>
      <name val="Calibri"/>
      <family val="2"/>
    </font>
    <font>
      <sz val="11"/>
      <color indexed="63"/>
      <name val="Calibri"/>
      <family val="2"/>
    </font>
    <font>
      <sz val="10"/>
      <name val="Arial"/>
      <family val="2"/>
    </font>
    <font>
      <b/>
      <sz val="12"/>
      <color indexed="63"/>
      <name val="Calibri"/>
      <family val="2"/>
    </font>
    <font>
      <b/>
      <sz val="14"/>
      <color indexed="45"/>
      <name val="Calibri"/>
      <family val="2"/>
    </font>
    <font>
      <b/>
      <sz val="11"/>
      <color indexed="63"/>
      <name val="Calibri"/>
      <family val="2"/>
    </font>
    <font>
      <b/>
      <sz val="9"/>
      <color indexed="63"/>
      <name val="Calibri"/>
      <family val="2"/>
    </font>
    <font>
      <sz val="10"/>
      <color indexed="63"/>
      <name val="Calibri"/>
      <family val="2"/>
    </font>
    <font>
      <sz val="11"/>
      <color indexed="18"/>
      <name val="Calibri"/>
      <family val="2"/>
    </font>
    <font>
      <sz val="11"/>
      <name val="Calibri"/>
      <family val="2"/>
    </font>
    <font>
      <b/>
      <sz val="10"/>
      <name val="Calibri"/>
      <family val="2"/>
    </font>
    <font>
      <b/>
      <sz val="10"/>
      <color indexed="18"/>
      <name val="Calibri"/>
      <family val="2"/>
    </font>
    <font>
      <b/>
      <sz val="10"/>
      <color indexed="63"/>
      <name val="Calibri"/>
      <family val="2"/>
    </font>
    <font>
      <b/>
      <sz val="14"/>
      <color indexed="63"/>
      <name val="Calibri"/>
      <family val="2"/>
    </font>
    <font>
      <sz val="9"/>
      <color indexed="63"/>
      <name val="Calibri"/>
      <family val="2"/>
    </font>
    <font>
      <sz val="8"/>
      <color indexed="63"/>
      <name val="Calibri"/>
      <family val="2"/>
    </font>
    <font>
      <b/>
      <u/>
      <sz val="11"/>
      <color indexed="63"/>
      <name val="Calibri"/>
      <family val="2"/>
    </font>
    <font>
      <b/>
      <i/>
      <u/>
      <sz val="11"/>
      <color indexed="63"/>
      <name val="Calibri"/>
      <family val="2"/>
    </font>
    <font>
      <b/>
      <i/>
      <u/>
      <sz val="12"/>
      <color indexed="63"/>
      <name val="Calibri"/>
      <family val="2"/>
    </font>
    <font>
      <b/>
      <sz val="11"/>
      <color indexed="63"/>
      <name val="Calibri"/>
      <family val="2"/>
    </font>
    <font>
      <sz val="8"/>
      <name val="Calibri"/>
      <family val="2"/>
    </font>
    <font>
      <b/>
      <sz val="8"/>
      <color indexed="63"/>
      <name val="Calibri"/>
      <family val="2"/>
    </font>
    <font>
      <b/>
      <sz val="16"/>
      <name val="Calibri"/>
      <family val="2"/>
    </font>
    <font>
      <b/>
      <sz val="8"/>
      <color indexed="63"/>
      <name val="Centaur"/>
      <family val="1"/>
    </font>
    <font>
      <b/>
      <sz val="8"/>
      <name val="Centaur"/>
      <family val="1"/>
    </font>
    <font>
      <b/>
      <sz val="10"/>
      <color indexed="63"/>
      <name val="Calibri"/>
      <family val="2"/>
    </font>
    <font>
      <b/>
      <i/>
      <u/>
      <sz val="11"/>
      <color indexed="63"/>
      <name val="Calibri"/>
      <family val="2"/>
    </font>
    <font>
      <b/>
      <sz val="12"/>
      <name val="Calibri"/>
      <family val="2"/>
    </font>
    <font>
      <b/>
      <sz val="14"/>
      <color indexed="18"/>
      <name val="Calibri"/>
      <family val="2"/>
    </font>
    <font>
      <b/>
      <sz val="10"/>
      <color indexed="63"/>
      <name val="Candara"/>
      <family val="2"/>
    </font>
    <font>
      <b/>
      <sz val="9"/>
      <color indexed="63"/>
      <name val="Arial Black"/>
      <family val="2"/>
    </font>
    <font>
      <b/>
      <sz val="11"/>
      <color indexed="18"/>
      <name val="Calibri"/>
      <family val="2"/>
    </font>
    <font>
      <b/>
      <u val="singleAccounting"/>
      <sz val="11"/>
      <color indexed="63"/>
      <name val="Calibri"/>
      <family val="2"/>
    </font>
    <font>
      <b/>
      <i/>
      <sz val="10"/>
      <color indexed="63"/>
      <name val="Calibri"/>
      <family val="2"/>
    </font>
    <font>
      <b/>
      <sz val="12"/>
      <color theme="0"/>
      <name val="Calibri"/>
      <family val="2"/>
    </font>
    <font>
      <sz val="11"/>
      <color theme="0"/>
      <name val="Calibri"/>
      <family val="2"/>
    </font>
    <font>
      <b/>
      <sz val="11"/>
      <color rgb="FF000000"/>
      <name val="Calibri"/>
      <family val="2"/>
    </font>
    <font>
      <sz val="8"/>
      <color rgb="FF000000"/>
      <name val="Calibri"/>
      <family val="2"/>
    </font>
    <font>
      <sz val="10"/>
      <color rgb="FF000000"/>
      <name val="Calibri"/>
      <family val="2"/>
    </font>
    <font>
      <sz val="9"/>
      <color rgb="FF000000"/>
      <name val="Calibri"/>
      <family val="2"/>
    </font>
    <font>
      <b/>
      <i/>
      <sz val="11"/>
      <color rgb="FF000000"/>
      <name val="Calibri"/>
      <family val="2"/>
    </font>
    <font>
      <b/>
      <sz val="8"/>
      <color rgb="FF000000"/>
      <name val="Calibri"/>
      <family val="2"/>
    </font>
    <font>
      <b/>
      <i/>
      <sz val="10"/>
      <color rgb="FF000000"/>
      <name val="Calibri"/>
      <family val="2"/>
    </font>
    <font>
      <b/>
      <sz val="14"/>
      <color theme="0"/>
      <name val="Calibri"/>
      <family val="2"/>
    </font>
    <font>
      <b/>
      <sz val="8"/>
      <color rgb="FF000000"/>
      <name val="Arial"/>
      <family val="2"/>
    </font>
    <font>
      <b/>
      <sz val="10"/>
      <color rgb="FF000000"/>
      <name val="Calibri"/>
      <family val="2"/>
    </font>
    <font>
      <sz val="11"/>
      <color rgb="FF000000"/>
      <name val="Britannic Bold"/>
      <family val="2"/>
    </font>
    <font>
      <sz val="11"/>
      <color theme="0" tint="-0.249977111117893"/>
      <name val="Calibri"/>
      <family val="2"/>
    </font>
    <font>
      <sz val="9"/>
      <color theme="0" tint="-0.249977111117893"/>
      <name val="Calibri"/>
      <family val="2"/>
    </font>
    <font>
      <b/>
      <sz val="8"/>
      <color theme="0" tint="-0.249977111117893"/>
      <name val="Calibri"/>
      <family val="2"/>
    </font>
    <font>
      <sz val="8"/>
      <color theme="0" tint="-0.249977111117893"/>
      <name val="Calibri"/>
      <family val="2"/>
    </font>
    <font>
      <sz val="11"/>
      <name val="Arial"/>
      <family val="2"/>
    </font>
    <font>
      <b/>
      <sz val="11"/>
      <name val="Arial"/>
      <family val="2"/>
    </font>
    <font>
      <b/>
      <i/>
      <sz val="11"/>
      <name val="Arial"/>
      <family val="2"/>
    </font>
    <font>
      <sz val="9"/>
      <name val="Calibri"/>
      <family val="2"/>
    </font>
    <font>
      <sz val="12"/>
      <name val="Calibri"/>
      <family val="2"/>
    </font>
    <font>
      <sz val="10"/>
      <name val="Calibri"/>
      <family val="2"/>
    </font>
    <font>
      <b/>
      <sz val="8"/>
      <name val="Arial"/>
      <family val="2"/>
    </font>
    <font>
      <b/>
      <sz val="10"/>
      <name val="Arial"/>
      <family val="2"/>
    </font>
    <font>
      <b/>
      <sz val="9"/>
      <name val="Arial"/>
      <family val="2"/>
    </font>
    <font>
      <b/>
      <sz val="11"/>
      <name val="Browallia New"/>
      <family val="2"/>
    </font>
    <font>
      <b/>
      <sz val="11"/>
      <name val="Calibri"/>
      <family val="2"/>
    </font>
    <font>
      <b/>
      <sz val="8"/>
      <name val="Calibri"/>
      <family val="2"/>
    </font>
    <font>
      <b/>
      <sz val="11"/>
      <color theme="0"/>
      <name val="Calibri"/>
      <family val="2"/>
    </font>
    <font>
      <b/>
      <i/>
      <sz val="8"/>
      <name val="Arial"/>
      <family val="2"/>
    </font>
    <font>
      <b/>
      <sz val="11"/>
      <color theme="0"/>
      <name val="Arial"/>
      <family val="2"/>
    </font>
    <font>
      <b/>
      <i/>
      <sz val="11"/>
      <color theme="0"/>
      <name val="Arial"/>
      <family val="2"/>
    </font>
    <font>
      <b/>
      <i/>
      <sz val="8"/>
      <color theme="0"/>
      <name val="Arial"/>
      <family val="2"/>
    </font>
    <font>
      <b/>
      <sz val="14"/>
      <name val="Calibri"/>
      <family val="2"/>
    </font>
    <font>
      <b/>
      <sz val="11"/>
      <color theme="0" tint="-0.249977111117893"/>
      <name val="Calibri"/>
      <family val="2"/>
    </font>
    <font>
      <b/>
      <i/>
      <u/>
      <sz val="11"/>
      <color rgb="FF000000"/>
      <name val="Calibri"/>
      <family val="2"/>
    </font>
    <font>
      <b/>
      <sz val="8"/>
      <color indexed="63"/>
      <name val="Arial Black"/>
      <family val="2"/>
    </font>
    <font>
      <b/>
      <sz val="11"/>
      <color indexed="62"/>
      <name val="Arial"/>
      <family val="2"/>
    </font>
    <font>
      <b/>
      <sz val="14"/>
      <color rgb="FF000000"/>
      <name val="Calibri"/>
      <family val="2"/>
    </font>
    <font>
      <b/>
      <sz val="12"/>
      <color rgb="FF000000"/>
      <name val="Calibri"/>
      <family val="2"/>
    </font>
    <font>
      <sz val="11"/>
      <color indexed="63"/>
      <name val="BrowalliaUPC"/>
      <family val="2"/>
    </font>
    <font>
      <sz val="11"/>
      <color indexed="50"/>
      <name val="Calibri"/>
      <family val="2"/>
    </font>
    <font>
      <b/>
      <sz val="12"/>
      <color indexed="62"/>
      <name val="Arial"/>
      <family val="2"/>
    </font>
    <font>
      <sz val="11"/>
      <color theme="1"/>
      <name val="Calibri"/>
      <family val="2"/>
    </font>
    <font>
      <b/>
      <sz val="12"/>
      <color indexed="8"/>
      <name val="Arial"/>
      <family val="2"/>
    </font>
    <font>
      <b/>
      <sz val="11"/>
      <color indexed="8"/>
      <name val="Arial"/>
      <family val="2"/>
    </font>
    <font>
      <b/>
      <sz val="9"/>
      <color theme="0"/>
      <name val="Calibri"/>
      <family val="2"/>
    </font>
    <font>
      <b/>
      <u/>
      <sz val="11"/>
      <color theme="0"/>
      <name val="Calibri"/>
      <family val="2"/>
    </font>
    <font>
      <sz val="10"/>
      <color theme="0"/>
      <name val="Calibri"/>
      <family val="2"/>
    </font>
    <font>
      <sz val="8"/>
      <color theme="0"/>
      <name val="Calibri"/>
      <family val="2"/>
    </font>
    <font>
      <b/>
      <sz val="11"/>
      <color theme="1"/>
      <name val="Calibri"/>
      <family val="2"/>
    </font>
    <font>
      <b/>
      <sz val="12"/>
      <color theme="1"/>
      <name val="Calibri"/>
      <family val="2"/>
    </font>
    <font>
      <b/>
      <i/>
      <sz val="11"/>
      <name val="Calibri"/>
      <family val="2"/>
    </font>
    <font>
      <sz val="22"/>
      <name val="Calibri"/>
      <family val="2"/>
    </font>
  </fonts>
  <fills count="56">
    <fill>
      <patternFill patternType="none"/>
    </fill>
    <fill>
      <patternFill patternType="gray125"/>
    </fill>
    <fill>
      <patternFill patternType="solid">
        <fgColor indexed="14"/>
        <bgColor indexed="16"/>
      </patternFill>
    </fill>
    <fill>
      <patternFill patternType="solid">
        <fgColor indexed="13"/>
        <bgColor indexed="40"/>
      </patternFill>
    </fill>
    <fill>
      <patternFill patternType="solid">
        <fgColor indexed="17"/>
        <bgColor indexed="52"/>
      </patternFill>
    </fill>
    <fill>
      <patternFill patternType="solid">
        <fgColor indexed="26"/>
        <bgColor indexed="26"/>
      </patternFill>
    </fill>
    <fill>
      <patternFill patternType="solid">
        <fgColor indexed="40"/>
        <bgColor indexed="13"/>
      </patternFill>
    </fill>
    <fill>
      <patternFill patternType="solid">
        <fgColor indexed="8"/>
        <bgColor indexed="45"/>
      </patternFill>
    </fill>
    <fill>
      <patternFill patternType="solid">
        <fgColor indexed="36"/>
        <bgColor indexed="38"/>
      </patternFill>
    </fill>
    <fill>
      <patternFill patternType="solid">
        <fgColor indexed="18"/>
        <bgColor indexed="18"/>
      </patternFill>
    </fill>
    <fill>
      <patternFill patternType="solid">
        <fgColor indexed="45"/>
        <bgColor indexed="8"/>
      </patternFill>
    </fill>
    <fill>
      <patternFill patternType="solid">
        <fgColor indexed="19"/>
        <bgColor indexed="16"/>
      </patternFill>
    </fill>
    <fill>
      <patternFill patternType="solid">
        <fgColor indexed="21"/>
        <bgColor indexed="16"/>
      </patternFill>
    </fill>
    <fill>
      <patternFill patternType="solid">
        <fgColor indexed="11"/>
        <bgColor indexed="16"/>
      </patternFill>
    </fill>
    <fill>
      <patternFill patternType="solid">
        <fgColor indexed="11"/>
        <bgColor indexed="64"/>
      </patternFill>
    </fill>
    <fill>
      <patternFill patternType="solid">
        <fgColor indexed="16"/>
        <bgColor indexed="16"/>
      </patternFill>
    </fill>
    <fill>
      <patternFill patternType="solid">
        <fgColor indexed="43"/>
        <bgColor indexed="16"/>
      </patternFill>
    </fill>
    <fill>
      <patternFill patternType="solid">
        <fgColor theme="0" tint="-0.249977111117893"/>
        <bgColor indexed="16"/>
      </patternFill>
    </fill>
    <fill>
      <patternFill patternType="solid">
        <fgColor theme="6"/>
        <bgColor indexed="16"/>
      </patternFill>
    </fill>
    <fill>
      <patternFill patternType="solid">
        <fgColor theme="0"/>
        <bgColor indexed="16"/>
      </patternFill>
    </fill>
    <fill>
      <patternFill patternType="solid">
        <fgColor theme="0"/>
        <bgColor indexed="8"/>
      </patternFill>
    </fill>
    <fill>
      <patternFill patternType="solid">
        <fgColor theme="0"/>
        <bgColor indexed="26"/>
      </patternFill>
    </fill>
    <fill>
      <patternFill patternType="solid">
        <fgColor theme="0"/>
        <bgColor indexed="18"/>
      </patternFill>
    </fill>
    <fill>
      <patternFill patternType="solid">
        <fgColor theme="0" tint="-0.249977111117893"/>
        <bgColor indexed="64"/>
      </patternFill>
    </fill>
    <fill>
      <patternFill patternType="solid">
        <fgColor theme="0" tint="-0.249977111117893"/>
        <bgColor indexed="26"/>
      </patternFill>
    </fill>
    <fill>
      <patternFill patternType="solid">
        <fgColor rgb="FFFFC000"/>
        <bgColor indexed="64"/>
      </patternFill>
    </fill>
    <fill>
      <patternFill patternType="solid">
        <fgColor rgb="FFFFC000"/>
        <bgColor indexed="16"/>
      </patternFill>
    </fill>
    <fill>
      <patternFill patternType="solid">
        <fgColor rgb="FF00B050"/>
        <bgColor indexed="16"/>
      </patternFill>
    </fill>
    <fill>
      <patternFill patternType="solid">
        <fgColor theme="0" tint="-0.249977111117893"/>
        <bgColor indexed="18"/>
      </patternFill>
    </fill>
    <fill>
      <patternFill patternType="solid">
        <fgColor theme="0"/>
        <bgColor indexed="64"/>
      </patternFill>
    </fill>
    <fill>
      <patternFill patternType="solid">
        <fgColor rgb="FF92D050"/>
        <bgColor indexed="18"/>
      </patternFill>
    </fill>
    <fill>
      <patternFill patternType="solid">
        <fgColor rgb="FFFFC000"/>
        <bgColor indexed="18"/>
      </patternFill>
    </fill>
    <fill>
      <patternFill patternType="solid">
        <fgColor rgb="FF92D050"/>
        <bgColor indexed="16"/>
      </patternFill>
    </fill>
    <fill>
      <patternFill patternType="solid">
        <fgColor rgb="FFDBE5F1"/>
        <bgColor indexed="64"/>
      </patternFill>
    </fill>
    <fill>
      <patternFill patternType="solid">
        <fgColor rgb="FF00B0F0"/>
        <bgColor indexed="16"/>
      </patternFill>
    </fill>
    <fill>
      <patternFill patternType="solid">
        <fgColor theme="5"/>
        <bgColor indexed="16"/>
      </patternFill>
    </fill>
    <fill>
      <patternFill patternType="solid">
        <fgColor theme="2" tint="-0.499984740745262"/>
        <bgColor indexed="16"/>
      </patternFill>
    </fill>
    <fill>
      <patternFill patternType="solid">
        <fgColor theme="9"/>
        <bgColor indexed="64"/>
      </patternFill>
    </fill>
    <fill>
      <patternFill patternType="solid">
        <fgColor rgb="FFC0000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00"/>
        <bgColor indexed="16"/>
      </patternFill>
    </fill>
    <fill>
      <patternFill patternType="solid">
        <fgColor rgb="FF0070C0"/>
        <bgColor indexed="16"/>
      </patternFill>
    </fill>
    <fill>
      <patternFill patternType="solid">
        <fgColor theme="6" tint="-0.249977111117893"/>
        <bgColor indexed="64"/>
      </patternFill>
    </fill>
    <fill>
      <patternFill patternType="solid">
        <fgColor theme="6" tint="-0.249977111117893"/>
        <bgColor indexed="16"/>
      </patternFill>
    </fill>
    <fill>
      <patternFill patternType="solid">
        <fgColor theme="9" tint="-0.249977111117893"/>
        <bgColor indexed="16"/>
      </patternFill>
    </fill>
    <fill>
      <patternFill patternType="solid">
        <fgColor rgb="FF7F9E40"/>
        <bgColor indexed="64"/>
      </patternFill>
    </fill>
    <fill>
      <patternFill patternType="solid">
        <fgColor rgb="FF7F9E40"/>
        <bgColor indexed="16"/>
      </patternFill>
    </fill>
    <fill>
      <patternFill patternType="solid">
        <fgColor rgb="FFFFFF00"/>
        <bgColor indexed="64"/>
      </patternFill>
    </fill>
    <fill>
      <patternFill patternType="solid">
        <fgColor rgb="FFC5D9F1"/>
        <bgColor indexed="64"/>
      </patternFill>
    </fill>
    <fill>
      <patternFill patternType="solid">
        <fgColor theme="0"/>
        <bgColor indexed="40"/>
      </patternFill>
    </fill>
    <fill>
      <patternFill patternType="solid">
        <fgColor theme="0"/>
        <bgColor indexed="52"/>
      </patternFill>
    </fill>
    <fill>
      <patternFill patternType="solid">
        <fgColor theme="0"/>
        <bgColor indexed="38"/>
      </patternFill>
    </fill>
    <fill>
      <patternFill patternType="solid">
        <fgColor rgb="FF00B0F0"/>
        <bgColor indexed="64"/>
      </patternFill>
    </fill>
    <fill>
      <patternFill patternType="solid">
        <fgColor rgb="FFFF0000"/>
        <bgColor indexed="64"/>
      </patternFill>
    </fill>
    <fill>
      <patternFill patternType="solid">
        <fgColor rgb="FF00B0F0"/>
        <bgColor indexed="18"/>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thin">
        <color indexed="64"/>
      </left>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s>
  <cellStyleXfs count="3">
    <xf numFmtId="0" fontId="0" fillId="0" borderId="0"/>
    <xf numFmtId="167" fontId="1" fillId="0" borderId="0" applyFont="0" applyFill="0" applyBorder="0" applyAlignment="0" applyProtection="0"/>
    <xf numFmtId="43" fontId="2" fillId="0" borderId="0" applyBorder="0" applyAlignment="0" applyProtection="0"/>
  </cellStyleXfs>
  <cellXfs count="1313">
    <xf numFmtId="0" fontId="0" fillId="0" borderId="0" xfId="0"/>
    <xf numFmtId="0" fontId="0" fillId="2" borderId="0" xfId="0" applyFill="1"/>
    <xf numFmtId="0" fontId="0" fillId="2" borderId="0" xfId="0" applyFill="1" applyAlignment="1"/>
    <xf numFmtId="0" fontId="3" fillId="2" borderId="0" xfId="0" applyFont="1" applyFill="1" applyAlignment="1">
      <alignment horizontal="left"/>
    </xf>
    <xf numFmtId="0" fontId="0" fillId="2" borderId="0" xfId="0" applyFill="1" applyAlignment="1">
      <alignment horizontal="center"/>
    </xf>
    <xf numFmtId="0" fontId="0" fillId="2" borderId="0" xfId="0" applyFill="1" applyAlignment="1">
      <alignment horizontal="left"/>
    </xf>
    <xf numFmtId="0" fontId="0" fillId="3" borderId="1" xfId="0" applyFill="1" applyBorder="1" applyAlignment="1">
      <alignment horizontal="center"/>
    </xf>
    <xf numFmtId="0" fontId="8" fillId="4" borderId="1" xfId="0" applyFont="1" applyFill="1" applyBorder="1" applyAlignment="1">
      <alignment horizontal="center"/>
    </xf>
    <xf numFmtId="0" fontId="0" fillId="5" borderId="1" xfId="0" applyFill="1" applyBorder="1" applyAlignment="1"/>
    <xf numFmtId="0" fontId="0" fillId="2" borderId="1" xfId="0" applyFill="1" applyBorder="1" applyAlignment="1"/>
    <xf numFmtId="0" fontId="0" fillId="5" borderId="1" xfId="0" applyFill="1" applyBorder="1"/>
    <xf numFmtId="0" fontId="0" fillId="2" borderId="1" xfId="0" applyFill="1" applyBorder="1"/>
    <xf numFmtId="0" fontId="0" fillId="2" borderId="1" xfId="0" applyFill="1" applyBorder="1" applyAlignment="1">
      <alignment horizontal="center"/>
    </xf>
    <xf numFmtId="0" fontId="9" fillId="6" borderId="0" xfId="0" applyFont="1" applyFill="1"/>
    <xf numFmtId="2" fontId="10" fillId="6" borderId="0" xfId="0" applyNumberFormat="1" applyFont="1" applyFill="1"/>
    <xf numFmtId="0" fontId="8" fillId="7" borderId="0" xfId="0" applyFont="1" applyFill="1"/>
    <xf numFmtId="2" fontId="11" fillId="7" borderId="0" xfId="0" applyNumberFormat="1" applyFont="1" applyFill="1"/>
    <xf numFmtId="0" fontId="0" fillId="5" borderId="0" xfId="0" applyFont="1" applyFill="1"/>
    <xf numFmtId="2" fontId="12" fillId="5" borderId="0" xfId="0" applyNumberFormat="1" applyFont="1" applyFill="1"/>
    <xf numFmtId="0" fontId="0" fillId="2" borderId="0" xfId="0" applyFont="1" applyFill="1" applyBorder="1" applyAlignment="1" applyProtection="1"/>
    <xf numFmtId="0" fontId="0" fillId="2" borderId="0" xfId="0" applyFont="1" applyFill="1" applyBorder="1" applyAlignment="1" applyProtection="1">
      <alignment textRotation="255"/>
    </xf>
    <xf numFmtId="0" fontId="5" fillId="2" borderId="1" xfId="0" applyFont="1" applyFill="1" applyBorder="1" applyAlignment="1" applyProtection="1">
      <alignment textRotation="135"/>
    </xf>
    <xf numFmtId="0" fontId="0" fillId="3" borderId="0" xfId="0" applyFont="1" applyFill="1" applyBorder="1" applyAlignment="1" applyProtection="1"/>
    <xf numFmtId="0" fontId="0" fillId="5" borderId="0" xfId="0" applyFont="1" applyFill="1" applyBorder="1" applyAlignment="1" applyProtection="1"/>
    <xf numFmtId="0" fontId="13" fillId="2" borderId="0" xfId="0" applyFont="1" applyFill="1" applyAlignment="1">
      <alignment horizontal="center"/>
    </xf>
    <xf numFmtId="0" fontId="0" fillId="2" borderId="0" xfId="0" applyFont="1" applyFill="1" applyBorder="1" applyAlignment="1" applyProtection="1">
      <alignment horizontal="center"/>
    </xf>
    <xf numFmtId="0" fontId="0" fillId="8" borderId="0" xfId="0" applyFont="1" applyFill="1" applyBorder="1" applyAlignment="1" applyProtection="1"/>
    <xf numFmtId="0" fontId="8" fillId="4" borderId="0" xfId="0" applyFont="1" applyFill="1" applyBorder="1" applyAlignment="1" applyProtection="1"/>
    <xf numFmtId="0" fontId="5" fillId="2" borderId="1" xfId="0" applyFont="1" applyFill="1" applyBorder="1" applyAlignment="1" applyProtection="1"/>
    <xf numFmtId="0" fontId="5" fillId="2" borderId="1" xfId="0" applyFont="1" applyFill="1" applyBorder="1"/>
    <xf numFmtId="2" fontId="5" fillId="2" borderId="1" xfId="0" applyNumberFormat="1" applyFont="1" applyFill="1" applyBorder="1"/>
    <xf numFmtId="0" fontId="14" fillId="2" borderId="0" xfId="0" applyFont="1" applyFill="1"/>
    <xf numFmtId="0" fontId="0" fillId="2" borderId="0" xfId="0" applyFill="1" applyBorder="1" applyAlignment="1">
      <alignment horizontal="center" vertical="top" wrapText="1"/>
    </xf>
    <xf numFmtId="0" fontId="0" fillId="2" borderId="0" xfId="0" applyFill="1" applyBorder="1"/>
    <xf numFmtId="0" fontId="0" fillId="10" borderId="8" xfId="0" applyFont="1" applyFill="1" applyBorder="1" applyAlignment="1"/>
    <xf numFmtId="0" fontId="0" fillId="10" borderId="9" xfId="0" applyFill="1" applyBorder="1" applyAlignment="1"/>
    <xf numFmtId="0" fontId="0" fillId="2" borderId="0" xfId="0" applyFill="1" applyBorder="1" applyAlignment="1"/>
    <xf numFmtId="0" fontId="0" fillId="2" borderId="0" xfId="0" applyFill="1" applyBorder="1" applyAlignment="1">
      <alignment vertical="top" wrapText="1"/>
    </xf>
    <xf numFmtId="0" fontId="0" fillId="2" borderId="0" xfId="0" applyFill="1" applyBorder="1" applyAlignment="1">
      <alignment vertical="top"/>
    </xf>
    <xf numFmtId="0" fontId="9" fillId="11" borderId="1" xfId="0" applyFont="1" applyFill="1" applyBorder="1" applyAlignment="1">
      <alignment horizontal="center"/>
    </xf>
    <xf numFmtId="0" fontId="0" fillId="12" borderId="1" xfId="0" applyFill="1" applyBorder="1"/>
    <xf numFmtId="0" fontId="15" fillId="13" borderId="1" xfId="0" applyFont="1" applyFill="1" applyBorder="1"/>
    <xf numFmtId="0" fontId="15" fillId="13" borderId="1" xfId="0" applyFont="1" applyFill="1" applyBorder="1" applyAlignment="1">
      <alignment horizontal="center"/>
    </xf>
    <xf numFmtId="0" fontId="15" fillId="2" borderId="0" xfId="0" applyFont="1" applyFill="1" applyAlignment="1"/>
    <xf numFmtId="166" fontId="15" fillId="13" borderId="1" xfId="0" applyNumberFormat="1" applyFont="1" applyFill="1" applyBorder="1" applyAlignment="1">
      <alignment horizontal="center"/>
    </xf>
    <xf numFmtId="11" fontId="0" fillId="2" borderId="0" xfId="0" applyNumberFormat="1" applyFill="1"/>
    <xf numFmtId="0" fontId="23" fillId="13" borderId="1" xfId="0" applyFont="1" applyFill="1" applyBorder="1" applyAlignment="1">
      <alignment horizontal="center"/>
    </xf>
    <xf numFmtId="168" fontId="23" fillId="13" borderId="1" xfId="0" applyNumberFormat="1" applyFont="1" applyFill="1" applyBorder="1" applyAlignment="1">
      <alignment horizontal="center"/>
    </xf>
    <xf numFmtId="166" fontId="23" fillId="13" borderId="1" xfId="0" applyNumberFormat="1" applyFont="1" applyFill="1" applyBorder="1" applyAlignment="1">
      <alignment horizontal="center"/>
    </xf>
    <xf numFmtId="1" fontId="24" fillId="14" borderId="1" xfId="2" applyNumberFormat="1" applyFont="1" applyFill="1" applyBorder="1" applyAlignment="1">
      <alignment horizontal="center"/>
    </xf>
    <xf numFmtId="0" fontId="0" fillId="3" borderId="12" xfId="0" applyFill="1" applyBorder="1" applyAlignment="1">
      <alignment horizontal="center"/>
    </xf>
    <xf numFmtId="0" fontId="8" fillId="4" borderId="12" xfId="0" applyFont="1" applyFill="1" applyBorder="1" applyAlignment="1">
      <alignment horizontal="center"/>
    </xf>
    <xf numFmtId="0" fontId="0" fillId="5" borderId="12" xfId="0" applyFill="1" applyBorder="1" applyAlignment="1"/>
    <xf numFmtId="0" fontId="0" fillId="3" borderId="1" xfId="0" applyFont="1" applyFill="1" applyBorder="1" applyAlignment="1">
      <alignment horizontal="center"/>
    </xf>
    <xf numFmtId="0" fontId="8" fillId="4" borderId="1" xfId="0" applyFont="1" applyFill="1" applyBorder="1" applyAlignment="1"/>
    <xf numFmtId="0" fontId="0" fillId="5" borderId="1" xfId="0" applyFont="1" applyFill="1" applyBorder="1" applyAlignment="1"/>
    <xf numFmtId="0" fontId="23" fillId="13" borderId="11" xfId="0" applyFont="1" applyFill="1" applyBorder="1" applyAlignment="1">
      <alignment horizontal="center"/>
    </xf>
    <xf numFmtId="0" fontId="15" fillId="13" borderId="11" xfId="0" applyFont="1" applyFill="1" applyBorder="1" applyAlignment="1">
      <alignment horizontal="center"/>
    </xf>
    <xf numFmtId="0" fontId="15" fillId="13" borderId="12" xfId="0" applyFont="1" applyFill="1" applyBorder="1" applyAlignment="1">
      <alignment horizontal="center"/>
    </xf>
    <xf numFmtId="0" fontId="15" fillId="15" borderId="0" xfId="0" applyFont="1" applyFill="1" applyBorder="1" applyAlignment="1">
      <alignment horizontal="left"/>
    </xf>
    <xf numFmtId="0" fontId="23" fillId="15" borderId="0" xfId="0" applyFont="1" applyFill="1" applyBorder="1" applyAlignment="1">
      <alignment horizontal="center"/>
    </xf>
    <xf numFmtId="0" fontId="15" fillId="15" borderId="0" xfId="0" applyFont="1" applyFill="1" applyBorder="1" applyAlignment="1">
      <alignment horizontal="center"/>
    </xf>
    <xf numFmtId="0" fontId="0" fillId="15" borderId="0" xfId="0" applyFill="1" applyBorder="1"/>
    <xf numFmtId="0" fontId="0" fillId="15" borderId="0" xfId="0" applyFill="1"/>
    <xf numFmtId="0" fontId="23" fillId="13" borderId="12" xfId="0" applyFont="1" applyFill="1" applyBorder="1" applyAlignment="1">
      <alignment horizontal="center"/>
    </xf>
    <xf numFmtId="0" fontId="15" fillId="15" borderId="0" xfId="0" applyFont="1" applyFill="1" applyBorder="1" applyAlignment="1"/>
    <xf numFmtId="166" fontId="23" fillId="15" borderId="0" xfId="0" applyNumberFormat="1" applyFont="1" applyFill="1" applyBorder="1" applyAlignment="1">
      <alignment horizontal="center"/>
    </xf>
    <xf numFmtId="166" fontId="15" fillId="15" borderId="0" xfId="0" applyNumberFormat="1" applyFont="1" applyFill="1" applyBorder="1" applyAlignment="1">
      <alignment horizontal="center"/>
    </xf>
    <xf numFmtId="0" fontId="23" fillId="13" borderId="13" xfId="0" applyFont="1" applyFill="1" applyBorder="1" applyAlignment="1">
      <alignment horizontal="center"/>
    </xf>
    <xf numFmtId="0" fontId="15" fillId="13" borderId="13" xfId="0" applyFont="1" applyFill="1" applyBorder="1" applyAlignment="1">
      <alignment horizontal="center"/>
    </xf>
    <xf numFmtId="17" fontId="23" fillId="13" borderId="13" xfId="0" applyNumberFormat="1" applyFont="1" applyFill="1" applyBorder="1" applyAlignment="1">
      <alignment horizontal="center"/>
    </xf>
    <xf numFmtId="17" fontId="23" fillId="15" borderId="0" xfId="0" applyNumberFormat="1" applyFont="1" applyFill="1" applyBorder="1" applyAlignment="1">
      <alignment horizontal="center"/>
    </xf>
    <xf numFmtId="165" fontId="14" fillId="2" borderId="0" xfId="0" applyNumberFormat="1" applyFont="1" applyFill="1" applyBorder="1" applyAlignment="1" applyProtection="1"/>
    <xf numFmtId="2" fontId="0" fillId="2" borderId="0" xfId="0" applyNumberFormat="1" applyFill="1" applyBorder="1" applyAlignment="1"/>
    <xf numFmtId="1" fontId="0" fillId="2" borderId="0" xfId="0" applyNumberFormat="1" applyFill="1" applyBorder="1" applyAlignment="1"/>
    <xf numFmtId="0" fontId="0" fillId="2" borderId="14" xfId="0" applyFill="1" applyBorder="1" applyAlignment="1"/>
    <xf numFmtId="1" fontId="26" fillId="16" borderId="0" xfId="0" applyNumberFormat="1" applyFont="1" applyFill="1" applyAlignment="1">
      <alignment horizontal="center"/>
    </xf>
    <xf numFmtId="0" fontId="26" fillId="16" borderId="0" xfId="0" applyFont="1" applyFill="1" applyAlignment="1">
      <alignment horizontal="center"/>
    </xf>
    <xf numFmtId="164" fontId="0" fillId="0" borderId="0" xfId="0" applyNumberFormat="1" applyFill="1" applyBorder="1" applyAlignment="1">
      <alignment horizontal="left"/>
    </xf>
    <xf numFmtId="0" fontId="0" fillId="0" borderId="0" xfId="0" applyFill="1" applyBorder="1"/>
    <xf numFmtId="0" fontId="9" fillId="2" borderId="0" xfId="0" applyFont="1" applyFill="1"/>
    <xf numFmtId="0" fontId="8" fillId="2" borderId="0" xfId="0" applyFont="1" applyFill="1"/>
    <xf numFmtId="0" fontId="26" fillId="17" borderId="0" xfId="0" applyFont="1" applyFill="1" applyAlignment="1">
      <alignment horizontal="center"/>
    </xf>
    <xf numFmtId="0" fontId="0" fillId="18" borderId="1" xfId="0" applyFill="1" applyBorder="1"/>
    <xf numFmtId="0" fontId="0" fillId="17" borderId="0" xfId="0" applyFill="1"/>
    <xf numFmtId="0" fontId="0" fillId="17" borderId="0" xfId="0" applyFill="1" applyBorder="1"/>
    <xf numFmtId="0" fontId="0" fillId="19" borderId="0" xfId="0" applyFill="1" applyBorder="1"/>
    <xf numFmtId="0" fontId="9" fillId="21" borderId="0" xfId="0" applyFont="1" applyFill="1" applyBorder="1" applyAlignment="1">
      <alignment vertical="top" wrapText="1"/>
    </xf>
    <xf numFmtId="0" fontId="0" fillId="20" borderId="0" xfId="0" applyFont="1" applyFill="1" applyBorder="1" applyAlignment="1"/>
    <xf numFmtId="2" fontId="0" fillId="19" borderId="0" xfId="0" applyNumberFormat="1" applyFill="1" applyBorder="1"/>
    <xf numFmtId="2" fontId="9" fillId="21" borderId="0" xfId="0" applyNumberFormat="1" applyFont="1" applyFill="1" applyBorder="1" applyAlignment="1">
      <alignment vertical="top" wrapText="1"/>
    </xf>
    <xf numFmtId="165" fontId="0" fillId="19" borderId="0" xfId="0" applyNumberFormat="1" applyFill="1" applyBorder="1"/>
    <xf numFmtId="0" fontId="5" fillId="22" borderId="0" xfId="0" applyFont="1" applyFill="1" applyBorder="1" applyAlignment="1">
      <alignment horizontal="center"/>
    </xf>
    <xf numFmtId="0" fontId="0" fillId="19" borderId="1" xfId="0" applyFill="1" applyBorder="1"/>
    <xf numFmtId="0" fontId="5" fillId="22" borderId="1" xfId="0" applyFont="1" applyFill="1" applyBorder="1" applyAlignment="1">
      <alignment horizontal="left"/>
    </xf>
    <xf numFmtId="0" fontId="0" fillId="19" borderId="1" xfId="0" applyFill="1" applyBorder="1" applyAlignment="1">
      <alignment horizontal="left"/>
    </xf>
    <xf numFmtId="0" fontId="0" fillId="22" borderId="1" xfId="0" applyFont="1" applyFill="1" applyBorder="1" applyAlignment="1">
      <alignment horizontal="left"/>
    </xf>
    <xf numFmtId="0" fontId="7" fillId="22" borderId="1" xfId="0" applyFont="1" applyFill="1" applyBorder="1" applyAlignment="1">
      <alignment horizontal="left"/>
    </xf>
    <xf numFmtId="0" fontId="0" fillId="20" borderId="0" xfId="0" applyFont="1" applyFill="1" applyBorder="1" applyAlignment="1">
      <alignment horizontal="center" wrapText="1"/>
    </xf>
    <xf numFmtId="0" fontId="0" fillId="21" borderId="1" xfId="0" applyFont="1" applyFill="1" applyBorder="1" applyAlignment="1">
      <alignment horizontal="center" wrapText="1"/>
    </xf>
    <xf numFmtId="0" fontId="0" fillId="20" borderId="1" xfId="0" applyFont="1" applyFill="1" applyBorder="1" applyAlignment="1">
      <alignment horizontal="center" wrapText="1"/>
    </xf>
    <xf numFmtId="0" fontId="0" fillId="20" borderId="1" xfId="0" applyFont="1" applyFill="1" applyBorder="1" applyAlignment="1">
      <alignment horizontal="center" vertical="top" wrapText="1"/>
    </xf>
    <xf numFmtId="2" fontId="5" fillId="22" borderId="1" xfId="0" applyNumberFormat="1" applyFont="1" applyFill="1" applyBorder="1" applyAlignment="1">
      <alignment horizontal="center"/>
    </xf>
    <xf numFmtId="0" fontId="0" fillId="19" borderId="1" xfId="0" applyFill="1" applyBorder="1" applyAlignment="1">
      <alignment horizontal="center"/>
    </xf>
    <xf numFmtId="0" fontId="0" fillId="22" borderId="1" xfId="0" applyFont="1" applyFill="1" applyBorder="1" applyAlignment="1">
      <alignment horizontal="center"/>
    </xf>
    <xf numFmtId="0" fontId="36" fillId="19" borderId="1" xfId="0" applyFont="1" applyFill="1" applyBorder="1" applyAlignment="1">
      <alignment horizontal="center"/>
    </xf>
    <xf numFmtId="0" fontId="36" fillId="22" borderId="1" xfId="0" applyFont="1" applyFill="1" applyBorder="1" applyAlignment="1">
      <alignment horizontal="center"/>
    </xf>
    <xf numFmtId="165" fontId="36" fillId="19" borderId="1" xfId="0" applyNumberFormat="1" applyFont="1" applyFill="1" applyBorder="1" applyAlignment="1">
      <alignment horizontal="center"/>
    </xf>
    <xf numFmtId="0" fontId="12" fillId="22" borderId="1" xfId="0" applyFont="1" applyFill="1" applyBorder="1" applyAlignment="1">
      <alignment horizontal="center"/>
    </xf>
    <xf numFmtId="0" fontId="0" fillId="19" borderId="0" xfId="0" applyFill="1" applyBorder="1" applyAlignment="1">
      <alignment horizontal="center" vertical="top" wrapText="1"/>
    </xf>
    <xf numFmtId="0" fontId="0" fillId="20" borderId="0" xfId="0" applyFill="1" applyBorder="1" applyAlignment="1"/>
    <xf numFmtId="0" fontId="37" fillId="20" borderId="0" xfId="0" applyFont="1" applyFill="1" applyBorder="1" applyAlignment="1">
      <alignment horizontal="center" vertical="top" wrapText="1"/>
    </xf>
    <xf numFmtId="0" fontId="0" fillId="19" borderId="1" xfId="0" applyFont="1" applyFill="1" applyBorder="1"/>
    <xf numFmtId="0" fontId="0" fillId="20" borderId="0" xfId="0" applyFont="1" applyFill="1" applyBorder="1" applyAlignment="1">
      <alignment horizontal="center"/>
    </xf>
    <xf numFmtId="0" fontId="38" fillId="20" borderId="1" xfId="0" applyFont="1" applyFill="1" applyBorder="1" applyAlignment="1">
      <alignment horizontal="center" vertical="top" wrapText="1"/>
    </xf>
    <xf numFmtId="0" fontId="39" fillId="20" borderId="1" xfId="0" applyFont="1" applyFill="1" applyBorder="1" applyAlignment="1">
      <alignment horizontal="center" vertical="top" wrapText="1"/>
    </xf>
    <xf numFmtId="0" fontId="0" fillId="20" borderId="1" xfId="0" applyFont="1" applyFill="1" applyBorder="1" applyAlignment="1">
      <alignment horizontal="left" vertical="top" wrapText="1"/>
    </xf>
    <xf numFmtId="1" fontId="24" fillId="23" borderId="0" xfId="2" applyNumberFormat="1" applyFont="1" applyFill="1" applyBorder="1" applyAlignment="1">
      <alignment horizontal="center"/>
    </xf>
    <xf numFmtId="0" fontId="15" fillId="17" borderId="0" xfId="0" applyFont="1" applyFill="1" applyBorder="1" applyAlignment="1">
      <alignment horizontal="center"/>
    </xf>
    <xf numFmtId="0" fontId="0" fillId="19" borderId="0" xfId="0" applyFill="1" applyBorder="1" applyAlignment="1">
      <alignment horizontal="right"/>
    </xf>
    <xf numFmtId="165" fontId="0" fillId="22" borderId="1" xfId="0" applyNumberFormat="1" applyFont="1" applyFill="1" applyBorder="1" applyAlignment="1">
      <alignment horizontal="center"/>
    </xf>
    <xf numFmtId="1" fontId="0" fillId="22" borderId="1" xfId="0" applyNumberFormat="1" applyFont="1" applyFill="1" applyBorder="1" applyAlignment="1">
      <alignment horizontal="center"/>
    </xf>
    <xf numFmtId="165" fontId="0" fillId="19" borderId="1" xfId="0" applyNumberFormat="1" applyFill="1" applyBorder="1" applyAlignment="1">
      <alignment horizontal="center"/>
    </xf>
    <xf numFmtId="1" fontId="0" fillId="8" borderId="0" xfId="0" applyNumberFormat="1" applyFont="1" applyFill="1" applyBorder="1" applyAlignment="1" applyProtection="1">
      <alignment horizontal="center"/>
    </xf>
    <xf numFmtId="1" fontId="8" fillId="4" borderId="0" xfId="0" applyNumberFormat="1" applyFont="1" applyFill="1" applyBorder="1" applyAlignment="1" applyProtection="1">
      <alignment horizontal="center"/>
    </xf>
    <xf numFmtId="1" fontId="0" fillId="5" borderId="0" xfId="0" applyNumberFormat="1" applyFont="1" applyFill="1" applyBorder="1" applyAlignment="1" applyProtection="1">
      <alignment horizontal="center"/>
    </xf>
    <xf numFmtId="1" fontId="0" fillId="19" borderId="1" xfId="0" applyNumberFormat="1" applyFill="1" applyBorder="1" applyAlignment="1">
      <alignment horizontal="center"/>
    </xf>
    <xf numFmtId="0" fontId="0" fillId="19" borderId="11" xfId="0" applyFill="1" applyBorder="1"/>
    <xf numFmtId="1" fontId="0" fillId="19" borderId="11" xfId="0" applyNumberFormat="1" applyFill="1" applyBorder="1" applyAlignment="1">
      <alignment horizontal="center"/>
    </xf>
    <xf numFmtId="0" fontId="0" fillId="19" borderId="11" xfId="0" applyFill="1" applyBorder="1" applyAlignment="1">
      <alignment horizontal="center"/>
    </xf>
    <xf numFmtId="0" fontId="0" fillId="19" borderId="15" xfId="0" applyFill="1" applyBorder="1"/>
    <xf numFmtId="0" fontId="40" fillId="19" borderId="15" xfId="0" applyFont="1" applyFill="1" applyBorder="1" applyAlignment="1">
      <alignment horizontal="center"/>
    </xf>
    <xf numFmtId="0" fontId="40" fillId="19" borderId="10" xfId="0" applyFont="1" applyFill="1" applyBorder="1" applyAlignment="1">
      <alignment horizontal="center"/>
    </xf>
    <xf numFmtId="0" fontId="40" fillId="20" borderId="1" xfId="0" applyFont="1" applyFill="1" applyBorder="1" applyAlignment="1">
      <alignment horizontal="center" vertical="top" wrapText="1"/>
    </xf>
    <xf numFmtId="2" fontId="40" fillId="20" borderId="1" xfId="0" applyNumberFormat="1" applyFont="1" applyFill="1" applyBorder="1" applyAlignment="1">
      <alignment horizontal="center" vertical="top" wrapText="1"/>
    </xf>
    <xf numFmtId="0" fontId="0" fillId="24" borderId="0" xfId="0" applyFont="1" applyFill="1" applyBorder="1" applyAlignment="1" applyProtection="1"/>
    <xf numFmtId="0" fontId="0" fillId="2" borderId="0" xfId="0" applyFill="1" applyBorder="1" applyAlignment="1" applyProtection="1"/>
    <xf numFmtId="165" fontId="3" fillId="2" borderId="15" xfId="0" applyNumberFormat="1" applyFont="1" applyFill="1" applyBorder="1" applyAlignment="1" applyProtection="1">
      <alignment horizontal="center"/>
    </xf>
    <xf numFmtId="0" fontId="12" fillId="2" borderId="1" xfId="0" applyFont="1" applyFill="1" applyBorder="1" applyAlignment="1">
      <alignment horizontal="center"/>
    </xf>
    <xf numFmtId="0" fontId="3" fillId="25" borderId="1" xfId="0" applyFont="1" applyFill="1" applyBorder="1" applyAlignment="1">
      <alignment horizontal="left"/>
    </xf>
    <xf numFmtId="0" fontId="14" fillId="26" borderId="1" xfId="0" applyFont="1" applyFill="1" applyBorder="1"/>
    <xf numFmtId="0" fontId="0" fillId="26" borderId="1" xfId="0" applyFill="1" applyBorder="1"/>
    <xf numFmtId="0" fontId="8" fillId="26" borderId="1" xfId="0" applyFont="1" applyFill="1" applyBorder="1"/>
    <xf numFmtId="0" fontId="0" fillId="26" borderId="12" xfId="0" applyFill="1" applyBorder="1"/>
    <xf numFmtId="0" fontId="0" fillId="26" borderId="11" xfId="0" applyFill="1" applyBorder="1"/>
    <xf numFmtId="0" fontId="0" fillId="26" borderId="13" xfId="0" applyFill="1" applyBorder="1"/>
    <xf numFmtId="0" fontId="9" fillId="26" borderId="1" xfId="0" applyFont="1" applyFill="1" applyBorder="1" applyAlignment="1">
      <alignment horizontal="center"/>
    </xf>
    <xf numFmtId="0" fontId="13" fillId="26" borderId="1" xfId="0" applyFont="1" applyFill="1" applyBorder="1" applyAlignment="1" applyProtection="1">
      <alignment horizontal="center"/>
    </xf>
    <xf numFmtId="0" fontId="13" fillId="26" borderId="1" xfId="0" applyFont="1" applyFill="1" applyBorder="1" applyAlignment="1">
      <alignment horizontal="center"/>
    </xf>
    <xf numFmtId="0" fontId="3" fillId="26" borderId="1" xfId="0" applyFont="1" applyFill="1" applyBorder="1" applyAlignment="1">
      <alignment horizontal="center"/>
    </xf>
    <xf numFmtId="0" fontId="22" fillId="27" borderId="1" xfId="0" applyFont="1" applyFill="1" applyBorder="1" applyAlignment="1" applyProtection="1">
      <alignment horizontal="center"/>
    </xf>
    <xf numFmtId="0" fontId="27" fillId="27" borderId="1" xfId="0" applyFont="1" applyFill="1" applyBorder="1" applyAlignment="1" applyProtection="1">
      <alignment horizontal="center"/>
    </xf>
    <xf numFmtId="0" fontId="22" fillId="27" borderId="11" xfId="0" applyFont="1" applyFill="1" applyBorder="1" applyAlignment="1" applyProtection="1">
      <alignment horizontal="center"/>
    </xf>
    <xf numFmtId="0" fontId="18" fillId="3" borderId="1" xfId="0" applyFont="1" applyFill="1" applyBorder="1" applyAlignment="1" applyProtection="1">
      <alignment horizontal="center"/>
    </xf>
    <xf numFmtId="0" fontId="18" fillId="4" borderId="1" xfId="0" applyFont="1" applyFill="1" applyBorder="1" applyAlignment="1" applyProtection="1">
      <alignment horizontal="center"/>
    </xf>
    <xf numFmtId="0" fontId="18" fillId="5" borderId="1" xfId="0" applyFont="1" applyFill="1" applyBorder="1" applyAlignment="1" applyProtection="1">
      <alignment horizontal="center"/>
    </xf>
    <xf numFmtId="165" fontId="6" fillId="2" borderId="0" xfId="0" applyNumberFormat="1" applyFont="1" applyFill="1" applyBorder="1" applyAlignment="1" applyProtection="1"/>
    <xf numFmtId="0" fontId="0" fillId="21" borderId="1" xfId="0" applyFont="1" applyFill="1" applyBorder="1" applyAlignment="1">
      <alignment horizontal="left" wrapText="1"/>
    </xf>
    <xf numFmtId="0" fontId="36" fillId="20" borderId="1" xfId="0" applyFont="1" applyFill="1" applyBorder="1" applyAlignment="1">
      <alignment horizontal="left" vertical="top" wrapText="1"/>
    </xf>
    <xf numFmtId="0" fontId="36" fillId="19" borderId="1" xfId="0" applyFont="1" applyFill="1" applyBorder="1" applyAlignment="1">
      <alignment horizontal="left"/>
    </xf>
    <xf numFmtId="0" fontId="36" fillId="21" borderId="1" xfId="0" applyFont="1" applyFill="1" applyBorder="1" applyAlignment="1">
      <alignment horizontal="left" wrapText="1"/>
    </xf>
    <xf numFmtId="166" fontId="41" fillId="19" borderId="1" xfId="0" applyNumberFormat="1" applyFont="1" applyFill="1" applyBorder="1"/>
    <xf numFmtId="0" fontId="41" fillId="19" borderId="1" xfId="0" applyFont="1" applyFill="1" applyBorder="1"/>
    <xf numFmtId="0" fontId="21" fillId="22" borderId="1" xfId="0" applyFont="1" applyFill="1" applyBorder="1" applyAlignment="1"/>
    <xf numFmtId="17" fontId="41" fillId="19" borderId="1" xfId="0" applyNumberFormat="1" applyFont="1" applyFill="1" applyBorder="1"/>
    <xf numFmtId="168" fontId="41" fillId="22" borderId="1" xfId="0" applyNumberFormat="1" applyFont="1" applyFill="1" applyBorder="1" applyAlignment="1">
      <alignment horizontal="center"/>
    </xf>
    <xf numFmtId="0" fontId="36" fillId="19" borderId="0" xfId="0" applyFont="1" applyFill="1" applyBorder="1"/>
    <xf numFmtId="0" fontId="0" fillId="19" borderId="0" xfId="0" applyFill="1" applyAlignment="1">
      <alignment horizontal="left"/>
    </xf>
    <xf numFmtId="165" fontId="0" fillId="20" borderId="0" xfId="0" applyNumberFormat="1" applyFont="1" applyFill="1" applyBorder="1" applyAlignment="1">
      <alignment horizontal="center" vertical="top" wrapText="1"/>
    </xf>
    <xf numFmtId="0" fontId="0" fillId="0" borderId="0" xfId="0" applyFill="1" applyBorder="1" applyAlignment="1"/>
    <xf numFmtId="0" fontId="0" fillId="0" borderId="0" xfId="0" applyFont="1" applyFill="1" applyBorder="1" applyAlignment="1">
      <alignment horizontal="left"/>
    </xf>
    <xf numFmtId="0" fontId="0" fillId="0" borderId="0" xfId="0" applyFill="1" applyBorder="1" applyAlignment="1">
      <alignment horizontal="right"/>
    </xf>
    <xf numFmtId="0" fontId="7" fillId="22" borderId="0" xfId="0" applyFont="1" applyFill="1"/>
    <xf numFmtId="0" fontId="7" fillId="22" borderId="0" xfId="0" applyFont="1" applyFill="1" applyAlignment="1"/>
    <xf numFmtId="0" fontId="19" fillId="22" borderId="0" xfId="0" applyFont="1" applyFill="1" applyAlignment="1">
      <alignment horizontal="right"/>
    </xf>
    <xf numFmtId="0" fontId="0" fillId="22" borderId="0" xfId="0" applyFill="1"/>
    <xf numFmtId="0" fontId="14" fillId="22" borderId="0" xfId="0" applyFont="1" applyFill="1"/>
    <xf numFmtId="0" fontId="19" fillId="22" borderId="0" xfId="0" applyFont="1" applyFill="1" applyAlignment="1"/>
    <xf numFmtId="0" fontId="19" fillId="22" borderId="0" xfId="0" applyFont="1" applyFill="1" applyBorder="1" applyAlignment="1">
      <alignment horizontal="right"/>
    </xf>
    <xf numFmtId="0" fontId="14" fillId="22" borderId="0" xfId="0" applyFont="1" applyFill="1" applyAlignment="1"/>
    <xf numFmtId="0" fontId="19" fillId="22" borderId="0" xfId="0" applyFont="1" applyFill="1" applyAlignment="1">
      <alignment horizontal="left"/>
    </xf>
    <xf numFmtId="0" fontId="5" fillId="22" borderId="0" xfId="0" applyFont="1" applyFill="1" applyAlignment="1">
      <alignment horizontal="center"/>
    </xf>
    <xf numFmtId="164" fontId="6" fillId="22" borderId="0" xfId="0" applyNumberFormat="1" applyFont="1" applyFill="1" applyAlignment="1">
      <alignment horizontal="left"/>
    </xf>
    <xf numFmtId="165" fontId="19" fillId="22" borderId="0" xfId="0" applyNumberFormat="1" applyFont="1" applyFill="1" applyAlignment="1">
      <alignment horizontal="left"/>
    </xf>
    <xf numFmtId="0" fontId="0" fillId="22" borderId="0" xfId="0" applyFont="1" applyFill="1" applyAlignment="1"/>
    <xf numFmtId="0" fontId="5" fillId="22" borderId="2" xfId="0" applyFont="1" applyFill="1" applyBorder="1" applyAlignment="1">
      <alignment horizontal="center"/>
    </xf>
    <xf numFmtId="0" fontId="15" fillId="22" borderId="3" xfId="0" applyFont="1" applyFill="1" applyBorder="1"/>
    <xf numFmtId="0" fontId="15" fillId="22" borderId="3" xfId="0" applyFont="1" applyFill="1" applyBorder="1" applyAlignment="1">
      <alignment horizontal="right"/>
    </xf>
    <xf numFmtId="0" fontId="5" fillId="22" borderId="4" xfId="0" applyFont="1" applyFill="1" applyBorder="1" applyAlignment="1">
      <alignment horizontal="center"/>
    </xf>
    <xf numFmtId="0" fontId="15" fillId="22" borderId="5" xfId="0" applyFont="1" applyFill="1" applyBorder="1" applyAlignment="1">
      <alignment horizontal="right"/>
    </xf>
    <xf numFmtId="0" fontId="5" fillId="22" borderId="6" xfId="0" applyFont="1" applyFill="1" applyBorder="1" applyAlignment="1">
      <alignment horizontal="center"/>
    </xf>
    <xf numFmtId="0" fontId="15" fillId="22" borderId="7" xfId="0" applyFont="1" applyFill="1" applyBorder="1"/>
    <xf numFmtId="0" fontId="15" fillId="22" borderId="7" xfId="0" applyFont="1" applyFill="1" applyBorder="1" applyAlignment="1">
      <alignment horizontal="right"/>
    </xf>
    <xf numFmtId="0" fontId="16" fillId="22" borderId="0" xfId="0" applyFont="1" applyFill="1"/>
    <xf numFmtId="0" fontId="5" fillId="22" borderId="0" xfId="0" applyFont="1" applyFill="1"/>
    <xf numFmtId="0" fontId="36" fillId="22" borderId="0" xfId="0" applyFont="1" applyFill="1"/>
    <xf numFmtId="0" fontId="0" fillId="19" borderId="0" xfId="0" applyFill="1"/>
    <xf numFmtId="0" fontId="36" fillId="19" borderId="0" xfId="0" applyFont="1" applyFill="1" applyAlignment="1">
      <alignment horizontal="left"/>
    </xf>
    <xf numFmtId="0" fontId="36" fillId="22" borderId="0" xfId="0" applyFont="1" applyFill="1" applyAlignment="1"/>
    <xf numFmtId="0" fontId="0" fillId="22" borderId="0" xfId="0" applyFill="1" applyAlignment="1">
      <alignment horizontal="right"/>
    </xf>
    <xf numFmtId="0" fontId="36" fillId="22" borderId="0" xfId="0" applyFont="1" applyFill="1" applyAlignment="1">
      <alignment horizontal="right"/>
    </xf>
    <xf numFmtId="12" fontId="36" fillId="22" borderId="0" xfId="0" applyNumberFormat="1" applyFont="1" applyFill="1" applyAlignment="1">
      <alignment horizontal="right"/>
    </xf>
    <xf numFmtId="0" fontId="35" fillId="22" borderId="0" xfId="0" applyFont="1" applyFill="1" applyAlignment="1">
      <alignment horizontal="center"/>
    </xf>
    <xf numFmtId="16" fontId="32" fillId="29" borderId="0" xfId="0" applyNumberFormat="1" applyFont="1" applyFill="1" applyBorder="1" applyAlignment="1">
      <alignment horizontal="center"/>
    </xf>
    <xf numFmtId="0" fontId="32" fillId="29" borderId="0" xfId="0" applyFont="1" applyFill="1" applyBorder="1" applyAlignment="1">
      <alignment horizontal="center"/>
    </xf>
    <xf numFmtId="0" fontId="0" fillId="22" borderId="0" xfId="0" applyFill="1" applyAlignment="1"/>
    <xf numFmtId="12" fontId="36" fillId="22" borderId="0" xfId="0" applyNumberFormat="1" applyFont="1" applyFill="1"/>
    <xf numFmtId="12" fontId="6" fillId="22" borderId="0" xfId="0" applyNumberFormat="1" applyFont="1" applyFill="1"/>
    <xf numFmtId="0" fontId="45" fillId="22" borderId="0" xfId="0" applyFont="1" applyFill="1" applyAlignment="1">
      <alignment horizontal="center"/>
    </xf>
    <xf numFmtId="0" fontId="46" fillId="22" borderId="0" xfId="0" applyFont="1" applyFill="1"/>
    <xf numFmtId="0" fontId="37" fillId="22" borderId="1" xfId="0" applyFont="1" applyFill="1" applyBorder="1"/>
    <xf numFmtId="0" fontId="38" fillId="22" borderId="0" xfId="0" applyFont="1" applyFill="1"/>
    <xf numFmtId="0" fontId="21" fillId="19" borderId="0" xfId="0" applyFont="1" applyFill="1" applyBorder="1" applyAlignment="1">
      <alignment horizontal="center"/>
    </xf>
    <xf numFmtId="0" fontId="47" fillId="2" borderId="0" xfId="0" applyFont="1" applyFill="1" applyAlignment="1"/>
    <xf numFmtId="0" fontId="47" fillId="2" borderId="0" xfId="0" applyFont="1" applyFill="1" applyBorder="1" applyAlignment="1"/>
    <xf numFmtId="0" fontId="47" fillId="2" borderId="0" xfId="0" applyFont="1" applyFill="1"/>
    <xf numFmtId="0" fontId="48" fillId="2" borderId="0" xfId="0" applyFont="1" applyFill="1"/>
    <xf numFmtId="0" fontId="49" fillId="2" borderId="0" xfId="0" applyFont="1" applyFill="1" applyAlignment="1"/>
    <xf numFmtId="0" fontId="50" fillId="2" borderId="0" xfId="0" applyFont="1" applyFill="1" applyAlignment="1"/>
    <xf numFmtId="0" fontId="49" fillId="2" borderId="0" xfId="0" applyFont="1" applyFill="1" applyAlignment="1">
      <alignment horizontal="left"/>
    </xf>
    <xf numFmtId="0" fontId="50" fillId="2" borderId="0" xfId="0" applyFont="1" applyFill="1" applyAlignment="1">
      <alignment horizontal="left"/>
    </xf>
    <xf numFmtId="0" fontId="0" fillId="21" borderId="0" xfId="0" applyFont="1" applyFill="1" applyBorder="1" applyAlignment="1">
      <alignment vertical="top" wrapText="1"/>
    </xf>
    <xf numFmtId="0" fontId="0" fillId="22" borderId="0" xfId="0" applyFill="1" applyAlignment="1">
      <alignment horizontal="center"/>
    </xf>
    <xf numFmtId="0" fontId="36" fillId="22" borderId="0" xfId="0" applyFont="1" applyFill="1" applyAlignment="1">
      <alignment horizontal="center"/>
    </xf>
    <xf numFmtId="0" fontId="36" fillId="22" borderId="0" xfId="0" applyFont="1" applyFill="1" applyAlignment="1">
      <alignment horizontal="left"/>
    </xf>
    <xf numFmtId="0" fontId="19" fillId="22" borderId="0" xfId="0" applyFont="1" applyFill="1" applyBorder="1" applyAlignment="1">
      <alignment horizontal="left"/>
    </xf>
    <xf numFmtId="0" fontId="0" fillId="22" borderId="0" xfId="0" applyFill="1" applyAlignment="1">
      <alignment horizontal="left"/>
    </xf>
    <xf numFmtId="0" fontId="15" fillId="2" borderId="0" xfId="0" applyFont="1" applyFill="1" applyBorder="1" applyAlignment="1">
      <alignment horizontal="left"/>
    </xf>
    <xf numFmtId="0" fontId="0" fillId="19" borderId="0" xfId="0" applyFill="1" applyBorder="1" applyAlignment="1">
      <alignment horizontal="center"/>
    </xf>
    <xf numFmtId="0" fontId="0" fillId="21" borderId="0" xfId="0" applyFont="1" applyFill="1" applyBorder="1" applyAlignment="1">
      <alignment horizontal="center" wrapText="1"/>
    </xf>
    <xf numFmtId="0" fontId="0" fillId="22" borderId="1" xfId="0" applyFont="1" applyFill="1" applyBorder="1" applyAlignment="1"/>
    <xf numFmtId="0" fontId="15" fillId="2" borderId="0" xfId="0" applyFont="1" applyFill="1" applyBorder="1" applyAlignment="1"/>
    <xf numFmtId="0" fontId="5" fillId="2" borderId="0" xfId="0" applyFont="1" applyFill="1" applyBorder="1" applyAlignment="1">
      <alignment horizontal="center"/>
    </xf>
    <xf numFmtId="0" fontId="21" fillId="2" borderId="0" xfId="0" applyFont="1" applyFill="1" applyBorder="1" applyAlignment="1">
      <alignment horizontal="center"/>
    </xf>
    <xf numFmtId="0" fontId="0" fillId="22" borderId="0" xfId="0" applyFont="1" applyFill="1" applyBorder="1" applyAlignment="1"/>
    <xf numFmtId="0" fontId="7" fillId="22" borderId="0" xfId="0" applyFont="1" applyFill="1" applyBorder="1" applyAlignment="1">
      <alignment horizontal="center"/>
    </xf>
    <xf numFmtId="0" fontId="0" fillId="20" borderId="0" xfId="0" applyFont="1" applyFill="1" applyBorder="1" applyAlignment="1">
      <alignment horizontal="center" vertical="top" wrapText="1"/>
    </xf>
    <xf numFmtId="0" fontId="0" fillId="2" borderId="1" xfId="0" applyFont="1" applyFill="1" applyBorder="1" applyAlignment="1">
      <alignment horizontal="left"/>
    </xf>
    <xf numFmtId="0" fontId="9" fillId="29" borderId="1" xfId="0" applyNumberFormat="1" applyFont="1" applyFill="1" applyBorder="1" applyAlignment="1" applyProtection="1"/>
    <xf numFmtId="0" fontId="52" fillId="29" borderId="1" xfId="0" applyNumberFormat="1" applyFont="1" applyFill="1" applyBorder="1" applyAlignment="1" applyProtection="1">
      <alignment horizontal="center"/>
    </xf>
    <xf numFmtId="0" fontId="51" fillId="29" borderId="1" xfId="0" applyNumberFormat="1" applyFont="1" applyFill="1" applyBorder="1" applyAlignment="1" applyProtection="1">
      <alignment horizontal="center"/>
    </xf>
    <xf numFmtId="165" fontId="52" fillId="29" borderId="1" xfId="0" applyNumberFormat="1" applyFont="1" applyFill="1" applyBorder="1" applyAlignment="1" applyProtection="1">
      <alignment horizontal="center"/>
    </xf>
    <xf numFmtId="0" fontId="53" fillId="29" borderId="3" xfId="0" applyNumberFormat="1" applyFont="1" applyFill="1" applyBorder="1" applyAlignment="1" applyProtection="1"/>
    <xf numFmtId="0" fontId="53" fillId="29" borderId="1" xfId="0" applyNumberFormat="1" applyFont="1" applyFill="1" applyBorder="1" applyAlignment="1" applyProtection="1"/>
    <xf numFmtId="0" fontId="54" fillId="29" borderId="0" xfId="0" applyNumberFormat="1" applyFont="1" applyFill="1" applyBorder="1" applyAlignment="1" applyProtection="1"/>
    <xf numFmtId="0" fontId="55" fillId="29" borderId="0" xfId="0" applyNumberFormat="1" applyFont="1" applyFill="1" applyBorder="1" applyAlignment="1" applyProtection="1"/>
    <xf numFmtId="0" fontId="20" fillId="29" borderId="1" xfId="0" applyNumberFormat="1" applyFont="1" applyFill="1" applyBorder="1" applyAlignment="1" applyProtection="1"/>
    <xf numFmtId="169" fontId="57" fillId="29" borderId="1" xfId="0" applyNumberFormat="1" applyFont="1" applyFill="1" applyBorder="1" applyAlignment="1" applyProtection="1">
      <alignment horizontal="center"/>
    </xf>
    <xf numFmtId="0" fontId="9" fillId="29" borderId="0" xfId="0" applyNumberFormat="1" applyFont="1" applyFill="1" applyBorder="1" applyAlignment="1" applyProtection="1"/>
    <xf numFmtId="0" fontId="14" fillId="22" borderId="0" xfId="0" applyFont="1" applyFill="1" applyAlignment="1">
      <alignment horizontal="left"/>
    </xf>
    <xf numFmtId="165" fontId="58" fillId="29" borderId="1" xfId="0" applyNumberFormat="1" applyFont="1" applyFill="1" applyBorder="1" applyAlignment="1" applyProtection="1">
      <alignment horizontal="center"/>
    </xf>
    <xf numFmtId="0" fontId="52" fillId="29" borderId="0" xfId="0" applyNumberFormat="1" applyFont="1" applyFill="1" applyBorder="1" applyAlignment="1" applyProtection="1">
      <alignment horizontal="center"/>
    </xf>
    <xf numFmtId="165" fontId="52" fillId="29" borderId="0" xfId="0" applyNumberFormat="1" applyFont="1" applyFill="1" applyBorder="1" applyAlignment="1" applyProtection="1">
      <alignment horizontal="center"/>
    </xf>
    <xf numFmtId="0" fontId="53" fillId="29" borderId="0" xfId="0" applyNumberFormat="1" applyFont="1" applyFill="1" applyBorder="1" applyAlignment="1" applyProtection="1"/>
    <xf numFmtId="0" fontId="38" fillId="0" borderId="0" xfId="0" applyFont="1" applyFill="1" applyBorder="1" applyAlignment="1">
      <alignment horizontal="left"/>
    </xf>
    <xf numFmtId="0" fontId="39" fillId="0" borderId="0" xfId="0" applyFont="1" applyFill="1" applyBorder="1" applyAlignment="1">
      <alignment horizontal="left"/>
    </xf>
    <xf numFmtId="0" fontId="59" fillId="29" borderId="13" xfId="0" applyNumberFormat="1" applyFont="1" applyFill="1" applyBorder="1" applyAlignment="1" applyProtection="1">
      <alignment horizontal="center"/>
    </xf>
    <xf numFmtId="0" fontId="59" fillId="29" borderId="1" xfId="0" applyNumberFormat="1" applyFont="1" applyFill="1" applyBorder="1" applyAlignment="1" applyProtection="1">
      <alignment horizontal="center"/>
    </xf>
    <xf numFmtId="165" fontId="59" fillId="29" borderId="1" xfId="0" applyNumberFormat="1" applyFont="1" applyFill="1" applyBorder="1" applyAlignment="1" applyProtection="1">
      <alignment horizontal="center"/>
    </xf>
    <xf numFmtId="0" fontId="59" fillId="29" borderId="0" xfId="0" applyNumberFormat="1" applyFont="1" applyFill="1" applyBorder="1" applyAlignment="1" applyProtection="1">
      <alignment horizontal="center"/>
    </xf>
    <xf numFmtId="0" fontId="37" fillId="2" borderId="0" xfId="0" applyFont="1" applyFill="1" applyBorder="1" applyAlignment="1" applyProtection="1">
      <alignment textRotation="255"/>
    </xf>
    <xf numFmtId="0" fontId="21" fillId="2" borderId="1" xfId="0" applyFont="1" applyFill="1" applyBorder="1" applyAlignment="1" applyProtection="1">
      <alignment textRotation="135"/>
    </xf>
    <xf numFmtId="0" fontId="20" fillId="29" borderId="1" xfId="0" applyNumberFormat="1" applyFont="1" applyFill="1" applyBorder="1" applyAlignment="1" applyProtection="1">
      <alignment horizontal="center"/>
    </xf>
    <xf numFmtId="0" fontId="20" fillId="29" borderId="0" xfId="0" applyNumberFormat="1" applyFont="1" applyFill="1" applyBorder="1" applyAlignment="1" applyProtection="1"/>
    <xf numFmtId="0" fontId="9" fillId="29" borderId="1" xfId="0" applyNumberFormat="1" applyFont="1" applyFill="1" applyBorder="1" applyAlignment="1" applyProtection="1">
      <alignment horizontal="left"/>
    </xf>
    <xf numFmtId="2" fontId="9" fillId="29" borderId="1" xfId="0" applyNumberFormat="1" applyFont="1" applyFill="1" applyBorder="1" applyAlignment="1" applyProtection="1">
      <alignment horizontal="left"/>
    </xf>
    <xf numFmtId="2" fontId="35" fillId="29" borderId="1" xfId="0" applyNumberFormat="1" applyFont="1" applyFill="1" applyBorder="1" applyAlignment="1" applyProtection="1">
      <alignment horizontal="left"/>
    </xf>
    <xf numFmtId="13" fontId="60" fillId="29" borderId="1" xfId="0" applyNumberFormat="1" applyFont="1" applyFill="1" applyBorder="1" applyAlignment="1" applyProtection="1">
      <alignment horizontal="left"/>
    </xf>
    <xf numFmtId="0" fontId="0" fillId="21" borderId="1" xfId="0" applyFont="1" applyFill="1" applyBorder="1" applyAlignment="1">
      <alignment vertical="top" wrapText="1"/>
    </xf>
    <xf numFmtId="0" fontId="9" fillId="29" borderId="0" xfId="0" applyNumberFormat="1" applyFont="1" applyFill="1" applyBorder="1" applyAlignment="1" applyProtection="1"/>
    <xf numFmtId="1" fontId="19" fillId="22" borderId="0" xfId="0" applyNumberFormat="1" applyFont="1" applyFill="1" applyAlignment="1">
      <alignment horizontal="right"/>
    </xf>
    <xf numFmtId="165" fontId="61" fillId="22" borderId="0" xfId="0" applyNumberFormat="1" applyFont="1" applyFill="1" applyAlignment="1">
      <alignment horizontal="left"/>
    </xf>
    <xf numFmtId="0" fontId="62" fillId="29" borderId="1" xfId="0" applyNumberFormat="1" applyFont="1" applyFill="1" applyBorder="1" applyAlignment="1" applyProtection="1">
      <alignment horizontal="center"/>
    </xf>
    <xf numFmtId="0" fontId="9" fillId="15" borderId="0" xfId="0" applyFont="1" applyFill="1" applyBorder="1"/>
    <xf numFmtId="0" fontId="9" fillId="15" borderId="0" xfId="0" applyFont="1" applyFill="1"/>
    <xf numFmtId="0" fontId="47" fillId="2" borderId="0" xfId="0" applyFont="1" applyFill="1" applyBorder="1" applyAlignment="1">
      <alignment horizontal="center"/>
    </xf>
    <xf numFmtId="0" fontId="47" fillId="15" borderId="0" xfId="0" applyFont="1" applyFill="1" applyBorder="1"/>
    <xf numFmtId="0" fontId="47" fillId="15" borderId="0" xfId="0" applyFont="1" applyFill="1"/>
    <xf numFmtId="0" fontId="47" fillId="2" borderId="0" xfId="0" applyFont="1" applyFill="1" applyAlignment="1">
      <alignment horizontal="center"/>
    </xf>
    <xf numFmtId="0" fontId="47" fillId="2" borderId="0" xfId="0" applyFont="1" applyFill="1" applyBorder="1" applyAlignment="1">
      <alignment vertical="top" wrapText="1"/>
    </xf>
    <xf numFmtId="0" fontId="47" fillId="29" borderId="0" xfId="0" applyNumberFormat="1" applyFont="1" applyFill="1" applyBorder="1" applyAlignment="1" applyProtection="1"/>
    <xf numFmtId="0" fontId="47" fillId="2" borderId="0" xfId="0" applyFont="1" applyFill="1" applyBorder="1"/>
    <xf numFmtId="0" fontId="47" fillId="2" borderId="0" xfId="0" applyFont="1" applyFill="1" applyBorder="1" applyAlignment="1">
      <alignment vertical="top"/>
    </xf>
    <xf numFmtId="0" fontId="63" fillId="20" borderId="1" xfId="0" applyFont="1" applyFill="1" applyBorder="1" applyAlignment="1">
      <alignment horizontal="left" vertical="top" wrapText="1"/>
    </xf>
    <xf numFmtId="0" fontId="63" fillId="19" borderId="1" xfId="0" applyFont="1" applyFill="1" applyBorder="1" applyAlignment="1">
      <alignment horizontal="left"/>
    </xf>
    <xf numFmtId="0" fontId="63" fillId="21" borderId="1" xfId="0" applyFont="1" applyFill="1" applyBorder="1" applyAlignment="1">
      <alignment horizontal="left" wrapText="1"/>
    </xf>
    <xf numFmtId="0" fontId="37" fillId="20" borderId="1" xfId="0" applyFont="1" applyFill="1" applyBorder="1" applyAlignment="1">
      <alignment horizontal="center" vertical="top" wrapText="1"/>
    </xf>
    <xf numFmtId="0" fontId="37" fillId="20" borderId="1" xfId="0" applyFont="1" applyFill="1" applyBorder="1" applyAlignment="1">
      <alignment horizontal="left" vertical="top" wrapText="1"/>
    </xf>
    <xf numFmtId="0" fontId="64" fillId="29" borderId="0" xfId="0" applyNumberFormat="1" applyFont="1" applyFill="1" applyBorder="1" applyAlignment="1" applyProtection="1"/>
    <xf numFmtId="0" fontId="0" fillId="25" borderId="1" xfId="0" applyFill="1" applyBorder="1"/>
    <xf numFmtId="0" fontId="36" fillId="22" borderId="0" xfId="0" applyFont="1" applyFill="1" applyAlignment="1">
      <alignment horizontal="left"/>
    </xf>
    <xf numFmtId="0" fontId="0" fillId="22" borderId="0" xfId="0" applyFont="1" applyFill="1" applyBorder="1" applyAlignment="1">
      <alignment horizontal="left"/>
    </xf>
    <xf numFmtId="0" fontId="9" fillId="29" borderId="0" xfId="0" applyNumberFormat="1" applyFont="1" applyFill="1" applyBorder="1" applyAlignment="1" applyProtection="1"/>
    <xf numFmtId="0" fontId="35" fillId="29" borderId="0" xfId="0" applyNumberFormat="1" applyFont="1" applyFill="1" applyBorder="1" applyAlignment="1" applyProtection="1"/>
    <xf numFmtId="0" fontId="65" fillId="29" borderId="1" xfId="0" applyNumberFormat="1" applyFont="1" applyFill="1" applyBorder="1" applyAlignment="1" applyProtection="1">
      <alignment horizontal="center"/>
    </xf>
    <xf numFmtId="165" fontId="65" fillId="29" borderId="0" xfId="0" applyNumberFormat="1" applyFont="1" applyFill="1" applyBorder="1" applyAlignment="1" applyProtection="1">
      <alignment horizontal="center"/>
    </xf>
    <xf numFmtId="0" fontId="65" fillId="29" borderId="0" xfId="0" applyNumberFormat="1" applyFont="1" applyFill="1" applyBorder="1" applyAlignment="1" applyProtection="1">
      <alignment horizontal="center"/>
    </xf>
    <xf numFmtId="0" fontId="66" fillId="29" borderId="0" xfId="0" applyNumberFormat="1" applyFont="1" applyFill="1" applyBorder="1" applyAlignment="1" applyProtection="1"/>
    <xf numFmtId="0" fontId="67" fillId="29" borderId="0" xfId="0" applyNumberFormat="1" applyFont="1" applyFill="1" applyBorder="1" applyAlignment="1" applyProtection="1"/>
    <xf numFmtId="0" fontId="0" fillId="22" borderId="0" xfId="0" applyFill="1" applyAlignment="1">
      <alignment vertical="top"/>
    </xf>
    <xf numFmtId="12" fontId="36" fillId="22" borderId="0" xfId="0" applyNumberFormat="1" applyFont="1" applyFill="1" applyAlignment="1"/>
    <xf numFmtId="0" fontId="38" fillId="19" borderId="1" xfId="0" applyFont="1" applyFill="1" applyBorder="1" applyAlignment="1">
      <alignment horizontal="left"/>
    </xf>
    <xf numFmtId="0" fontId="0" fillId="20" borderId="0" xfId="0" applyFont="1" applyFill="1" applyBorder="1" applyAlignment="1">
      <alignment vertical="top" wrapText="1"/>
    </xf>
    <xf numFmtId="0" fontId="0" fillId="20" borderId="5" xfId="0" applyFont="1" applyFill="1" applyBorder="1" applyAlignment="1">
      <alignment vertical="top" wrapText="1"/>
    </xf>
    <xf numFmtId="0" fontId="0" fillId="21" borderId="4" xfId="0" applyFont="1" applyFill="1" applyBorder="1" applyAlignment="1">
      <alignment vertical="top" wrapText="1"/>
    </xf>
    <xf numFmtId="0" fontId="0" fillId="21" borderId="5" xfId="0" applyFont="1" applyFill="1" applyBorder="1" applyAlignment="1">
      <alignment vertical="top" wrapText="1"/>
    </xf>
    <xf numFmtId="0" fontId="0" fillId="21" borderId="21" xfId="0" applyFont="1" applyFill="1" applyBorder="1" applyAlignment="1">
      <alignment vertical="top" wrapText="1"/>
    </xf>
    <xf numFmtId="0" fontId="0" fillId="19" borderId="12" xfId="0" applyFill="1" applyBorder="1"/>
    <xf numFmtId="0" fontId="0" fillId="19" borderId="22" xfId="0" applyFill="1" applyBorder="1"/>
    <xf numFmtId="0" fontId="0" fillId="19" borderId="2" xfId="0" applyFill="1" applyBorder="1"/>
    <xf numFmtId="0" fontId="37" fillId="19" borderId="0" xfId="0" applyFont="1" applyFill="1" applyBorder="1"/>
    <xf numFmtId="0" fontId="0" fillId="22" borderId="9" xfId="0" applyFont="1" applyFill="1" applyBorder="1" applyAlignment="1"/>
    <xf numFmtId="0" fontId="0" fillId="20" borderId="9" xfId="0" applyFont="1" applyFill="1" applyBorder="1" applyAlignment="1">
      <alignment vertical="top" wrapText="1"/>
    </xf>
    <xf numFmtId="0" fontId="0" fillId="19" borderId="9" xfId="0" applyFill="1" applyBorder="1"/>
    <xf numFmtId="0" fontId="36" fillId="19" borderId="9" xfId="0" applyFont="1" applyFill="1" applyBorder="1"/>
    <xf numFmtId="0" fontId="0" fillId="21" borderId="9" xfId="0" applyFont="1" applyFill="1" applyBorder="1" applyAlignment="1">
      <alignment vertical="top" wrapText="1"/>
    </xf>
    <xf numFmtId="0" fontId="0" fillId="19" borderId="23" xfId="0" applyFill="1" applyBorder="1"/>
    <xf numFmtId="0" fontId="0" fillId="22" borderId="23" xfId="0" applyFont="1" applyFill="1" applyBorder="1" applyAlignment="1"/>
    <xf numFmtId="0" fontId="0" fillId="20" borderId="25" xfId="0" applyFont="1" applyFill="1" applyBorder="1" applyAlignment="1">
      <alignment vertical="top" wrapText="1"/>
    </xf>
    <xf numFmtId="0" fontId="0" fillId="21" borderId="26" xfId="0" applyFont="1" applyFill="1" applyBorder="1" applyAlignment="1">
      <alignment vertical="top" wrapText="1"/>
    </xf>
    <xf numFmtId="0" fontId="0" fillId="20" borderId="27" xfId="0" applyFont="1" applyFill="1" applyBorder="1" applyAlignment="1">
      <alignment vertical="top" wrapText="1"/>
    </xf>
    <xf numFmtId="0" fontId="0" fillId="19" borderId="13" xfId="0" applyFill="1" applyBorder="1" applyAlignment="1">
      <alignment horizontal="center" vertical="top" wrapText="1"/>
    </xf>
    <xf numFmtId="0" fontId="0" fillId="21" borderId="13" xfId="0" applyFont="1" applyFill="1" applyBorder="1" applyAlignment="1">
      <alignment vertical="top" wrapText="1"/>
    </xf>
    <xf numFmtId="0" fontId="0" fillId="21" borderId="22" xfId="0" applyFont="1" applyFill="1" applyBorder="1" applyAlignment="1">
      <alignment vertical="top" wrapText="1"/>
    </xf>
    <xf numFmtId="0" fontId="0" fillId="21" borderId="25" xfId="0" applyFont="1" applyFill="1" applyBorder="1" applyAlignment="1">
      <alignment vertical="top" wrapText="1"/>
    </xf>
    <xf numFmtId="0" fontId="0" fillId="19" borderId="5" xfId="0" applyFill="1" applyBorder="1"/>
    <xf numFmtId="0" fontId="0" fillId="21" borderId="27" xfId="0" applyFont="1" applyFill="1" applyBorder="1" applyAlignment="1">
      <alignment vertical="top" wrapText="1"/>
    </xf>
    <xf numFmtId="0" fontId="0" fillId="19" borderId="13" xfId="0" applyFill="1" applyBorder="1"/>
    <xf numFmtId="0" fontId="0" fillId="19" borderId="25" xfId="0" applyFill="1" applyBorder="1"/>
    <xf numFmtId="0" fontId="0" fillId="19" borderId="26" xfId="0" applyFill="1" applyBorder="1"/>
    <xf numFmtId="0" fontId="0" fillId="19" borderId="27" xfId="0" applyFill="1" applyBorder="1"/>
    <xf numFmtId="0" fontId="0" fillId="19" borderId="4" xfId="0" applyFill="1" applyBorder="1"/>
    <xf numFmtId="0" fontId="36" fillId="19" borderId="28" xfId="0" applyFont="1" applyFill="1" applyBorder="1"/>
    <xf numFmtId="0" fontId="36" fillId="19" borderId="21" xfId="0" applyFont="1" applyFill="1" applyBorder="1"/>
    <xf numFmtId="0" fontId="41" fillId="19" borderId="21" xfId="0" applyFont="1" applyFill="1" applyBorder="1"/>
    <xf numFmtId="0" fontId="0" fillId="19" borderId="21" xfId="0" applyFill="1" applyBorder="1"/>
    <xf numFmtId="0" fontId="36" fillId="19" borderId="18" xfId="0" applyFont="1" applyFill="1" applyBorder="1"/>
    <xf numFmtId="0" fontId="36" fillId="19" borderId="6" xfId="0" applyFont="1" applyFill="1" applyBorder="1"/>
    <xf numFmtId="0" fontId="0" fillId="19" borderId="18" xfId="0" applyFill="1" applyBorder="1"/>
    <xf numFmtId="0" fontId="0" fillId="19" borderId="29" xfId="0" applyFill="1" applyBorder="1"/>
    <xf numFmtId="0" fontId="36" fillId="22" borderId="28" xfId="0" applyFont="1" applyFill="1" applyBorder="1" applyAlignment="1"/>
    <xf numFmtId="0" fontId="36" fillId="19" borderId="4" xfId="0" applyFont="1" applyFill="1" applyBorder="1"/>
    <xf numFmtId="0" fontId="37" fillId="19" borderId="4" xfId="0" applyFont="1" applyFill="1" applyBorder="1"/>
    <xf numFmtId="0" fontId="36" fillId="19" borderId="14" xfId="0" applyFont="1" applyFill="1" applyBorder="1"/>
    <xf numFmtId="0" fontId="36" fillId="21" borderId="14" xfId="0" applyFont="1" applyFill="1" applyBorder="1" applyAlignment="1">
      <alignment vertical="top" wrapText="1"/>
    </xf>
    <xf numFmtId="0" fontId="36" fillId="21" borderId="20" xfId="0" applyFont="1" applyFill="1" applyBorder="1" applyAlignment="1">
      <alignment vertical="top" wrapText="1"/>
    </xf>
    <xf numFmtId="0" fontId="36" fillId="19" borderId="7" xfId="0" applyFont="1" applyFill="1" applyBorder="1"/>
    <xf numFmtId="0" fontId="0" fillId="19" borderId="20" xfId="0" applyFill="1" applyBorder="1"/>
    <xf numFmtId="0" fontId="0" fillId="20" borderId="24" xfId="0" applyFont="1" applyFill="1" applyBorder="1" applyAlignment="1">
      <alignment vertical="top" wrapText="1"/>
    </xf>
    <xf numFmtId="0" fontId="0" fillId="21" borderId="24" xfId="0" applyFont="1" applyFill="1" applyBorder="1" applyAlignment="1">
      <alignment vertical="top" wrapText="1"/>
    </xf>
    <xf numFmtId="0" fontId="0" fillId="19" borderId="24" xfId="0" applyFill="1" applyBorder="1"/>
    <xf numFmtId="0" fontId="0" fillId="19" borderId="6" xfId="0" applyFill="1" applyBorder="1"/>
    <xf numFmtId="0" fontId="0" fillId="19" borderId="7" xfId="0" applyFill="1" applyBorder="1"/>
    <xf numFmtId="0" fontId="0" fillId="19" borderId="19" xfId="0" applyFill="1" applyBorder="1"/>
    <xf numFmtId="0" fontId="38" fillId="19" borderId="4" xfId="0" applyFont="1" applyFill="1" applyBorder="1"/>
    <xf numFmtId="0" fontId="0" fillId="19" borderId="14" xfId="0" applyFill="1" applyBorder="1"/>
    <xf numFmtId="0" fontId="0" fillId="19" borderId="3" xfId="0" applyFill="1" applyBorder="1"/>
    <xf numFmtId="0" fontId="0" fillId="0" borderId="0" xfId="0" applyFont="1" applyFill="1" applyBorder="1" applyAlignment="1"/>
    <xf numFmtId="0" fontId="0" fillId="0" borderId="14" xfId="0" applyFill="1" applyBorder="1"/>
    <xf numFmtId="164" fontId="0" fillId="0" borderId="5" xfId="0" applyNumberFormat="1" applyFill="1" applyBorder="1" applyAlignment="1">
      <alignment horizontal="left"/>
    </xf>
    <xf numFmtId="0" fontId="0" fillId="0" borderId="5" xfId="0" applyFill="1" applyBorder="1"/>
    <xf numFmtId="14" fontId="0" fillId="0" borderId="0" xfId="0" applyNumberFormat="1" applyFill="1" applyBorder="1"/>
    <xf numFmtId="0" fontId="3" fillId="0" borderId="0" xfId="0" applyFont="1" applyFill="1" applyBorder="1" applyAlignment="1">
      <alignment horizontal="left"/>
    </xf>
    <xf numFmtId="14" fontId="0" fillId="0" borderId="5" xfId="0" applyNumberFormat="1" applyFill="1" applyBorder="1"/>
    <xf numFmtId="165" fontId="0" fillId="0" borderId="0" xfId="0" applyNumberFormat="1" applyFont="1" applyFill="1" applyBorder="1"/>
    <xf numFmtId="165" fontId="34" fillId="0" borderId="0" xfId="0" applyNumberFormat="1" applyFont="1" applyFill="1" applyBorder="1" applyAlignment="1">
      <alignment horizontal="left"/>
    </xf>
    <xf numFmtId="165" fontId="35" fillId="0" borderId="0" xfId="0" applyNumberFormat="1" applyFont="1" applyFill="1" applyBorder="1"/>
    <xf numFmtId="0" fontId="28" fillId="0" borderId="5" xfId="0" applyFont="1" applyFill="1" applyBorder="1" applyAlignment="1"/>
    <xf numFmtId="2" fontId="27" fillId="0" borderId="0" xfId="0" applyNumberFormat="1" applyFont="1" applyFill="1" applyBorder="1" applyAlignment="1">
      <alignment horizontal="left"/>
    </xf>
    <xf numFmtId="0" fontId="9" fillId="0" borderId="5" xfId="0" applyFont="1" applyFill="1" applyBorder="1"/>
    <xf numFmtId="0" fontId="0" fillId="22" borderId="0" xfId="0" applyFill="1" applyBorder="1"/>
    <xf numFmtId="0" fontId="0" fillId="22" borderId="5" xfId="0" applyFill="1" applyBorder="1"/>
    <xf numFmtId="0" fontId="39" fillId="22" borderId="0" xfId="0" applyFont="1" applyFill="1" applyBorder="1"/>
    <xf numFmtId="0" fontId="45" fillId="22" borderId="0" xfId="0" applyFont="1" applyFill="1" applyBorder="1" applyAlignment="1">
      <alignment horizontal="center"/>
    </xf>
    <xf numFmtId="0" fontId="46" fillId="22" borderId="0" xfId="0" applyFont="1" applyFill="1" applyBorder="1"/>
    <xf numFmtId="0" fontId="36" fillId="22" borderId="0" xfId="0" applyFont="1" applyFill="1" applyBorder="1" applyAlignment="1"/>
    <xf numFmtId="0" fontId="0" fillId="22" borderId="0" xfId="0" applyFill="1" applyBorder="1" applyAlignment="1"/>
    <xf numFmtId="0" fontId="36" fillId="22" borderId="5" xfId="0" applyFont="1" applyFill="1" applyBorder="1" applyAlignment="1">
      <alignment horizontal="center"/>
    </xf>
    <xf numFmtId="0" fontId="3" fillId="19" borderId="0" xfId="0" applyFont="1" applyFill="1" applyBorder="1" applyAlignment="1">
      <alignment horizontal="left"/>
    </xf>
    <xf numFmtId="0" fontId="0" fillId="0" borderId="18" xfId="0" applyFill="1" applyBorder="1"/>
    <xf numFmtId="0" fontId="0" fillId="0" borderId="4" xfId="0" applyFill="1" applyBorder="1"/>
    <xf numFmtId="0" fontId="0" fillId="22" borderId="4" xfId="0" applyFill="1" applyBorder="1"/>
    <xf numFmtId="0" fontId="21" fillId="19" borderId="4" xfId="0" applyFont="1" applyFill="1" applyBorder="1" applyAlignment="1">
      <alignment horizontal="center"/>
    </xf>
    <xf numFmtId="0" fontId="21" fillId="19" borderId="6" xfId="0" applyFont="1" applyFill="1" applyBorder="1" applyAlignment="1">
      <alignment horizontal="center"/>
    </xf>
    <xf numFmtId="0" fontId="21" fillId="19" borderId="21" xfId="0" applyFont="1" applyFill="1" applyBorder="1" applyAlignment="1">
      <alignment horizontal="center"/>
    </xf>
    <xf numFmtId="0" fontId="3" fillId="19" borderId="21" xfId="0" applyFont="1" applyFill="1" applyBorder="1" applyAlignment="1">
      <alignment horizontal="left"/>
    </xf>
    <xf numFmtId="0" fontId="7" fillId="22" borderId="0" xfId="0" applyFont="1" applyFill="1" applyBorder="1" applyAlignment="1"/>
    <xf numFmtId="0" fontId="14" fillId="22" borderId="0" xfId="0" applyFont="1" applyFill="1" applyBorder="1"/>
    <xf numFmtId="0" fontId="19" fillId="22" borderId="0" xfId="0" applyFont="1" applyFill="1" applyBorder="1" applyAlignment="1"/>
    <xf numFmtId="0" fontId="14" fillId="22" borderId="0" xfId="0" applyFont="1" applyFill="1" applyBorder="1" applyAlignment="1"/>
    <xf numFmtId="164" fontId="6" fillId="22" borderId="5" xfId="0" applyNumberFormat="1" applyFont="1" applyFill="1" applyBorder="1" applyAlignment="1">
      <alignment horizontal="left"/>
    </xf>
    <xf numFmtId="2" fontId="19" fillId="22" borderId="0" xfId="0" applyNumberFormat="1" applyFont="1" applyFill="1" applyBorder="1" applyAlignment="1">
      <alignment horizontal="right"/>
    </xf>
    <xf numFmtId="165" fontId="31" fillId="22" borderId="5" xfId="0" applyNumberFormat="1" applyFont="1" applyFill="1" applyBorder="1" applyAlignment="1">
      <alignment horizontal="left"/>
    </xf>
    <xf numFmtId="0" fontId="0" fillId="22" borderId="5" xfId="0" applyFont="1" applyFill="1" applyBorder="1" applyAlignment="1"/>
    <xf numFmtId="0" fontId="16" fillId="22" borderId="0" xfId="0" applyFont="1" applyFill="1" applyBorder="1"/>
    <xf numFmtId="0" fontId="5" fillId="22" borderId="0" xfId="0" applyFont="1" applyFill="1" applyBorder="1"/>
    <xf numFmtId="0" fontId="14" fillId="22" borderId="5" xfId="0" applyFont="1" applyFill="1" applyBorder="1" applyAlignment="1"/>
    <xf numFmtId="0" fontId="36" fillId="22" borderId="0" xfId="0" applyFont="1" applyFill="1" applyBorder="1"/>
    <xf numFmtId="0" fontId="7" fillId="22" borderId="5" xfId="0" applyFont="1" applyFill="1" applyBorder="1" applyAlignment="1">
      <alignment horizontal="center"/>
    </xf>
    <xf numFmtId="0" fontId="0" fillId="22" borderId="0" xfId="0" applyFill="1" applyBorder="1" applyAlignment="1">
      <alignment horizontal="right"/>
    </xf>
    <xf numFmtId="0" fontId="36" fillId="22" borderId="0" xfId="0" applyFont="1" applyFill="1" applyBorder="1" applyAlignment="1">
      <alignment horizontal="right"/>
    </xf>
    <xf numFmtId="12" fontId="36" fillId="22" borderId="0" xfId="0" applyNumberFormat="1" applyFont="1" applyFill="1" applyBorder="1" applyAlignment="1">
      <alignment horizontal="right"/>
    </xf>
    <xf numFmtId="0" fontId="7" fillId="22" borderId="4" xfId="0" applyFont="1" applyFill="1" applyBorder="1"/>
    <xf numFmtId="0" fontId="16" fillId="22" borderId="4" xfId="0" applyFont="1" applyFill="1" applyBorder="1"/>
    <xf numFmtId="0" fontId="7" fillId="22" borderId="18" xfId="0" applyFont="1" applyFill="1" applyBorder="1"/>
    <xf numFmtId="0" fontId="7" fillId="22" borderId="14" xfId="0" applyFont="1" applyFill="1" applyBorder="1" applyAlignment="1"/>
    <xf numFmtId="0" fontId="19" fillId="22" borderId="14" xfId="0" applyFont="1" applyFill="1" applyBorder="1" applyAlignment="1">
      <alignment horizontal="right"/>
    </xf>
    <xf numFmtId="0" fontId="0" fillId="22" borderId="14" xfId="0" applyFill="1" applyBorder="1"/>
    <xf numFmtId="0" fontId="14" fillId="22" borderId="14" xfId="0" applyFont="1" applyFill="1" applyBorder="1"/>
    <xf numFmtId="0" fontId="19" fillId="22" borderId="14" xfId="0" applyFont="1" applyFill="1" applyBorder="1" applyAlignment="1"/>
    <xf numFmtId="0" fontId="0" fillId="22" borderId="6" xfId="0" applyFill="1" applyBorder="1"/>
    <xf numFmtId="0" fontId="0" fillId="22" borderId="21" xfId="0" applyFill="1" applyBorder="1"/>
    <xf numFmtId="0" fontId="0" fillId="22" borderId="21" xfId="0" applyFill="1" applyBorder="1" applyAlignment="1">
      <alignment horizontal="right"/>
    </xf>
    <xf numFmtId="0" fontId="36" fillId="22" borderId="21" xfId="0" applyFont="1" applyFill="1" applyBorder="1" applyAlignment="1">
      <alignment horizontal="right"/>
    </xf>
    <xf numFmtId="0" fontId="0" fillId="22" borderId="7" xfId="0" applyFill="1" applyBorder="1"/>
    <xf numFmtId="0" fontId="0" fillId="22" borderId="14" xfId="0" applyFill="1" applyBorder="1" applyAlignment="1">
      <alignment horizontal="right"/>
    </xf>
    <xf numFmtId="12" fontId="36" fillId="22" borderId="14" xfId="0" applyNumberFormat="1" applyFont="1" applyFill="1" applyBorder="1" applyAlignment="1">
      <alignment horizontal="right"/>
    </xf>
    <xf numFmtId="0" fontId="35" fillId="22" borderId="0" xfId="0" applyFont="1" applyFill="1" applyBorder="1" applyAlignment="1">
      <alignment horizontal="center"/>
    </xf>
    <xf numFmtId="12" fontId="36" fillId="22" borderId="0" xfId="0" applyNumberFormat="1" applyFont="1" applyFill="1" applyBorder="1"/>
    <xf numFmtId="12" fontId="6" fillId="22" borderId="0" xfId="0" applyNumberFormat="1" applyFont="1" applyFill="1" applyBorder="1"/>
    <xf numFmtId="0" fontId="0" fillId="22" borderId="18" xfId="0" applyFill="1" applyBorder="1"/>
    <xf numFmtId="0" fontId="5" fillId="22" borderId="4" xfId="0" applyFont="1" applyFill="1" applyBorder="1"/>
    <xf numFmtId="0" fontId="0" fillId="22" borderId="20" xfId="0" applyFill="1" applyBorder="1"/>
    <xf numFmtId="0" fontId="36" fillId="22" borderId="5" xfId="0" applyFont="1" applyFill="1" applyBorder="1" applyAlignment="1">
      <alignment horizontal="left"/>
    </xf>
    <xf numFmtId="0" fontId="36" fillId="22" borderId="5" xfId="0" applyFont="1" applyFill="1" applyBorder="1"/>
    <xf numFmtId="0" fontId="0" fillId="20" borderId="5" xfId="0" applyFont="1" applyFill="1" applyBorder="1" applyAlignment="1">
      <alignment horizontal="center" vertical="top" wrapText="1"/>
    </xf>
    <xf numFmtId="0" fontId="0" fillId="20" borderId="21" xfId="0" applyFont="1" applyFill="1" applyBorder="1" applyAlignment="1">
      <alignment horizontal="center" vertical="top" wrapText="1"/>
    </xf>
    <xf numFmtId="0" fontId="0" fillId="20" borderId="14" xfId="0" applyFont="1" applyFill="1" applyBorder="1" applyAlignment="1">
      <alignment horizontal="center" vertical="top" wrapText="1"/>
    </xf>
    <xf numFmtId="0" fontId="0" fillId="20" borderId="20" xfId="0" applyFont="1" applyFill="1" applyBorder="1" applyAlignment="1">
      <alignment horizontal="center" vertical="top" wrapText="1"/>
    </xf>
    <xf numFmtId="0" fontId="0" fillId="20" borderId="7" xfId="0" applyFont="1" applyFill="1" applyBorder="1" applyAlignment="1">
      <alignment horizontal="center" vertical="top" wrapText="1"/>
    </xf>
    <xf numFmtId="0" fontId="37" fillId="20" borderId="14" xfId="0" applyFont="1" applyFill="1" applyBorder="1" applyAlignment="1">
      <alignment horizontal="center" vertical="top" wrapText="1"/>
    </xf>
    <xf numFmtId="0" fontId="0" fillId="20" borderId="5" xfId="0" applyFill="1" applyBorder="1" applyAlignment="1"/>
    <xf numFmtId="0" fontId="0" fillId="21" borderId="7" xfId="0" applyFont="1" applyFill="1" applyBorder="1" applyAlignment="1">
      <alignment vertical="top" wrapText="1"/>
    </xf>
    <xf numFmtId="0" fontId="36" fillId="22" borderId="4" xfId="0" applyFont="1" applyFill="1" applyBorder="1"/>
    <xf numFmtId="0" fontId="38" fillId="22" borderId="4" xfId="0" applyFont="1" applyFill="1" applyBorder="1"/>
    <xf numFmtId="0" fontId="0" fillId="19" borderId="5" xfId="0" applyFill="1" applyBorder="1" applyAlignment="1">
      <alignment horizontal="left"/>
    </xf>
    <xf numFmtId="0" fontId="9" fillId="21" borderId="5" xfId="0" applyFont="1" applyFill="1" applyBorder="1" applyAlignment="1">
      <alignment vertical="top" wrapText="1"/>
    </xf>
    <xf numFmtId="0" fontId="0" fillId="20" borderId="5" xfId="0" applyFont="1" applyFill="1" applyBorder="1" applyAlignment="1">
      <alignment horizontal="center" wrapText="1"/>
    </xf>
    <xf numFmtId="0" fontId="0" fillId="0" borderId="0" xfId="0" applyFill="1" applyBorder="1" applyAlignment="1">
      <alignment horizontal="center"/>
    </xf>
    <xf numFmtId="0" fontId="0" fillId="22" borderId="0" xfId="0" applyFill="1" applyBorder="1" applyAlignment="1">
      <alignment horizontal="center"/>
    </xf>
    <xf numFmtId="0" fontId="15" fillId="2" borderId="0" xfId="0" applyFont="1" applyFill="1" applyBorder="1" applyAlignment="1">
      <alignment horizontal="left"/>
    </xf>
    <xf numFmtId="0" fontId="36" fillId="22" borderId="0" xfId="0" applyFont="1" applyFill="1" applyBorder="1" applyAlignment="1">
      <alignment horizontal="center"/>
    </xf>
    <xf numFmtId="0" fontId="36" fillId="22" borderId="0" xfId="0" applyFont="1" applyFill="1" applyBorder="1" applyAlignment="1">
      <alignment horizontal="left"/>
    </xf>
    <xf numFmtId="0" fontId="5" fillId="2" borderId="0" xfId="0" applyFont="1" applyFill="1" applyBorder="1" applyAlignment="1">
      <alignment horizontal="center"/>
    </xf>
    <xf numFmtId="0" fontId="0" fillId="19" borderId="0" xfId="0" applyFill="1" applyBorder="1" applyAlignment="1">
      <alignment horizontal="center"/>
    </xf>
    <xf numFmtId="0" fontId="0" fillId="22" borderId="0" xfId="0" applyFill="1" applyBorder="1" applyAlignment="1">
      <alignment horizontal="left"/>
    </xf>
    <xf numFmtId="0" fontId="0" fillId="22" borderId="4" xfId="0" applyFill="1" applyBorder="1" applyAlignment="1">
      <alignment horizontal="left"/>
    </xf>
    <xf numFmtId="0" fontId="38" fillId="22" borderId="0" xfId="0" applyFont="1" applyFill="1" applyBorder="1" applyAlignment="1">
      <alignment horizontal="center"/>
    </xf>
    <xf numFmtId="0" fontId="19" fillId="22" borderId="0" xfId="0" applyFont="1" applyFill="1" applyBorder="1" applyAlignment="1">
      <alignment horizontal="left"/>
    </xf>
    <xf numFmtId="0" fontId="0" fillId="22" borderId="21" xfId="0" applyFill="1" applyBorder="1" applyAlignment="1">
      <alignment horizontal="left"/>
    </xf>
    <xf numFmtId="0" fontId="0" fillId="22" borderId="1" xfId="0" applyFont="1" applyFill="1" applyBorder="1" applyAlignment="1"/>
    <xf numFmtId="0" fontId="0" fillId="0" borderId="4" xfId="0" applyFill="1" applyBorder="1" applyAlignment="1">
      <alignment horizontal="left"/>
    </xf>
    <xf numFmtId="0" fontId="0" fillId="0" borderId="0" xfId="0" applyFill="1" applyBorder="1" applyAlignment="1">
      <alignment horizontal="left"/>
    </xf>
    <xf numFmtId="0" fontId="15" fillId="2" borderId="0" xfId="0" applyFont="1" applyFill="1" applyBorder="1" applyAlignment="1"/>
    <xf numFmtId="0" fontId="21" fillId="0" borderId="4" xfId="0" applyFont="1" applyFill="1" applyBorder="1" applyAlignment="1">
      <alignment horizontal="center"/>
    </xf>
    <xf numFmtId="0" fontId="21" fillId="0" borderId="0" xfId="0" applyFont="1" applyFill="1" applyBorder="1" applyAlignment="1">
      <alignment horizontal="center"/>
    </xf>
    <xf numFmtId="0" fontId="21" fillId="2" borderId="0" xfId="0" applyFont="1" applyFill="1" applyBorder="1" applyAlignment="1">
      <alignment horizontal="center"/>
    </xf>
    <xf numFmtId="0" fontId="0" fillId="0" borderId="0" xfId="0" applyFont="1" applyFill="1" applyBorder="1" applyAlignment="1">
      <alignment horizontal="center"/>
    </xf>
    <xf numFmtId="0" fontId="36" fillId="19" borderId="0" xfId="0" applyFont="1" applyFill="1" applyBorder="1" applyAlignment="1">
      <alignment horizontal="left"/>
    </xf>
    <xf numFmtId="0" fontId="0" fillId="19" borderId="4" xfId="0" applyFill="1" applyBorder="1" applyAlignment="1"/>
    <xf numFmtId="0" fontId="0" fillId="19" borderId="0" xfId="0" applyFill="1" applyBorder="1" applyAlignment="1"/>
    <xf numFmtId="0" fontId="36" fillId="19" borderId="0" xfId="0" applyFont="1" applyFill="1" applyBorder="1" applyAlignment="1">
      <alignment horizontal="center"/>
    </xf>
    <xf numFmtId="0" fontId="0" fillId="21" borderId="0" xfId="0" applyFont="1" applyFill="1" applyBorder="1" applyAlignment="1">
      <alignment horizontal="center" wrapText="1"/>
    </xf>
    <xf numFmtId="0" fontId="0" fillId="21" borderId="5" xfId="0" applyFont="1" applyFill="1" applyBorder="1" applyAlignment="1">
      <alignment horizontal="center" wrapText="1"/>
    </xf>
    <xf numFmtId="0" fontId="0" fillId="19" borderId="0" xfId="0" applyFill="1" applyBorder="1" applyAlignment="1">
      <alignment horizontal="center" vertical="top" wrapText="1"/>
    </xf>
    <xf numFmtId="0" fontId="0" fillId="19" borderId="5" xfId="0" applyFill="1" applyBorder="1" applyAlignment="1">
      <alignment horizontal="center" vertical="top" wrapText="1"/>
    </xf>
    <xf numFmtId="0" fontId="7" fillId="22" borderId="4" xfId="0" applyFont="1" applyFill="1" applyBorder="1" applyAlignment="1">
      <alignment horizontal="center"/>
    </xf>
    <xf numFmtId="0" fontId="7" fillId="22" borderId="0" xfId="0" applyFont="1" applyFill="1" applyBorder="1" applyAlignment="1">
      <alignment horizontal="center"/>
    </xf>
    <xf numFmtId="0" fontId="0" fillId="20" borderId="0" xfId="0" applyFont="1" applyFill="1" applyBorder="1" applyAlignment="1">
      <alignment horizontal="center" vertical="top" wrapText="1"/>
    </xf>
    <xf numFmtId="0" fontId="0" fillId="22" borderId="5" xfId="0" applyFill="1" applyBorder="1" applyAlignment="1">
      <alignment horizontal="left"/>
    </xf>
    <xf numFmtId="0" fontId="36" fillId="22" borderId="21" xfId="0" applyFont="1" applyFill="1" applyBorder="1" applyAlignment="1">
      <alignment horizontal="left"/>
    </xf>
    <xf numFmtId="0" fontId="36" fillId="22" borderId="14" xfId="0" applyFont="1" applyFill="1" applyBorder="1" applyAlignment="1">
      <alignment horizontal="left"/>
    </xf>
    <xf numFmtId="0" fontId="0" fillId="22" borderId="4" xfId="0" applyFont="1" applyFill="1" applyBorder="1" applyAlignment="1"/>
    <xf numFmtId="0" fontId="0" fillId="22" borderId="0" xfId="0" applyFont="1" applyFill="1" applyBorder="1" applyAlignment="1"/>
    <xf numFmtId="0" fontId="0" fillId="19" borderId="0" xfId="0" applyFill="1" applyBorder="1" applyAlignment="1">
      <alignment horizontal="left"/>
    </xf>
    <xf numFmtId="0" fontId="9" fillId="29" borderId="19" xfId="0" applyNumberFormat="1" applyFont="1" applyFill="1" applyBorder="1" applyAlignment="1" applyProtection="1"/>
    <xf numFmtId="0" fontId="9" fillId="29" borderId="0" xfId="0" applyNumberFormat="1" applyFont="1" applyFill="1" applyBorder="1" applyAlignment="1" applyProtection="1"/>
    <xf numFmtId="0" fontId="0" fillId="2" borderId="1" xfId="0" applyFont="1" applyFill="1" applyBorder="1" applyAlignment="1">
      <alignment horizontal="left"/>
    </xf>
    <xf numFmtId="165" fontId="9" fillId="0" borderId="0" xfId="0" applyNumberFormat="1" applyFont="1" applyFill="1" applyBorder="1"/>
    <xf numFmtId="1" fontId="0" fillId="19" borderId="21" xfId="0" applyNumberFormat="1" applyFill="1" applyBorder="1"/>
    <xf numFmtId="0" fontId="35" fillId="0" borderId="0" xfId="0" applyFont="1" applyFill="1" applyBorder="1" applyAlignment="1">
      <alignment horizontal="center"/>
    </xf>
    <xf numFmtId="0" fontId="38" fillId="0" borderId="4" xfId="0" applyFont="1" applyFill="1" applyBorder="1" applyAlignment="1">
      <alignment horizontal="left"/>
    </xf>
    <xf numFmtId="1" fontId="3" fillId="0" borderId="0" xfId="0" applyNumberFormat="1" applyFont="1" applyFill="1" applyBorder="1" applyAlignment="1">
      <alignment horizontal="center"/>
    </xf>
    <xf numFmtId="0" fontId="39" fillId="0" borderId="4" xfId="0" applyFont="1" applyFill="1" applyBorder="1" applyAlignment="1">
      <alignment horizontal="left"/>
    </xf>
    <xf numFmtId="1" fontId="5" fillId="0" borderId="0" xfId="0" applyNumberFormat="1" applyFont="1" applyFill="1" applyBorder="1" applyAlignment="1">
      <alignment horizontal="center"/>
    </xf>
    <xf numFmtId="0" fontId="9" fillId="29" borderId="4" xfId="0" applyNumberFormat="1" applyFont="1" applyFill="1" applyBorder="1" applyAlignment="1" applyProtection="1"/>
    <xf numFmtId="0" fontId="35" fillId="29" borderId="4" xfId="0" applyNumberFormat="1" applyFont="1" applyFill="1" applyBorder="1" applyAlignment="1" applyProtection="1"/>
    <xf numFmtId="0" fontId="54" fillId="29" borderId="4" xfId="0" applyNumberFormat="1" applyFont="1" applyFill="1" applyBorder="1" applyAlignment="1" applyProtection="1"/>
    <xf numFmtId="0" fontId="0" fillId="0" borderId="5" xfId="0" applyFill="1" applyBorder="1" applyAlignment="1"/>
    <xf numFmtId="0" fontId="9" fillId="29" borderId="5" xfId="0" applyNumberFormat="1" applyFont="1" applyFill="1" applyBorder="1" applyAlignment="1" applyProtection="1"/>
    <xf numFmtId="0" fontId="35" fillId="29" borderId="5" xfId="0" applyNumberFormat="1" applyFont="1" applyFill="1" applyBorder="1" applyAlignment="1" applyProtection="1"/>
    <xf numFmtId="0" fontId="35" fillId="0" borderId="0" xfId="0" applyFont="1" applyFill="1" applyBorder="1"/>
    <xf numFmtId="0" fontId="45" fillId="30" borderId="1" xfId="0" applyFont="1" applyFill="1" applyBorder="1" applyAlignment="1">
      <alignment horizontal="center"/>
    </xf>
    <xf numFmtId="0" fontId="36" fillId="30" borderId="1" xfId="0" applyFont="1" applyFill="1" applyBorder="1" applyAlignment="1">
      <alignment horizontal="center"/>
    </xf>
    <xf numFmtId="0" fontId="36" fillId="31" borderId="1" xfId="0" applyFont="1" applyFill="1" applyBorder="1" applyAlignment="1">
      <alignment horizontal="center"/>
    </xf>
    <xf numFmtId="0" fontId="0" fillId="31" borderId="1" xfId="0" applyFill="1" applyBorder="1"/>
    <xf numFmtId="0" fontId="0" fillId="30" borderId="1" xfId="0" applyFill="1" applyBorder="1"/>
    <xf numFmtId="0" fontId="69" fillId="2" borderId="0" xfId="0" applyFont="1" applyFill="1" applyAlignment="1">
      <alignment horizontal="center"/>
    </xf>
    <xf numFmtId="0" fontId="69" fillId="2" borderId="0" xfId="0" applyFont="1" applyFill="1" applyBorder="1" applyAlignment="1">
      <alignment horizontal="center" vertical="top" wrapText="1"/>
    </xf>
    <xf numFmtId="0" fontId="0" fillId="17" borderId="0" xfId="0" applyFill="1" applyBorder="1" applyAlignment="1">
      <alignment horizontal="center"/>
    </xf>
    <xf numFmtId="0" fontId="0" fillId="0" borderId="21" xfId="0" applyFont="1" applyFill="1" applyBorder="1" applyAlignment="1"/>
    <xf numFmtId="0" fontId="36" fillId="29" borderId="1" xfId="0" applyFont="1" applyFill="1" applyBorder="1" applyAlignment="1"/>
    <xf numFmtId="0" fontId="36" fillId="29" borderId="1" xfId="0" applyNumberFormat="1" applyFont="1" applyFill="1" applyBorder="1" applyAlignment="1"/>
    <xf numFmtId="0" fontId="0" fillId="22" borderId="4" xfId="0" applyFont="1" applyFill="1" applyBorder="1" applyAlignment="1">
      <alignment horizontal="center"/>
    </xf>
    <xf numFmtId="0" fontId="0" fillId="22" borderId="0" xfId="0" applyFont="1" applyFill="1" applyBorder="1" applyAlignment="1">
      <alignment horizontal="center"/>
    </xf>
    <xf numFmtId="0" fontId="35" fillId="22" borderId="0" xfId="0" applyFont="1" applyFill="1" applyBorder="1"/>
    <xf numFmtId="0" fontId="63" fillId="22" borderId="0" xfId="0" applyFont="1" applyFill="1" applyBorder="1"/>
    <xf numFmtId="0" fontId="35" fillId="22" borderId="4" xfId="0" applyFont="1" applyFill="1" applyBorder="1"/>
    <xf numFmtId="165" fontId="61" fillId="22" borderId="0" xfId="0" applyNumberFormat="1" applyFont="1" applyFill="1" applyBorder="1" applyAlignment="1">
      <alignment horizontal="left"/>
    </xf>
    <xf numFmtId="0" fontId="61" fillId="22" borderId="0" xfId="0" applyFont="1" applyFill="1" applyBorder="1" applyAlignment="1">
      <alignment horizontal="center"/>
    </xf>
    <xf numFmtId="0" fontId="9" fillId="22" borderId="4" xfId="0" applyFont="1" applyFill="1" applyBorder="1"/>
    <xf numFmtId="0" fontId="9" fillId="22" borderId="0" xfId="0" applyFont="1" applyFill="1" applyBorder="1"/>
    <xf numFmtId="0" fontId="61" fillId="22" borderId="0" xfId="0" applyFont="1" applyFill="1" applyBorder="1"/>
    <xf numFmtId="0" fontId="3" fillId="26" borderId="1" xfId="0" applyNumberFormat="1" applyFont="1" applyFill="1" applyBorder="1" applyAlignment="1">
      <alignment horizontal="center"/>
    </xf>
    <xf numFmtId="0" fontId="63" fillId="22" borderId="0" xfId="0" applyFont="1" applyFill="1" applyBorder="1" applyAlignment="1">
      <alignment horizontal="right"/>
    </xf>
    <xf numFmtId="0" fontId="63" fillId="22" borderId="5" xfId="0" applyFont="1" applyFill="1" applyBorder="1" applyAlignment="1">
      <alignment horizontal="left"/>
    </xf>
    <xf numFmtId="2" fontId="3" fillId="2" borderId="15" xfId="0" applyNumberFormat="1" applyFont="1" applyFill="1" applyBorder="1" applyAlignment="1" applyProtection="1">
      <alignment horizontal="center"/>
    </xf>
    <xf numFmtId="0" fontId="9" fillId="22" borderId="5" xfId="0" applyFont="1" applyFill="1" applyBorder="1"/>
    <xf numFmtId="0" fontId="14" fillId="22" borderId="0" xfId="0" applyFont="1" applyFill="1" applyBorder="1" applyAlignment="1">
      <alignment horizontal="center"/>
    </xf>
    <xf numFmtId="0" fontId="39" fillId="2" borderId="0" xfId="0" applyFont="1" applyFill="1" applyBorder="1" applyAlignment="1" applyProtection="1"/>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19" borderId="0" xfId="0" applyFill="1" applyBorder="1" applyAlignment="1">
      <alignment horizontal="center"/>
    </xf>
    <xf numFmtId="165" fontId="3" fillId="2" borderId="0" xfId="0" applyNumberFormat="1" applyFont="1" applyFill="1" applyBorder="1" applyAlignment="1" applyProtection="1">
      <alignment horizontal="center"/>
    </xf>
    <xf numFmtId="0" fontId="47" fillId="19" borderId="0" xfId="0" applyFont="1" applyFill="1"/>
    <xf numFmtId="0" fontId="48" fillId="19" borderId="0" xfId="0" applyFont="1" applyFill="1"/>
    <xf numFmtId="0" fontId="61" fillId="22" borderId="4" xfId="0" applyFont="1" applyFill="1" applyBorder="1"/>
    <xf numFmtId="0" fontId="0" fillId="22" borderId="21" xfId="0" applyFill="1" applyBorder="1" applyAlignment="1">
      <alignment horizontal="center"/>
    </xf>
    <xf numFmtId="0" fontId="0" fillId="21" borderId="0" xfId="0" applyFont="1" applyFill="1" applyBorder="1" applyAlignment="1" applyProtection="1"/>
    <xf numFmtId="0" fontId="0" fillId="19" borderId="0" xfId="0" applyFont="1" applyFill="1" applyBorder="1" applyAlignment="1" applyProtection="1"/>
    <xf numFmtId="165" fontId="14" fillId="19" borderId="0" xfId="0" applyNumberFormat="1" applyFont="1" applyFill="1" applyBorder="1" applyAlignment="1" applyProtection="1"/>
    <xf numFmtId="0" fontId="72" fillId="33" borderId="1" xfId="0" applyNumberFormat="1" applyFont="1" applyFill="1" applyBorder="1" applyAlignment="1" applyProtection="1">
      <alignment horizontal="center"/>
    </xf>
    <xf numFmtId="0" fontId="15" fillId="17" borderId="0" xfId="0" applyFont="1" applyFill="1" applyBorder="1" applyAlignment="1">
      <alignment horizontal="left"/>
    </xf>
    <xf numFmtId="0" fontId="0" fillId="27" borderId="1" xfId="0" applyFill="1" applyBorder="1"/>
    <xf numFmtId="0" fontId="0" fillId="17" borderId="0" xfId="0" applyFill="1" applyBorder="1" applyAlignment="1"/>
    <xf numFmtId="0" fontId="9" fillId="19" borderId="0" xfId="0" applyFont="1" applyFill="1"/>
    <xf numFmtId="0" fontId="9" fillId="19" borderId="0" xfId="0" applyFont="1" applyFill="1" applyBorder="1"/>
    <xf numFmtId="0" fontId="0" fillId="22" borderId="0" xfId="0" applyFill="1" applyBorder="1" applyAlignment="1">
      <alignment horizontal="left"/>
    </xf>
    <xf numFmtId="0" fontId="0" fillId="22" borderId="0" xfId="0" applyFill="1" applyBorder="1" applyAlignment="1">
      <alignment horizontal="center"/>
    </xf>
    <xf numFmtId="0" fontId="0" fillId="22" borderId="21" xfId="0" applyFill="1" applyBorder="1" applyAlignment="1">
      <alignment horizontal="left"/>
    </xf>
    <xf numFmtId="0" fontId="47" fillId="17" borderId="0" xfId="0" applyFont="1" applyFill="1" applyBorder="1"/>
    <xf numFmtId="0" fontId="69" fillId="17" borderId="0" xfId="0" applyFont="1" applyFill="1"/>
    <xf numFmtId="0" fontId="47" fillId="17" borderId="0" xfId="0" applyFont="1" applyFill="1"/>
    <xf numFmtId="0" fontId="69" fillId="17" borderId="0" xfId="0" applyFont="1" applyFill="1" applyBorder="1" applyAlignment="1">
      <alignment horizontal="center"/>
    </xf>
    <xf numFmtId="14" fontId="69" fillId="17" borderId="0" xfId="0" applyNumberFormat="1" applyFont="1" applyFill="1"/>
    <xf numFmtId="0" fontId="0" fillId="34" borderId="1" xfId="0" applyFill="1" applyBorder="1" applyAlignment="1">
      <alignment horizontal="center"/>
    </xf>
    <xf numFmtId="0" fontId="0" fillId="22" borderId="0" xfId="0" applyFont="1" applyFill="1" applyBorder="1" applyAlignment="1">
      <alignment horizontal="center"/>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19" borderId="0" xfId="0" applyFill="1" applyBorder="1" applyAlignment="1">
      <alignment horizontal="center"/>
    </xf>
    <xf numFmtId="0" fontId="0" fillId="19" borderId="0" xfId="0" applyFill="1" applyBorder="1" applyAlignment="1">
      <alignment horizontal="left"/>
    </xf>
    <xf numFmtId="0" fontId="36" fillId="22" borderId="0" xfId="0" applyFont="1" applyFill="1" applyBorder="1" applyAlignment="1">
      <alignment horizontal="left"/>
    </xf>
    <xf numFmtId="0" fontId="36" fillId="19" borderId="0" xfId="0" applyFont="1" applyFill="1" applyBorder="1" applyAlignment="1">
      <alignment horizontal="left"/>
    </xf>
    <xf numFmtId="0" fontId="0" fillId="22" borderId="0" xfId="0" applyFont="1" applyFill="1" applyBorder="1" applyAlignment="1"/>
    <xf numFmtId="0" fontId="0" fillId="19" borderId="0" xfId="0" applyFill="1" applyBorder="1" applyAlignment="1"/>
    <xf numFmtId="0" fontId="36" fillId="19" borderId="0" xfId="0" applyFont="1" applyFill="1" applyBorder="1" applyAlignment="1">
      <alignment horizontal="center"/>
    </xf>
    <xf numFmtId="0" fontId="19" fillId="22" borderId="0" xfId="0" applyFont="1" applyFill="1" applyBorder="1" applyAlignment="1">
      <alignment horizontal="left"/>
    </xf>
    <xf numFmtId="0" fontId="0" fillId="22" borderId="1" xfId="0" applyFont="1" applyFill="1" applyBorder="1" applyAlignment="1"/>
    <xf numFmtId="0" fontId="7" fillId="22" borderId="0" xfId="0" applyFont="1" applyFill="1" applyBorder="1" applyAlignment="1">
      <alignment horizontal="center"/>
    </xf>
    <xf numFmtId="0" fontId="14" fillId="22" borderId="0" xfId="0" applyFont="1" applyFill="1" applyBorder="1" applyAlignment="1">
      <alignment horizontal="center"/>
    </xf>
    <xf numFmtId="0" fontId="15" fillId="2" borderId="0" xfId="0" applyFont="1" applyFill="1" applyBorder="1" applyAlignment="1">
      <alignment horizontal="left"/>
    </xf>
    <xf numFmtId="0" fontId="5" fillId="2" borderId="0" xfId="0" applyFont="1" applyFill="1" applyBorder="1" applyAlignment="1">
      <alignment horizontal="center"/>
    </xf>
    <xf numFmtId="0" fontId="15" fillId="2" borderId="0" xfId="0" applyFont="1" applyFill="1" applyBorder="1" applyAlignment="1"/>
    <xf numFmtId="0" fontId="0" fillId="22" borderId="4" xfId="0" applyFont="1" applyFill="1" applyBorder="1" applyAlignment="1">
      <alignment horizontal="center"/>
    </xf>
    <xf numFmtId="0" fontId="0" fillId="22" borderId="0" xfId="0" applyFill="1" applyBorder="1" applyAlignment="1">
      <alignment horizontal="left"/>
    </xf>
    <xf numFmtId="0" fontId="0" fillId="22" borderId="0" xfId="0" applyFill="1" applyBorder="1" applyAlignment="1">
      <alignment horizontal="center"/>
    </xf>
    <xf numFmtId="0" fontId="36" fillId="22" borderId="0" xfId="0" applyFont="1" applyFill="1" applyBorder="1" applyAlignment="1">
      <alignment horizontal="center"/>
    </xf>
    <xf numFmtId="0" fontId="0" fillId="19" borderId="0" xfId="0" applyFill="1" applyBorder="1" applyAlignment="1">
      <alignment horizontal="center" vertical="top" wrapText="1"/>
    </xf>
    <xf numFmtId="0" fontId="0" fillId="19" borderId="5" xfId="0" applyFill="1" applyBorder="1" applyAlignment="1">
      <alignment horizontal="center" vertical="top" wrapText="1"/>
    </xf>
    <xf numFmtId="0" fontId="0" fillId="19" borderId="4" xfId="0" applyFill="1" applyBorder="1" applyAlignment="1"/>
    <xf numFmtId="0" fontId="0" fillId="22" borderId="4" xfId="0" applyFont="1" applyFill="1" applyBorder="1" applyAlignment="1"/>
    <xf numFmtId="0" fontId="36" fillId="22" borderId="21" xfId="0" applyFont="1" applyFill="1" applyBorder="1" applyAlignment="1">
      <alignment horizontal="left"/>
    </xf>
    <xf numFmtId="0" fontId="0" fillId="22" borderId="21" xfId="0" applyFill="1" applyBorder="1" applyAlignment="1">
      <alignment horizontal="left"/>
    </xf>
    <xf numFmtId="0" fontId="36" fillId="22" borderId="14" xfId="0" applyFont="1" applyFill="1" applyBorder="1" applyAlignment="1">
      <alignment horizontal="left"/>
    </xf>
    <xf numFmtId="0" fontId="7" fillId="22" borderId="4" xfId="0" applyFont="1" applyFill="1" applyBorder="1" applyAlignment="1">
      <alignment horizontal="center"/>
    </xf>
    <xf numFmtId="0" fontId="0" fillId="21" borderId="5" xfId="0" applyFont="1" applyFill="1" applyBorder="1" applyAlignment="1">
      <alignment horizontal="center" wrapText="1"/>
    </xf>
    <xf numFmtId="0" fontId="5" fillId="22" borderId="0" xfId="0" applyFont="1" applyFill="1" applyBorder="1" applyAlignment="1">
      <alignment horizontal="center"/>
    </xf>
    <xf numFmtId="0" fontId="0" fillId="34" borderId="1" xfId="0" applyFill="1" applyBorder="1" applyAlignment="1">
      <alignment horizontal="center"/>
    </xf>
    <xf numFmtId="0" fontId="63" fillId="22" borderId="5" xfId="0" applyFont="1" applyFill="1" applyBorder="1" applyAlignment="1">
      <alignment horizontal="left"/>
    </xf>
    <xf numFmtId="0" fontId="0" fillId="22" borderId="5" xfId="0" applyFill="1" applyBorder="1" applyAlignment="1">
      <alignment horizontal="left"/>
    </xf>
    <xf numFmtId="0" fontId="47" fillId="17" borderId="0" xfId="0" applyFont="1" applyFill="1" applyAlignment="1"/>
    <xf numFmtId="0" fontId="0" fillId="34" borderId="15" xfId="0" applyFill="1" applyBorder="1" applyAlignment="1"/>
    <xf numFmtId="0" fontId="0" fillId="18" borderId="2" xfId="0" applyFill="1" applyBorder="1"/>
    <xf numFmtId="0" fontId="0" fillId="34" borderId="15" xfId="0" applyFill="1" applyBorder="1" applyAlignment="1">
      <alignment horizontal="center"/>
    </xf>
    <xf numFmtId="0" fontId="0" fillId="34" borderId="36" xfId="0" applyFill="1" applyBorder="1" applyAlignment="1">
      <alignment horizontal="center"/>
    </xf>
    <xf numFmtId="0" fontId="36" fillId="27" borderId="1" xfId="0" applyFont="1" applyFill="1" applyBorder="1"/>
    <xf numFmtId="165" fontId="36" fillId="27" borderId="1" xfId="0" applyNumberFormat="1" applyFont="1" applyFill="1" applyBorder="1" applyAlignment="1">
      <alignment horizontal="center"/>
    </xf>
    <xf numFmtId="0" fontId="13" fillId="26" borderId="11" xfId="0" applyFont="1" applyFill="1" applyBorder="1" applyAlignment="1">
      <alignment horizontal="center"/>
    </xf>
    <xf numFmtId="0" fontId="0" fillId="27" borderId="11" xfId="0" applyFill="1" applyBorder="1" applyAlignment="1">
      <alignment horizontal="center"/>
    </xf>
    <xf numFmtId="0" fontId="13" fillId="27" borderId="11" xfId="0" applyFont="1" applyFill="1" applyBorder="1" applyAlignment="1">
      <alignment horizontal="center"/>
    </xf>
    <xf numFmtId="0" fontId="13" fillId="35" borderId="1" xfId="0" applyFont="1" applyFill="1" applyBorder="1" applyAlignment="1">
      <alignment horizontal="center"/>
    </xf>
    <xf numFmtId="0" fontId="0" fillId="35" borderId="1" xfId="0" applyFill="1" applyBorder="1" applyAlignment="1">
      <alignment horizontal="center"/>
    </xf>
    <xf numFmtId="0" fontId="13" fillId="36" borderId="1" xfId="0" applyFont="1" applyFill="1" applyBorder="1" applyAlignment="1">
      <alignment horizontal="center"/>
    </xf>
    <xf numFmtId="0" fontId="73" fillId="36" borderId="1" xfId="0" applyFont="1" applyFill="1" applyBorder="1" applyAlignment="1">
      <alignment horizontal="center"/>
    </xf>
    <xf numFmtId="0" fontId="0" fillId="19" borderId="0" xfId="0" applyFill="1" applyAlignment="1">
      <alignment horizontal="center"/>
    </xf>
    <xf numFmtId="0" fontId="45" fillId="27" borderId="12" xfId="0" applyFont="1" applyFill="1" applyBorder="1"/>
    <xf numFmtId="0" fontId="0" fillId="18" borderId="12" xfId="0" applyFill="1" applyBorder="1"/>
    <xf numFmtId="1" fontId="0" fillId="18" borderId="12" xfId="0" applyNumberFormat="1" applyFill="1" applyBorder="1" applyAlignment="1">
      <alignment horizontal="center"/>
    </xf>
    <xf numFmtId="0" fontId="0" fillId="0" borderId="0" xfId="0" applyFill="1" applyBorder="1" applyAlignment="1">
      <alignment horizontal="center"/>
    </xf>
    <xf numFmtId="0" fontId="0" fillId="0" borderId="0" xfId="0" applyFont="1" applyFill="1" applyBorder="1" applyAlignment="1">
      <alignment horizontal="center"/>
    </xf>
    <xf numFmtId="0" fontId="0" fillId="0" borderId="0" xfId="0" applyFont="1" applyFill="1" applyBorder="1" applyAlignment="1">
      <alignment horizontal="left"/>
    </xf>
    <xf numFmtId="0" fontId="0" fillId="0" borderId="5" xfId="0" applyFill="1" applyBorder="1" applyAlignment="1">
      <alignment horizontal="center"/>
    </xf>
    <xf numFmtId="0" fontId="38" fillId="22" borderId="0" xfId="0" applyFont="1" applyFill="1" applyBorder="1" applyAlignment="1">
      <alignment horizontal="center"/>
    </xf>
    <xf numFmtId="0" fontId="0" fillId="18" borderId="13" xfId="0" applyFill="1" applyBorder="1"/>
    <xf numFmtId="0" fontId="3" fillId="0" borderId="1" xfId="0" applyFont="1" applyFill="1" applyBorder="1" applyAlignment="1">
      <alignment horizontal="left"/>
    </xf>
    <xf numFmtId="165" fontId="3" fillId="0" borderId="1" xfId="0" applyNumberFormat="1" applyFont="1" applyFill="1" applyBorder="1" applyAlignment="1">
      <alignment horizontal="left"/>
    </xf>
    <xf numFmtId="165" fontId="27" fillId="0" borderId="1" xfId="0" applyNumberFormat="1" applyFont="1" applyFill="1" applyBorder="1" applyAlignment="1">
      <alignment horizontal="left"/>
    </xf>
    <xf numFmtId="0" fontId="74" fillId="0" borderId="0" xfId="0" applyFont="1" applyFill="1" applyBorder="1" applyAlignment="1">
      <alignment horizontal="left"/>
    </xf>
    <xf numFmtId="0" fontId="36" fillId="29" borderId="0" xfId="0" applyFont="1" applyFill="1" applyBorder="1" applyAlignment="1"/>
    <xf numFmtId="0" fontId="36" fillId="29" borderId="13" xfId="0" applyFont="1" applyFill="1" applyBorder="1" applyAlignment="1"/>
    <xf numFmtId="0" fontId="75" fillId="22" borderId="3" xfId="0" applyFont="1" applyFill="1" applyBorder="1" applyAlignment="1">
      <alignment horizontal="right"/>
    </xf>
    <xf numFmtId="165" fontId="27" fillId="29" borderId="1" xfId="0" applyNumberFormat="1" applyFont="1" applyFill="1" applyBorder="1" applyAlignment="1">
      <alignment horizontal="left"/>
    </xf>
    <xf numFmtId="2" fontId="27" fillId="29" borderId="0" xfId="0" applyNumberFormat="1" applyFont="1" applyFill="1" applyBorder="1" applyAlignment="1">
      <alignment horizontal="left"/>
    </xf>
    <xf numFmtId="165" fontId="3" fillId="0" borderId="0" xfId="0" applyNumberFormat="1" applyFont="1" applyFill="1" applyBorder="1" applyAlignment="1" applyProtection="1">
      <alignment horizontal="left"/>
    </xf>
    <xf numFmtId="0" fontId="0" fillId="19" borderId="0" xfId="0" applyFill="1" applyBorder="1" applyAlignment="1">
      <alignment horizontal="center"/>
    </xf>
    <xf numFmtId="0" fontId="0" fillId="22" borderId="0" xfId="0" applyFont="1" applyFill="1" applyBorder="1" applyAlignment="1"/>
    <xf numFmtId="0" fontId="0" fillId="19" borderId="4" xfId="0" applyFill="1" applyBorder="1" applyAlignment="1">
      <alignment horizontal="center"/>
    </xf>
    <xf numFmtId="0" fontId="0" fillId="19" borderId="2" xfId="0" applyFill="1" applyBorder="1" applyAlignment="1">
      <alignment horizontal="center"/>
    </xf>
    <xf numFmtId="0" fontId="0" fillId="19" borderId="19" xfId="0" applyFill="1" applyBorder="1" applyAlignment="1">
      <alignment horizontal="center"/>
    </xf>
    <xf numFmtId="0" fontId="0" fillId="19" borderId="3" xfId="0" applyFill="1" applyBorder="1" applyAlignment="1">
      <alignment horizontal="center"/>
    </xf>
    <xf numFmtId="0" fontId="36" fillId="22" borderId="4" xfId="0" applyFont="1" applyFill="1" applyBorder="1" applyAlignment="1"/>
    <xf numFmtId="0" fontId="0" fillId="20" borderId="23" xfId="0" applyFont="1" applyFill="1" applyBorder="1" applyAlignment="1">
      <alignment vertical="top" wrapText="1"/>
    </xf>
    <xf numFmtId="0" fontId="36" fillId="20" borderId="1" xfId="0" applyFont="1" applyFill="1" applyBorder="1" applyAlignment="1">
      <alignment horizontal="center" vertical="top" wrapText="1"/>
    </xf>
    <xf numFmtId="0" fontId="0" fillId="22" borderId="38" xfId="0" applyFont="1" applyFill="1" applyBorder="1" applyAlignment="1"/>
    <xf numFmtId="0" fontId="0" fillId="20" borderId="38" xfId="0" applyFont="1" applyFill="1" applyBorder="1" applyAlignment="1">
      <alignment vertical="top" wrapText="1"/>
    </xf>
    <xf numFmtId="0" fontId="0" fillId="20" borderId="37" xfId="0" applyFont="1" applyFill="1" applyBorder="1" applyAlignment="1">
      <alignment vertical="top" wrapText="1"/>
    </xf>
    <xf numFmtId="0" fontId="0" fillId="21" borderId="13" xfId="0" applyFont="1" applyFill="1" applyBorder="1" applyAlignment="1">
      <alignment horizontal="center" vertical="top" wrapText="1"/>
    </xf>
    <xf numFmtId="0" fontId="0" fillId="19" borderId="5" xfId="0" applyFill="1" applyBorder="1" applyAlignment="1">
      <alignment horizontal="center"/>
    </xf>
    <xf numFmtId="0" fontId="0" fillId="19" borderId="1" xfId="0" applyFill="1" applyBorder="1" applyAlignment="1">
      <alignment horizontal="center"/>
    </xf>
    <xf numFmtId="0" fontId="36" fillId="19" borderId="2" xfId="0" applyFont="1" applyFill="1" applyBorder="1"/>
    <xf numFmtId="0" fontId="36" fillId="19" borderId="19" xfId="0" applyFont="1" applyFill="1" applyBorder="1"/>
    <xf numFmtId="0" fontId="36" fillId="19" borderId="39" xfId="0" applyFont="1" applyFill="1" applyBorder="1"/>
    <xf numFmtId="0" fontId="36" fillId="19" borderId="40" xfId="0" applyFont="1" applyFill="1" applyBorder="1"/>
    <xf numFmtId="0" fontId="69" fillId="2" borderId="0" xfId="0" applyFont="1" applyFill="1" applyAlignment="1"/>
    <xf numFmtId="0" fontId="0" fillId="20" borderId="27" xfId="0" applyFont="1" applyFill="1" applyBorder="1" applyAlignment="1">
      <alignment horizontal="center" vertical="top" wrapText="1"/>
    </xf>
    <xf numFmtId="0" fontId="0" fillId="19" borderId="13" xfId="0" applyFill="1" applyBorder="1" applyAlignment="1">
      <alignment horizontal="center"/>
    </xf>
    <xf numFmtId="0" fontId="36" fillId="19" borderId="38" xfId="0" applyFont="1" applyFill="1" applyBorder="1"/>
    <xf numFmtId="0" fontId="0" fillId="19" borderId="2" xfId="0" applyFill="1" applyBorder="1" applyAlignment="1"/>
    <xf numFmtId="0" fontId="0" fillId="22" borderId="4" xfId="0" applyFont="1" applyFill="1" applyBorder="1" applyAlignment="1">
      <alignment horizontal="center"/>
    </xf>
    <xf numFmtId="0" fontId="0" fillId="22" borderId="0" xfId="0" applyFont="1" applyFill="1" applyBorder="1" applyAlignment="1">
      <alignment horizontal="center"/>
    </xf>
    <xf numFmtId="0" fontId="0" fillId="22" borderId="21" xfId="0" applyFill="1" applyBorder="1" applyAlignment="1">
      <alignment horizontal="left"/>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22" borderId="21" xfId="0" applyFill="1" applyBorder="1" applyAlignment="1">
      <alignment horizontal="left"/>
    </xf>
    <xf numFmtId="2" fontId="3" fillId="2" borderId="0" xfId="0" applyNumberFormat="1" applyFont="1" applyFill="1" applyBorder="1" applyAlignment="1" applyProtection="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22" borderId="0" xfId="0" applyFont="1" applyFill="1" applyBorder="1" applyAlignment="1">
      <alignment horizontal="center"/>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19" borderId="0" xfId="0" applyFill="1" applyBorder="1" applyAlignment="1">
      <alignment horizontal="center"/>
    </xf>
    <xf numFmtId="0" fontId="0" fillId="19" borderId="0" xfId="0" applyFill="1" applyBorder="1" applyAlignment="1">
      <alignment horizontal="left"/>
    </xf>
    <xf numFmtId="0" fontId="36" fillId="22" borderId="0" xfId="0" applyFont="1" applyFill="1" applyBorder="1" applyAlignment="1">
      <alignment horizontal="left"/>
    </xf>
    <xf numFmtId="0" fontId="36" fillId="19" borderId="0" xfId="0" applyFont="1" applyFill="1" applyBorder="1" applyAlignment="1">
      <alignment horizontal="left"/>
    </xf>
    <xf numFmtId="0" fontId="0" fillId="22" borderId="0" xfId="0" applyFont="1" applyFill="1" applyBorder="1" applyAlignment="1"/>
    <xf numFmtId="0" fontId="0" fillId="19" borderId="0" xfId="0" applyFill="1" applyBorder="1" applyAlignment="1"/>
    <xf numFmtId="0" fontId="36" fillId="19" borderId="0" xfId="0" applyFont="1" applyFill="1" applyBorder="1" applyAlignment="1">
      <alignment horizontal="center"/>
    </xf>
    <xf numFmtId="0" fontId="19" fillId="22" borderId="0" xfId="0" applyFont="1" applyFill="1" applyBorder="1" applyAlignment="1">
      <alignment horizontal="left"/>
    </xf>
    <xf numFmtId="0" fontId="0" fillId="22" borderId="1" xfId="0" applyFont="1" applyFill="1" applyBorder="1" applyAlignment="1"/>
    <xf numFmtId="0" fontId="7" fillId="22" borderId="0" xfId="0" applyFont="1" applyFill="1" applyBorder="1" applyAlignment="1">
      <alignment horizontal="center"/>
    </xf>
    <xf numFmtId="0" fontId="14" fillId="22" borderId="0" xfId="0" applyFont="1" applyFill="1" applyBorder="1" applyAlignment="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15" fillId="2" borderId="0" xfId="0" applyFont="1" applyFill="1" applyBorder="1" applyAlignment="1">
      <alignment horizontal="left"/>
    </xf>
    <xf numFmtId="0" fontId="5" fillId="2" borderId="0" xfId="0" applyFont="1" applyFill="1" applyBorder="1" applyAlignment="1">
      <alignment horizontal="center"/>
    </xf>
    <xf numFmtId="0" fontId="15" fillId="2" borderId="0" xfId="0" applyFont="1" applyFill="1" applyBorder="1" applyAlignment="1"/>
    <xf numFmtId="0" fontId="0" fillId="22" borderId="4" xfId="0" applyFont="1" applyFill="1" applyBorder="1" applyAlignment="1">
      <alignment horizontal="center"/>
    </xf>
    <xf numFmtId="0" fontId="21" fillId="2" borderId="0" xfId="0" applyFont="1" applyFill="1" applyBorder="1" applyAlignment="1">
      <alignment horizontal="center"/>
    </xf>
    <xf numFmtId="0" fontId="0" fillId="22" borderId="0" xfId="0" applyFill="1" applyBorder="1" applyAlignment="1">
      <alignment horizontal="left"/>
    </xf>
    <xf numFmtId="0" fontId="0" fillId="22" borderId="0" xfId="0" applyFill="1" applyBorder="1" applyAlignment="1">
      <alignment horizontal="center"/>
    </xf>
    <xf numFmtId="0" fontId="36" fillId="22" borderId="0" xfId="0" applyFont="1" applyFill="1" applyBorder="1" applyAlignment="1">
      <alignment horizontal="center"/>
    </xf>
    <xf numFmtId="0" fontId="0" fillId="0" borderId="0" xfId="0" applyFill="1" applyBorder="1" applyAlignment="1">
      <alignment horizontal="center"/>
    </xf>
    <xf numFmtId="0" fontId="0" fillId="0" borderId="0" xfId="0" applyFont="1" applyFill="1" applyBorder="1" applyAlignment="1">
      <alignment horizontal="center"/>
    </xf>
    <xf numFmtId="0" fontId="0" fillId="19" borderId="5" xfId="0" applyFill="1" applyBorder="1" applyAlignment="1">
      <alignment horizontal="center"/>
    </xf>
    <xf numFmtId="0" fontId="0" fillId="19" borderId="4" xfId="0" applyFill="1" applyBorder="1" applyAlignment="1">
      <alignment horizontal="center"/>
    </xf>
    <xf numFmtId="0" fontId="0" fillId="19" borderId="0" xfId="0" applyFill="1" applyBorder="1" applyAlignment="1">
      <alignment horizontal="center" vertical="top" wrapText="1"/>
    </xf>
    <xf numFmtId="0" fontId="0" fillId="19" borderId="5" xfId="0" applyFill="1" applyBorder="1" applyAlignment="1">
      <alignment horizontal="center" vertical="top" wrapText="1"/>
    </xf>
    <xf numFmtId="0" fontId="36" fillId="20" borderId="1" xfId="0" applyFont="1" applyFill="1" applyBorder="1" applyAlignment="1">
      <alignment horizontal="center" vertical="top" wrapText="1"/>
    </xf>
    <xf numFmtId="0" fontId="0" fillId="20" borderId="5" xfId="0" applyFont="1" applyFill="1" applyBorder="1" applyAlignment="1">
      <alignment horizontal="center" vertical="top" wrapText="1"/>
    </xf>
    <xf numFmtId="0" fontId="0" fillId="19" borderId="4" xfId="0" applyFill="1" applyBorder="1" applyAlignment="1"/>
    <xf numFmtId="0" fontId="0" fillId="22" borderId="4" xfId="0" applyFont="1" applyFill="1" applyBorder="1" applyAlignment="1"/>
    <xf numFmtId="0" fontId="38" fillId="22" borderId="0" xfId="0" applyFont="1" applyFill="1" applyBorder="1" applyAlignment="1">
      <alignment horizontal="center"/>
    </xf>
    <xf numFmtId="0" fontId="0" fillId="0" borderId="0" xfId="0" applyFont="1" applyFill="1" applyBorder="1" applyAlignment="1">
      <alignment horizontal="left"/>
    </xf>
    <xf numFmtId="0" fontId="36" fillId="22" borderId="21" xfId="0" applyFont="1" applyFill="1" applyBorder="1" applyAlignment="1">
      <alignment horizontal="left"/>
    </xf>
    <xf numFmtId="0" fontId="0" fillId="22" borderId="21" xfId="0" applyFill="1" applyBorder="1" applyAlignment="1">
      <alignment horizontal="left"/>
    </xf>
    <xf numFmtId="0" fontId="36" fillId="22" borderId="14" xfId="0" applyFont="1" applyFill="1" applyBorder="1" applyAlignment="1">
      <alignment horizontal="left"/>
    </xf>
    <xf numFmtId="0" fontId="7" fillId="22" borderId="4" xfId="0" applyFont="1" applyFill="1" applyBorder="1" applyAlignment="1">
      <alignment horizontal="center"/>
    </xf>
    <xf numFmtId="0" fontId="3" fillId="0" borderId="0" xfId="0" applyFont="1" applyFill="1" applyBorder="1" applyAlignment="1">
      <alignment horizontal="left"/>
    </xf>
    <xf numFmtId="0" fontId="0" fillId="0" borderId="5" xfId="0" applyFill="1" applyBorder="1" applyAlignment="1">
      <alignment horizontal="center"/>
    </xf>
    <xf numFmtId="0" fontId="74" fillId="0" borderId="0" xfId="0" applyFont="1" applyFill="1" applyBorder="1" applyAlignment="1">
      <alignment horizontal="left"/>
    </xf>
    <xf numFmtId="0" fontId="0" fillId="19" borderId="2" xfId="0" applyFill="1" applyBorder="1" applyAlignment="1">
      <alignment horizontal="center"/>
    </xf>
    <xf numFmtId="0" fontId="0" fillId="19" borderId="19" xfId="0" applyFill="1" applyBorder="1" applyAlignment="1">
      <alignment horizontal="center"/>
    </xf>
    <xf numFmtId="0" fontId="0" fillId="19" borderId="3" xfId="0" applyFill="1" applyBorder="1" applyAlignment="1">
      <alignment horizontal="center"/>
    </xf>
    <xf numFmtId="0" fontId="36" fillId="22" borderId="0" xfId="0" applyFont="1" applyFill="1" applyBorder="1" applyAlignment="1">
      <alignment horizontal="left"/>
    </xf>
    <xf numFmtId="0" fontId="19" fillId="22" borderId="0" xfId="0" applyFont="1" applyFill="1" applyBorder="1" applyAlignment="1">
      <alignment horizontal="left"/>
    </xf>
    <xf numFmtId="0" fontId="14" fillId="22" borderId="0" xfId="0" applyFont="1" applyFill="1" applyBorder="1" applyAlignment="1">
      <alignment horizontal="center"/>
    </xf>
    <xf numFmtId="16" fontId="36" fillId="22" borderId="0" xfId="0" applyNumberFormat="1" applyFont="1" applyFill="1" applyBorder="1" applyAlignment="1">
      <alignment horizontal="left"/>
    </xf>
    <xf numFmtId="12" fontId="36" fillId="22" borderId="0" xfId="0" applyNumberFormat="1" applyFont="1" applyFill="1" applyBorder="1" applyAlignment="1">
      <alignment horizontal="left"/>
    </xf>
    <xf numFmtId="0" fontId="3" fillId="29" borderId="11" xfId="0" applyFont="1" applyFill="1" applyBorder="1" applyAlignment="1">
      <alignment horizontal="left"/>
    </xf>
    <xf numFmtId="0" fontId="0" fillId="39" borderId="17" xfId="0" applyFill="1" applyBorder="1"/>
    <xf numFmtId="0" fontId="0" fillId="39" borderId="31" xfId="0" applyFill="1" applyBorder="1"/>
    <xf numFmtId="0" fontId="0" fillId="39" borderId="23" xfId="0" applyFill="1" applyBorder="1"/>
    <xf numFmtId="0" fontId="0" fillId="39" borderId="34" xfId="0" applyFill="1" applyBorder="1"/>
    <xf numFmtId="0" fontId="76" fillId="0" borderId="0" xfId="0" applyFont="1" applyFill="1"/>
    <xf numFmtId="0" fontId="0" fillId="41" borderId="1" xfId="0" applyFill="1" applyBorder="1"/>
    <xf numFmtId="0" fontId="21" fillId="44" borderId="1" xfId="0" applyFont="1" applyFill="1" applyBorder="1" applyAlignment="1">
      <alignment horizontal="center"/>
    </xf>
    <xf numFmtId="0" fontId="0" fillId="23" borderId="0" xfId="0" applyFill="1" applyBorder="1"/>
    <xf numFmtId="0" fontId="47" fillId="19" borderId="0" xfId="0" applyFont="1" applyFill="1" applyAlignment="1">
      <alignment horizontal="center"/>
    </xf>
    <xf numFmtId="0" fontId="14" fillId="17" borderId="0" xfId="0" applyFont="1" applyFill="1" applyBorder="1" applyAlignment="1">
      <alignment horizontal="left"/>
    </xf>
    <xf numFmtId="0" fontId="9" fillId="19" borderId="0" xfId="0" applyFont="1" applyFill="1" applyAlignment="1">
      <alignment horizontal="center"/>
    </xf>
    <xf numFmtId="0" fontId="9" fillId="29" borderId="0" xfId="0" applyFont="1" applyFill="1" applyBorder="1"/>
    <xf numFmtId="0" fontId="0" fillId="29" borderId="0" xfId="0" applyFill="1" applyBorder="1" applyAlignment="1">
      <alignment horizontal="left"/>
    </xf>
    <xf numFmtId="1" fontId="24" fillId="43" borderId="3" xfId="2" applyNumberFormat="1" applyFont="1" applyFill="1" applyBorder="1" applyAlignment="1">
      <alignment horizontal="center"/>
    </xf>
    <xf numFmtId="0" fontId="0" fillId="23" borderId="0" xfId="0" applyFill="1" applyBorder="1" applyAlignment="1">
      <alignment horizontal="left"/>
    </xf>
    <xf numFmtId="1" fontId="24" fillId="23" borderId="0" xfId="2" applyNumberFormat="1" applyFont="1" applyFill="1" applyBorder="1" applyAlignment="1">
      <alignment horizontal="left"/>
    </xf>
    <xf numFmtId="1" fontId="24" fillId="23" borderId="0" xfId="2" applyNumberFormat="1" applyFont="1" applyFill="1" applyBorder="1" applyAlignment="1">
      <alignment horizontal="left" vertical="center"/>
    </xf>
    <xf numFmtId="1" fontId="24" fillId="46" borderId="1" xfId="2" applyNumberFormat="1" applyFont="1" applyFill="1" applyBorder="1" applyAlignment="1">
      <alignment horizontal="center"/>
    </xf>
    <xf numFmtId="0" fontId="15" fillId="47" borderId="1" xfId="0" applyFont="1" applyFill="1" applyBorder="1" applyAlignment="1">
      <alignment horizontal="center"/>
    </xf>
    <xf numFmtId="1" fontId="24" fillId="43" borderId="1" xfId="2" applyNumberFormat="1" applyFont="1" applyFill="1" applyBorder="1" applyAlignment="1">
      <alignment horizontal="left"/>
    </xf>
    <xf numFmtId="1" fontId="24" fillId="48" borderId="1" xfId="2" applyNumberFormat="1" applyFont="1" applyFill="1" applyBorder="1" applyAlignment="1">
      <alignment horizontal="left"/>
    </xf>
    <xf numFmtId="0" fontId="0" fillId="19" borderId="0" xfId="0" applyFill="1" applyBorder="1" applyAlignment="1">
      <alignment horizontal="center" vertical="top" wrapText="1"/>
    </xf>
    <xf numFmtId="0" fontId="0" fillId="19" borderId="0" xfId="0" applyFill="1" applyBorder="1" applyAlignment="1">
      <alignment horizontal="center"/>
    </xf>
    <xf numFmtId="0" fontId="0" fillId="22" borderId="0" xfId="0" applyFont="1" applyFill="1" applyBorder="1" applyAlignment="1"/>
    <xf numFmtId="0" fontId="0" fillId="22" borderId="4" xfId="0" applyFill="1" applyBorder="1" applyAlignment="1">
      <alignment horizontal="left"/>
    </xf>
    <xf numFmtId="0" fontId="0" fillId="22" borderId="0" xfId="0" applyFill="1" applyBorder="1" applyAlignment="1">
      <alignment horizontal="left"/>
    </xf>
    <xf numFmtId="0" fontId="36" fillId="22" borderId="0" xfId="0" applyFont="1" applyFill="1" applyBorder="1" applyAlignment="1">
      <alignment horizontal="center"/>
    </xf>
    <xf numFmtId="0" fontId="0" fillId="0" borderId="0" xfId="0" applyFont="1" applyFill="1" applyBorder="1" applyAlignment="1">
      <alignment horizontal="left"/>
    </xf>
    <xf numFmtId="0" fontId="19" fillId="22" borderId="0" xfId="0" applyFont="1" applyFill="1" applyBorder="1" applyAlignment="1">
      <alignment horizontal="left"/>
    </xf>
    <xf numFmtId="0" fontId="0" fillId="22" borderId="1" xfId="0" applyFont="1" applyFill="1" applyBorder="1" applyAlignment="1"/>
    <xf numFmtId="0" fontId="7" fillId="22" borderId="0" xfId="0" applyFont="1" applyFill="1" applyBorder="1" applyAlignment="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0" borderId="0" xfId="0" applyFont="1" applyFill="1" applyBorder="1" applyAlignment="1">
      <alignment horizontal="center"/>
    </xf>
    <xf numFmtId="0" fontId="15" fillId="2" borderId="0" xfId="0" applyFont="1" applyFill="1" applyBorder="1" applyAlignment="1">
      <alignment horizontal="left"/>
    </xf>
    <xf numFmtId="0" fontId="5" fillId="2" borderId="0" xfId="0" applyFont="1" applyFill="1" applyBorder="1" applyAlignment="1">
      <alignment horizontal="center"/>
    </xf>
    <xf numFmtId="0" fontId="15" fillId="2" borderId="0" xfId="0" applyFont="1" applyFill="1" applyBorder="1" applyAlignment="1"/>
    <xf numFmtId="0" fontId="21" fillId="2" borderId="0" xfId="0" applyFont="1"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left"/>
    </xf>
    <xf numFmtId="0" fontId="0" fillId="0" borderId="0" xfId="0"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22" borderId="0" xfId="0" applyFont="1" applyFill="1" applyBorder="1" applyAlignment="1">
      <alignment horizontal="left"/>
    </xf>
    <xf numFmtId="0" fontId="0" fillId="22" borderId="0" xfId="0" applyFill="1" applyAlignment="1">
      <alignment horizontal="left"/>
    </xf>
    <xf numFmtId="0" fontId="36" fillId="22" borderId="0" xfId="0" applyFont="1" applyFill="1" applyAlignment="1">
      <alignment horizontal="left"/>
    </xf>
    <xf numFmtId="0" fontId="0" fillId="22" borderId="0" xfId="0" applyFill="1" applyAlignment="1">
      <alignment horizontal="center"/>
    </xf>
    <xf numFmtId="0" fontId="36" fillId="22" borderId="0" xfId="0" applyFont="1" applyFill="1" applyAlignment="1">
      <alignment horizontal="center"/>
    </xf>
    <xf numFmtId="0" fontId="14" fillId="22" borderId="0" xfId="0" applyFont="1" applyFill="1" applyAlignment="1">
      <alignment horizontal="left"/>
    </xf>
    <xf numFmtId="0" fontId="9" fillId="29" borderId="19" xfId="0" applyNumberFormat="1" applyFont="1" applyFill="1" applyBorder="1" applyAlignment="1" applyProtection="1"/>
    <xf numFmtId="0" fontId="9" fillId="29" borderId="4" xfId="0" applyNumberFormat="1" applyFont="1" applyFill="1" applyBorder="1" applyAlignment="1" applyProtection="1"/>
    <xf numFmtId="0" fontId="9" fillId="29" borderId="0" xfId="0" applyNumberFormat="1" applyFont="1" applyFill="1" applyBorder="1" applyAlignment="1" applyProtection="1"/>
    <xf numFmtId="0" fontId="0" fillId="0" borderId="4" xfId="0" applyFill="1" applyBorder="1" applyAlignment="1">
      <alignment horizontal="left"/>
    </xf>
    <xf numFmtId="0" fontId="0" fillId="0" borderId="0" xfId="0" applyFill="1" applyBorder="1" applyAlignment="1">
      <alignment horizontal="left"/>
    </xf>
    <xf numFmtId="0" fontId="0" fillId="0" borderId="0" xfId="0" applyFill="1" applyBorder="1" applyAlignment="1">
      <alignment horizontal="center"/>
    </xf>
    <xf numFmtId="0" fontId="0" fillId="0" borderId="0" xfId="0" applyFont="1" applyFill="1" applyBorder="1" applyAlignment="1">
      <alignment horizontal="center"/>
    </xf>
    <xf numFmtId="0" fontId="0" fillId="0" borderId="0" xfId="0" applyFont="1" applyFill="1" applyBorder="1" applyAlignment="1">
      <alignment horizontal="left"/>
    </xf>
    <xf numFmtId="0" fontId="36" fillId="22" borderId="0" xfId="0" applyFont="1" applyFill="1" applyBorder="1" applyAlignment="1">
      <alignment horizontal="center"/>
    </xf>
    <xf numFmtId="0" fontId="0" fillId="22" borderId="4" xfId="0" applyFill="1" applyBorder="1" applyAlignment="1">
      <alignment horizontal="left"/>
    </xf>
    <xf numFmtId="0" fontId="0" fillId="22" borderId="0" xfId="0" applyFill="1" applyBorder="1" applyAlignment="1">
      <alignment horizontal="left"/>
    </xf>
    <xf numFmtId="0" fontId="21" fillId="2" borderId="0" xfId="0" applyFont="1" applyFill="1" applyBorder="1" applyAlignment="1">
      <alignment horizontal="center"/>
    </xf>
    <xf numFmtId="0" fontId="15" fillId="2" borderId="0" xfId="0" applyFont="1" applyFill="1" applyBorder="1" applyAlignment="1">
      <alignment horizontal="left"/>
    </xf>
    <xf numFmtId="0" fontId="0" fillId="19" borderId="0" xfId="0" applyFill="1" applyBorder="1" applyAlignment="1">
      <alignment horizontal="center"/>
    </xf>
    <xf numFmtId="0" fontId="5" fillId="2" borderId="0" xfId="0" applyFont="1" applyFill="1" applyBorder="1" applyAlignment="1">
      <alignment horizontal="center"/>
    </xf>
    <xf numFmtId="0" fontId="15" fillId="2" borderId="0" xfId="0" applyFont="1" applyFill="1" applyBorder="1" applyAlignment="1"/>
    <xf numFmtId="0" fontId="7" fillId="22" borderId="0" xfId="0" applyFont="1" applyFill="1" applyBorder="1" applyAlignment="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22" borderId="1" xfId="0" applyFont="1" applyFill="1" applyBorder="1" applyAlignment="1"/>
    <xf numFmtId="0" fontId="19" fillId="22" borderId="0" xfId="0" applyFont="1" applyFill="1" applyBorder="1" applyAlignment="1">
      <alignment horizontal="left"/>
    </xf>
    <xf numFmtId="0" fontId="0" fillId="22" borderId="0" xfId="0" applyFont="1" applyFill="1" applyBorder="1" applyAlignment="1"/>
    <xf numFmtId="0" fontId="0" fillId="19" borderId="0" xfId="0" applyFill="1" applyBorder="1" applyAlignment="1">
      <alignment horizontal="center" vertical="top" wrapText="1"/>
    </xf>
    <xf numFmtId="0" fontId="9" fillId="29" borderId="19" xfId="0" applyNumberFormat="1" applyFont="1" applyFill="1" applyBorder="1" applyAlignment="1" applyProtection="1"/>
    <xf numFmtId="0" fontId="9" fillId="29" borderId="4" xfId="0" applyNumberFormat="1" applyFont="1" applyFill="1" applyBorder="1" applyAlignment="1" applyProtection="1"/>
    <xf numFmtId="0" fontId="9" fillId="29" borderId="0" xfId="0" applyNumberFormat="1" applyFont="1" applyFill="1" applyBorder="1" applyAlignment="1" applyProtection="1"/>
    <xf numFmtId="0" fontId="14" fillId="22" borderId="0" xfId="0" applyFont="1" applyFill="1" applyAlignment="1">
      <alignment horizontal="left"/>
    </xf>
    <xf numFmtId="0" fontId="0" fillId="22" borderId="0" xfId="0" applyFill="1" applyAlignment="1">
      <alignment horizontal="left"/>
    </xf>
    <xf numFmtId="0" fontId="36" fillId="22" borderId="0" xfId="0" applyFont="1" applyFill="1" applyAlignment="1">
      <alignment horizontal="left"/>
    </xf>
    <xf numFmtId="0" fontId="0" fillId="22" borderId="0" xfId="0" applyFill="1" applyAlignment="1">
      <alignment horizontal="center"/>
    </xf>
    <xf numFmtId="0" fontId="36" fillId="22" borderId="0" xfId="0" applyFont="1" applyFill="1" applyAlignment="1">
      <alignment horizontal="center"/>
    </xf>
    <xf numFmtId="0" fontId="0" fillId="22" borderId="0" xfId="0" applyFont="1"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77" fillId="33" borderId="1" xfId="0" applyNumberFormat="1" applyFont="1" applyFill="1" applyBorder="1" applyAlignment="1" applyProtection="1">
      <alignment horizontal="center"/>
    </xf>
    <xf numFmtId="0" fontId="78" fillId="0" borderId="0" xfId="0" applyFont="1" applyFill="1" applyBorder="1" applyAlignment="1">
      <alignment horizontal="center"/>
    </xf>
    <xf numFmtId="0" fontId="0" fillId="19" borderId="0" xfId="0" applyFill="1" applyBorder="1" applyAlignment="1">
      <alignment horizontal="center" vertical="top" wrapText="1"/>
    </xf>
    <xf numFmtId="0" fontId="0" fillId="19" borderId="0" xfId="0" applyFill="1" applyBorder="1" applyAlignment="1">
      <alignment horizontal="center"/>
    </xf>
    <xf numFmtId="0" fontId="0" fillId="22" borderId="0" xfId="0" applyFont="1" applyFill="1" applyBorder="1" applyAlignment="1"/>
    <xf numFmtId="0" fontId="0" fillId="22" borderId="4" xfId="0" applyFill="1" applyBorder="1" applyAlignment="1">
      <alignment horizontal="left"/>
    </xf>
    <xf numFmtId="0" fontId="0" fillId="22" borderId="0" xfId="0" applyFill="1" applyBorder="1" applyAlignment="1">
      <alignment horizontal="left"/>
    </xf>
    <xf numFmtId="0" fontId="36" fillId="22" borderId="0" xfId="0" applyFont="1" applyFill="1" applyBorder="1" applyAlignment="1">
      <alignment horizontal="center"/>
    </xf>
    <xf numFmtId="0" fontId="0" fillId="0" borderId="0" xfId="0" applyFont="1" applyFill="1" applyBorder="1" applyAlignment="1">
      <alignment horizontal="left"/>
    </xf>
    <xf numFmtId="0" fontId="19" fillId="22" borderId="0" xfId="0" applyFont="1" applyFill="1" applyBorder="1" applyAlignment="1">
      <alignment horizontal="left"/>
    </xf>
    <xf numFmtId="0" fontId="0" fillId="22" borderId="1" xfId="0" applyFont="1" applyFill="1" applyBorder="1" applyAlignment="1"/>
    <xf numFmtId="0" fontId="7" fillId="22" borderId="0" xfId="0" applyFont="1" applyFill="1" applyBorder="1" applyAlignment="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0" borderId="0" xfId="0" applyFont="1" applyFill="1" applyBorder="1" applyAlignment="1">
      <alignment horizontal="center"/>
    </xf>
    <xf numFmtId="0" fontId="15" fillId="2" borderId="0" xfId="0" applyFont="1" applyFill="1" applyBorder="1" applyAlignment="1">
      <alignment horizontal="left"/>
    </xf>
    <xf numFmtId="0" fontId="5" fillId="2" borderId="0" xfId="0" applyFont="1" applyFill="1" applyBorder="1" applyAlignment="1">
      <alignment horizontal="center"/>
    </xf>
    <xf numFmtId="0" fontId="15" fillId="2" borderId="0" xfId="0" applyFont="1" applyFill="1" applyBorder="1" applyAlignment="1"/>
    <xf numFmtId="0" fontId="21" fillId="2" borderId="0" xfId="0" applyFont="1"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left"/>
    </xf>
    <xf numFmtId="0" fontId="0" fillId="0" borderId="0" xfId="0"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22" borderId="0" xfId="0" applyFont="1" applyFill="1" applyBorder="1" applyAlignment="1">
      <alignment horizontal="left"/>
    </xf>
    <xf numFmtId="0" fontId="0" fillId="22" borderId="0" xfId="0" applyFill="1" applyAlignment="1">
      <alignment horizontal="left"/>
    </xf>
    <xf numFmtId="0" fontId="36" fillId="22" borderId="0" xfId="0" applyFont="1" applyFill="1" applyAlignment="1">
      <alignment horizontal="left"/>
    </xf>
    <xf numFmtId="0" fontId="0" fillId="22" borderId="0" xfId="0" applyFill="1" applyAlignment="1">
      <alignment horizontal="center"/>
    </xf>
    <xf numFmtId="0" fontId="36" fillId="22" borderId="0" xfId="0" applyFont="1" applyFill="1" applyAlignment="1">
      <alignment horizontal="center"/>
    </xf>
    <xf numFmtId="0" fontId="14" fillId="22" borderId="0" xfId="0" applyFont="1" applyFill="1" applyAlignment="1">
      <alignment horizontal="left"/>
    </xf>
    <xf numFmtId="0" fontId="9" fillId="29" borderId="19" xfId="0" applyNumberFormat="1" applyFont="1" applyFill="1" applyBorder="1" applyAlignment="1" applyProtection="1"/>
    <xf numFmtId="0" fontId="9" fillId="29" borderId="4" xfId="0" applyNumberFormat="1" applyFont="1" applyFill="1" applyBorder="1" applyAlignment="1" applyProtection="1"/>
    <xf numFmtId="0" fontId="9" fillId="29" borderId="0" xfId="0" applyNumberFormat="1" applyFont="1" applyFill="1" applyBorder="1" applyAlignment="1" applyProtection="1"/>
    <xf numFmtId="0" fontId="79" fillId="49" borderId="1" xfId="0" applyNumberFormat="1" applyFont="1" applyFill="1" applyBorder="1" applyAlignment="1" applyProtection="1">
      <alignment horizontal="center"/>
    </xf>
    <xf numFmtId="0" fontId="80" fillId="49" borderId="1" xfId="0" applyNumberFormat="1" applyFont="1" applyFill="1" applyBorder="1" applyAlignment="1" applyProtection="1">
      <alignment horizontal="center"/>
    </xf>
    <xf numFmtId="12" fontId="63" fillId="22" borderId="0" xfId="0" applyNumberFormat="1" applyFont="1" applyFill="1" applyBorder="1"/>
    <xf numFmtId="0" fontId="63" fillId="22" borderId="0" xfId="0" applyFont="1" applyFill="1" applyBorder="1" applyAlignment="1">
      <alignment horizontal="left"/>
    </xf>
    <xf numFmtId="12" fontId="81" fillId="22" borderId="0" xfId="0" applyNumberFormat="1" applyFont="1" applyFill="1" applyBorder="1"/>
    <xf numFmtId="0" fontId="82" fillId="22" borderId="4" xfId="0" applyFont="1" applyFill="1" applyBorder="1"/>
    <xf numFmtId="12" fontId="63" fillId="22" borderId="0" xfId="0" applyNumberFormat="1" applyFont="1" applyFill="1" applyBorder="1" applyAlignment="1">
      <alignment horizontal="right"/>
    </xf>
    <xf numFmtId="0" fontId="0" fillId="0" borderId="4" xfId="0" applyFill="1" applyBorder="1" applyAlignment="1">
      <alignment horizontal="left"/>
    </xf>
    <xf numFmtId="0" fontId="0" fillId="0" borderId="0" xfId="0" applyFill="1" applyBorder="1" applyAlignment="1">
      <alignment horizontal="left"/>
    </xf>
    <xf numFmtId="0" fontId="0" fillId="0" borderId="0" xfId="0" applyFill="1" applyBorder="1" applyAlignment="1">
      <alignment horizontal="center"/>
    </xf>
    <xf numFmtId="0" fontId="0" fillId="0" borderId="0" xfId="0" applyFont="1" applyFill="1" applyBorder="1" applyAlignment="1">
      <alignment horizontal="center"/>
    </xf>
    <xf numFmtId="0" fontId="0" fillId="0" borderId="0" xfId="0" applyFont="1" applyFill="1" applyBorder="1" applyAlignment="1">
      <alignment horizontal="left"/>
    </xf>
    <xf numFmtId="0" fontId="36" fillId="22" borderId="0" xfId="0" applyFont="1" applyFill="1" applyBorder="1" applyAlignment="1">
      <alignment horizontal="center"/>
    </xf>
    <xf numFmtId="0" fontId="0" fillId="22" borderId="4" xfId="0" applyFill="1" applyBorder="1" applyAlignment="1">
      <alignment horizontal="left"/>
    </xf>
    <xf numFmtId="0" fontId="0" fillId="22" borderId="0" xfId="0" applyFill="1" applyBorder="1" applyAlignment="1">
      <alignment horizontal="left"/>
    </xf>
    <xf numFmtId="0" fontId="21" fillId="2" borderId="0" xfId="0" applyFont="1" applyFill="1" applyBorder="1" applyAlignment="1">
      <alignment horizontal="center"/>
    </xf>
    <xf numFmtId="0" fontId="15" fillId="2" borderId="0" xfId="0" applyFont="1" applyFill="1" applyBorder="1" applyAlignment="1">
      <alignment horizontal="left"/>
    </xf>
    <xf numFmtId="0" fontId="0" fillId="19" borderId="0" xfId="0" applyFill="1" applyBorder="1" applyAlignment="1">
      <alignment horizontal="center"/>
    </xf>
    <xf numFmtId="0" fontId="5" fillId="2" borderId="0" xfId="0" applyFont="1" applyFill="1" applyBorder="1" applyAlignment="1">
      <alignment horizontal="center"/>
    </xf>
    <xf numFmtId="0" fontId="15" fillId="2" borderId="0" xfId="0" applyFont="1" applyFill="1" applyBorder="1" applyAlignment="1"/>
    <xf numFmtId="0" fontId="7" fillId="22" borderId="0" xfId="0" applyFont="1" applyFill="1" applyBorder="1" applyAlignment="1">
      <alignment horizontal="center"/>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22" borderId="1" xfId="0" applyFont="1" applyFill="1" applyBorder="1" applyAlignment="1"/>
    <xf numFmtId="0" fontId="19" fillId="22" borderId="0" xfId="0" applyFont="1" applyFill="1" applyBorder="1" applyAlignment="1">
      <alignment horizontal="left"/>
    </xf>
    <xf numFmtId="0" fontId="0" fillId="22" borderId="0" xfId="0" applyFont="1" applyFill="1" applyBorder="1" applyAlignment="1"/>
    <xf numFmtId="0" fontId="0" fillId="19" borderId="0" xfId="0" applyFill="1" applyBorder="1" applyAlignment="1">
      <alignment horizontal="center" vertical="top" wrapText="1"/>
    </xf>
    <xf numFmtId="0" fontId="9" fillId="29" borderId="19" xfId="0" applyNumberFormat="1" applyFont="1" applyFill="1" applyBorder="1" applyAlignment="1" applyProtection="1"/>
    <xf numFmtId="0" fontId="9" fillId="29" borderId="4" xfId="0" applyNumberFormat="1" applyFont="1" applyFill="1" applyBorder="1" applyAlignment="1" applyProtection="1"/>
    <xf numFmtId="0" fontId="9" fillId="29" borderId="0" xfId="0" applyNumberFormat="1" applyFont="1" applyFill="1" applyBorder="1" applyAlignment="1" applyProtection="1"/>
    <xf numFmtId="0" fontId="14" fillId="22" borderId="0" xfId="0" applyFont="1" applyFill="1" applyAlignment="1">
      <alignment horizontal="left"/>
    </xf>
    <xf numFmtId="0" fontId="0" fillId="22" borderId="0" xfId="0" applyFill="1" applyAlignment="1">
      <alignment horizontal="left"/>
    </xf>
    <xf numFmtId="0" fontId="36" fillId="22" borderId="0" xfId="0" applyFont="1" applyFill="1" applyAlignment="1">
      <alignment horizontal="left"/>
    </xf>
    <xf numFmtId="0" fontId="0" fillId="22" borderId="0" xfId="0" applyFill="1" applyAlignment="1">
      <alignment horizontal="center"/>
    </xf>
    <xf numFmtId="0" fontId="36" fillId="22" borderId="0" xfId="0" applyFont="1" applyFill="1" applyAlignment="1">
      <alignment horizontal="center"/>
    </xf>
    <xf numFmtId="0" fontId="0" fillId="22" borderId="0" xfId="0" applyFont="1"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19" borderId="0" xfId="0" applyFill="1" applyBorder="1" applyAlignment="1">
      <alignment horizontal="center" vertical="top" wrapText="1"/>
    </xf>
    <xf numFmtId="0" fontId="0" fillId="19" borderId="5" xfId="0" applyFill="1" applyBorder="1" applyAlignment="1">
      <alignment horizontal="center" vertical="top" wrapText="1"/>
    </xf>
    <xf numFmtId="0" fontId="0" fillId="19" borderId="0" xfId="0" applyFill="1" applyBorder="1" applyAlignment="1">
      <alignment horizontal="center"/>
    </xf>
    <xf numFmtId="0" fontId="0" fillId="22" borderId="4" xfId="0" applyFont="1" applyFill="1" applyBorder="1" applyAlignment="1">
      <alignment horizontal="center"/>
    </xf>
    <xf numFmtId="0" fontId="0" fillId="22" borderId="0" xfId="0" applyFont="1" applyFill="1" applyBorder="1" applyAlignment="1">
      <alignment horizontal="center"/>
    </xf>
    <xf numFmtId="0" fontId="36" fillId="19" borderId="0" xfId="0" applyFont="1" applyFill="1" applyBorder="1" applyAlignment="1">
      <alignment horizontal="center"/>
    </xf>
    <xf numFmtId="0" fontId="36" fillId="19" borderId="0" xfId="0" applyFont="1" applyFill="1" applyBorder="1" applyAlignment="1">
      <alignment horizontal="left"/>
    </xf>
    <xf numFmtId="0" fontId="0" fillId="19" borderId="4" xfId="0" applyFill="1" applyBorder="1" applyAlignment="1"/>
    <xf numFmtId="0" fontId="0" fillId="19" borderId="0" xfId="0" applyFill="1" applyBorder="1" applyAlignment="1"/>
    <xf numFmtId="0" fontId="0" fillId="22" borderId="4" xfId="0" applyFont="1" applyFill="1" applyBorder="1" applyAlignment="1"/>
    <xf numFmtId="0" fontId="0" fillId="22" borderId="0" xfId="0" applyFont="1" applyFill="1" applyBorder="1" applyAlignment="1"/>
    <xf numFmtId="0" fontId="0" fillId="22" borderId="0" xfId="0" applyFill="1" applyBorder="1" applyAlignment="1">
      <alignment horizontal="left"/>
    </xf>
    <xf numFmtId="0" fontId="36" fillId="22" borderId="0" xfId="0" applyFont="1" applyFill="1" applyBorder="1" applyAlignment="1">
      <alignment horizontal="left"/>
    </xf>
    <xf numFmtId="0" fontId="0" fillId="22" borderId="0" xfId="0" applyFill="1" applyBorder="1" applyAlignment="1">
      <alignment horizontal="center"/>
    </xf>
    <xf numFmtId="0" fontId="36" fillId="22" borderId="0" xfId="0" applyFont="1" applyFill="1" applyBorder="1" applyAlignment="1">
      <alignment horizontal="center"/>
    </xf>
    <xf numFmtId="0" fontId="38" fillId="22" borderId="0" xfId="0" applyFont="1" applyFill="1" applyBorder="1" applyAlignment="1">
      <alignment horizontal="center"/>
    </xf>
    <xf numFmtId="0" fontId="0" fillId="0" borderId="0" xfId="0" applyFont="1" applyFill="1" applyBorder="1" applyAlignment="1">
      <alignment horizontal="left"/>
    </xf>
    <xf numFmtId="0" fontId="19" fillId="22" borderId="0" xfId="0" applyFont="1" applyFill="1" applyBorder="1" applyAlignment="1">
      <alignment horizontal="left"/>
    </xf>
    <xf numFmtId="0" fontId="0" fillId="22" borderId="21" xfId="0" applyFill="1" applyBorder="1" applyAlignment="1">
      <alignment horizontal="left"/>
    </xf>
    <xf numFmtId="16" fontId="36" fillId="22" borderId="0" xfId="0" applyNumberFormat="1" applyFont="1" applyFill="1" applyBorder="1" applyAlignment="1">
      <alignment horizontal="left"/>
    </xf>
    <xf numFmtId="0" fontId="0" fillId="22" borderId="1" xfId="0" applyFont="1" applyFill="1" applyBorder="1" applyAlignment="1"/>
    <xf numFmtId="0" fontId="7" fillId="22" borderId="4" xfId="0" applyFont="1" applyFill="1" applyBorder="1" applyAlignment="1">
      <alignment horizontal="center"/>
    </xf>
    <xf numFmtId="0" fontId="7" fillId="22" borderId="0" xfId="0" applyFont="1" applyFill="1" applyBorder="1" applyAlignment="1">
      <alignment horizontal="center"/>
    </xf>
    <xf numFmtId="0" fontId="14" fillId="22" borderId="0" xfId="0" applyFont="1" applyFill="1" applyBorder="1" applyAlignment="1">
      <alignment horizontal="center"/>
    </xf>
    <xf numFmtId="0" fontId="0" fillId="0" borderId="0" xfId="0" applyFont="1" applyFill="1" applyBorder="1" applyAlignment="1">
      <alignment horizontal="center"/>
    </xf>
    <xf numFmtId="0" fontId="47" fillId="17" borderId="0" xfId="0" applyFont="1" applyFill="1" applyAlignment="1">
      <alignment horizontal="center"/>
    </xf>
    <xf numFmtId="0" fontId="15" fillId="2" borderId="0" xfId="0" applyFont="1" applyFill="1" applyBorder="1" applyAlignment="1">
      <alignment horizontal="left"/>
    </xf>
    <xf numFmtId="0" fontId="5" fillId="2" borderId="0" xfId="0" applyFont="1" applyFill="1" applyBorder="1" applyAlignment="1">
      <alignment horizontal="center"/>
    </xf>
    <xf numFmtId="0" fontId="15" fillId="2" borderId="0" xfId="0" applyFont="1" applyFill="1" applyBorder="1" applyAlignment="1"/>
    <xf numFmtId="0" fontId="21" fillId="2" borderId="0" xfId="0" applyFont="1" applyFill="1"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0" fontId="74" fillId="0" borderId="0" xfId="0" applyFont="1"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19" borderId="0" xfId="0" applyFill="1" applyBorder="1" applyAlignment="1">
      <alignment horizontal="left"/>
    </xf>
    <xf numFmtId="0" fontId="0" fillId="20" borderId="5" xfId="0" applyFont="1" applyFill="1" applyBorder="1" applyAlignment="1">
      <alignment horizontal="center" vertical="top" wrapText="1"/>
    </xf>
    <xf numFmtId="12" fontId="36" fillId="22" borderId="0" xfId="0" applyNumberFormat="1" applyFont="1" applyFill="1" applyBorder="1" applyAlignment="1">
      <alignment horizontal="left"/>
    </xf>
    <xf numFmtId="0" fontId="36" fillId="22" borderId="14" xfId="0" applyFont="1" applyFill="1" applyBorder="1" applyAlignment="1">
      <alignment horizontal="left"/>
    </xf>
    <xf numFmtId="0" fontId="15" fillId="17" borderId="0" xfId="0" applyFont="1" applyFill="1" applyBorder="1" applyAlignment="1">
      <alignment horizontal="left"/>
    </xf>
    <xf numFmtId="0" fontId="0" fillId="19" borderId="0" xfId="0" applyFill="1" applyBorder="1" applyAlignment="1">
      <alignment horizontal="center"/>
    </xf>
    <xf numFmtId="0" fontId="47" fillId="17" borderId="0" xfId="0" applyFont="1" applyFill="1" applyAlignment="1">
      <alignment horizontal="center"/>
    </xf>
    <xf numFmtId="1" fontId="0" fillId="19" borderId="0" xfId="0" applyNumberFormat="1" applyFill="1" applyBorder="1" applyAlignment="1">
      <alignment horizontal="center"/>
    </xf>
    <xf numFmtId="0" fontId="3" fillId="25" borderId="12" xfId="0" applyFont="1" applyFill="1" applyBorder="1" applyAlignment="1">
      <alignment horizontal="left"/>
    </xf>
    <xf numFmtId="0" fontId="63" fillId="17" borderId="0" xfId="0" applyFont="1" applyFill="1"/>
    <xf numFmtId="0" fontId="34" fillId="29" borderId="0" xfId="0" applyFont="1" applyFill="1" applyBorder="1" applyAlignment="1">
      <alignment horizontal="left"/>
    </xf>
    <xf numFmtId="0" fontId="35" fillId="29" borderId="0" xfId="0" applyFont="1" applyFill="1" applyBorder="1"/>
    <xf numFmtId="2" fontId="34" fillId="29" borderId="0" xfId="0" applyNumberFormat="1" applyFont="1" applyFill="1" applyBorder="1" applyAlignment="1">
      <alignment horizontal="left"/>
    </xf>
    <xf numFmtId="0" fontId="27" fillId="25" borderId="1" xfId="0" applyFont="1" applyFill="1" applyBorder="1" applyAlignment="1">
      <alignment horizontal="center"/>
    </xf>
    <xf numFmtId="1" fontId="26" fillId="17" borderId="0" xfId="0" applyNumberFormat="1" applyFont="1" applyFill="1" applyAlignment="1">
      <alignment horizontal="center"/>
    </xf>
    <xf numFmtId="0" fontId="27" fillId="19" borderId="41" xfId="0" applyFont="1" applyFill="1" applyBorder="1"/>
    <xf numFmtId="0" fontId="47" fillId="19" borderId="0" xfId="0" applyFont="1" applyFill="1" applyBorder="1"/>
    <xf numFmtId="1" fontId="74" fillId="19" borderId="1" xfId="0" applyNumberFormat="1" applyFont="1" applyFill="1" applyBorder="1" applyAlignment="1">
      <alignment horizontal="center"/>
    </xf>
    <xf numFmtId="165" fontId="36" fillId="19" borderId="0" xfId="0" applyNumberFormat="1" applyFont="1" applyFill="1" applyBorder="1" applyAlignment="1">
      <alignment horizontal="center"/>
    </xf>
    <xf numFmtId="0" fontId="39" fillId="19" borderId="0" xfId="0" applyFont="1" applyFill="1" applyBorder="1" applyAlignment="1" applyProtection="1"/>
    <xf numFmtId="0" fontId="0" fillId="19" borderId="0" xfId="0" applyFont="1" applyFill="1" applyBorder="1" applyAlignment="1" applyProtection="1">
      <alignment textRotation="255"/>
    </xf>
    <xf numFmtId="0" fontId="5" fillId="19" borderId="1" xfId="0" applyFont="1" applyFill="1" applyBorder="1" applyAlignment="1" applyProtection="1">
      <alignment textRotation="135"/>
    </xf>
    <xf numFmtId="0" fontId="13" fillId="19" borderId="1" xfId="0" applyFont="1" applyFill="1" applyBorder="1" applyAlignment="1" applyProtection="1">
      <alignment horizontal="center"/>
    </xf>
    <xf numFmtId="0" fontId="22" fillId="19" borderId="1" xfId="0" applyFont="1" applyFill="1" applyBorder="1" applyAlignment="1" applyProtection="1">
      <alignment horizontal="center"/>
    </xf>
    <xf numFmtId="0" fontId="13" fillId="19" borderId="1" xfId="0" applyFont="1" applyFill="1" applyBorder="1" applyAlignment="1">
      <alignment horizontal="center"/>
    </xf>
    <xf numFmtId="0" fontId="3" fillId="19" borderId="1" xfId="0" applyNumberFormat="1" applyFont="1" applyFill="1" applyBorder="1" applyAlignment="1">
      <alignment horizontal="center"/>
    </xf>
    <xf numFmtId="0" fontId="73" fillId="19" borderId="1" xfId="0" applyFont="1" applyFill="1" applyBorder="1" applyAlignment="1">
      <alignment horizontal="center"/>
    </xf>
    <xf numFmtId="0" fontId="22" fillId="19" borderId="11" xfId="0" applyFont="1" applyFill="1" applyBorder="1" applyAlignment="1" applyProtection="1">
      <alignment horizontal="center"/>
    </xf>
    <xf numFmtId="0" fontId="13" fillId="19" borderId="11" xfId="0" applyFont="1" applyFill="1" applyBorder="1" applyAlignment="1">
      <alignment horizontal="center"/>
    </xf>
    <xf numFmtId="0" fontId="18" fillId="50" borderId="1" xfId="0" applyFont="1" applyFill="1" applyBorder="1" applyAlignment="1" applyProtection="1">
      <alignment horizontal="center"/>
    </xf>
    <xf numFmtId="0" fontId="18" fillId="51" borderId="1" xfId="0" applyFont="1" applyFill="1" applyBorder="1" applyAlignment="1" applyProtection="1">
      <alignment horizontal="center"/>
    </xf>
    <xf numFmtId="0" fontId="18" fillId="21" borderId="1" xfId="0" applyFont="1" applyFill="1" applyBorder="1" applyAlignment="1" applyProtection="1">
      <alignment horizontal="center"/>
    </xf>
    <xf numFmtId="0" fontId="27" fillId="19" borderId="1" xfId="0" applyFont="1" applyFill="1" applyBorder="1" applyAlignment="1" applyProtection="1">
      <alignment horizontal="center"/>
    </xf>
    <xf numFmtId="0" fontId="13" fillId="19" borderId="0" xfId="0" applyFont="1" applyFill="1" applyBorder="1" applyAlignment="1">
      <alignment horizontal="center"/>
    </xf>
    <xf numFmtId="0" fontId="0" fillId="19" borderId="0" xfId="0" applyFont="1" applyFill="1" applyBorder="1" applyAlignment="1" applyProtection="1">
      <alignment horizontal="center"/>
    </xf>
    <xf numFmtId="0" fontId="8" fillId="19" borderId="0" xfId="0" applyFont="1" applyFill="1"/>
    <xf numFmtId="0" fontId="0" fillId="52" borderId="0" xfId="0" applyFont="1" applyFill="1" applyBorder="1" applyAlignment="1" applyProtection="1"/>
    <xf numFmtId="1" fontId="0" fillId="52" borderId="0" xfId="0" applyNumberFormat="1" applyFont="1" applyFill="1" applyBorder="1" applyAlignment="1" applyProtection="1">
      <alignment horizontal="center"/>
    </xf>
    <xf numFmtId="165" fontId="6" fillId="19" borderId="0" xfId="0" applyNumberFormat="1" applyFont="1" applyFill="1" applyBorder="1" applyAlignment="1" applyProtection="1"/>
    <xf numFmtId="0" fontId="5" fillId="19" borderId="1" xfId="0" applyFont="1" applyFill="1" applyBorder="1" applyAlignment="1" applyProtection="1"/>
    <xf numFmtId="0" fontId="0" fillId="19" borderId="1" xfId="0" applyFont="1" applyFill="1" applyBorder="1" applyAlignment="1">
      <alignment horizontal="left"/>
    </xf>
    <xf numFmtId="0" fontId="5" fillId="19" borderId="1" xfId="0" applyFont="1" applyFill="1" applyBorder="1"/>
    <xf numFmtId="0" fontId="12" fillId="19" borderId="1" xfId="0" applyFont="1" applyFill="1" applyBorder="1" applyAlignment="1">
      <alignment horizontal="center"/>
    </xf>
    <xf numFmtId="2" fontId="5" fillId="19" borderId="1" xfId="0" applyNumberFormat="1" applyFont="1" applyFill="1" applyBorder="1"/>
    <xf numFmtId="1" fontId="0" fillId="21" borderId="0" xfId="0" applyNumberFormat="1" applyFont="1" applyFill="1" applyBorder="1" applyAlignment="1" applyProtection="1">
      <alignment horizontal="center"/>
    </xf>
    <xf numFmtId="2" fontId="3" fillId="19" borderId="15" xfId="0" applyNumberFormat="1" applyFont="1" applyFill="1" applyBorder="1" applyAlignment="1" applyProtection="1">
      <alignment horizontal="center"/>
    </xf>
    <xf numFmtId="0" fontId="0" fillId="19" borderId="0" xfId="0" applyFill="1" applyBorder="1" applyAlignment="1" applyProtection="1"/>
    <xf numFmtId="0" fontId="0" fillId="21" borderId="0" xfId="0" applyFill="1" applyBorder="1" applyAlignment="1" applyProtection="1">
      <alignment horizontal="center"/>
    </xf>
    <xf numFmtId="0" fontId="0" fillId="21" borderId="0" xfId="0" applyFont="1" applyFill="1" applyBorder="1" applyAlignment="1" applyProtection="1">
      <alignment horizontal="center"/>
    </xf>
    <xf numFmtId="2" fontId="3" fillId="19" borderId="0" xfId="0" applyNumberFormat="1" applyFont="1" applyFill="1" applyBorder="1" applyAlignment="1" applyProtection="1">
      <alignment horizontal="center"/>
    </xf>
    <xf numFmtId="0" fontId="0" fillId="50" borderId="1" xfId="0" applyFont="1" applyFill="1" applyBorder="1" applyAlignment="1" applyProtection="1">
      <alignment horizontal="center"/>
    </xf>
    <xf numFmtId="0" fontId="9" fillId="51" borderId="1" xfId="0" applyFont="1" applyFill="1" applyBorder="1" applyAlignment="1" applyProtection="1">
      <alignment horizontal="center"/>
    </xf>
    <xf numFmtId="0" fontId="0" fillId="21" borderId="1" xfId="0" applyFont="1" applyFill="1" applyBorder="1" applyAlignment="1" applyProtection="1">
      <alignment horizontal="center"/>
    </xf>
    <xf numFmtId="0" fontId="0" fillId="22" borderId="0" xfId="0" applyFont="1" applyFill="1" applyBorder="1" applyAlignment="1">
      <alignment horizontal="left" wrapText="1"/>
    </xf>
    <xf numFmtId="16" fontId="37" fillId="2" borderId="0" xfId="0" applyNumberFormat="1" applyFont="1" applyFill="1"/>
    <xf numFmtId="0" fontId="39" fillId="26" borderId="1" xfId="0" applyFont="1" applyFill="1" applyBorder="1"/>
    <xf numFmtId="0" fontId="37" fillId="26" borderId="1" xfId="0" applyFont="1" applyFill="1" applyBorder="1"/>
    <xf numFmtId="0" fontId="9" fillId="51" borderId="0" xfId="0" applyFont="1" applyFill="1" applyBorder="1" applyAlignment="1" applyProtection="1"/>
    <xf numFmtId="1" fontId="9" fillId="51" borderId="0" xfId="0" applyNumberFormat="1" applyFont="1" applyFill="1" applyBorder="1" applyAlignment="1" applyProtection="1">
      <alignment horizontal="center"/>
    </xf>
    <xf numFmtId="1" fontId="79" fillId="49" borderId="1" xfId="0" applyNumberFormat="1" applyFont="1" applyFill="1" applyBorder="1" applyAlignment="1" applyProtection="1">
      <alignment horizontal="center"/>
    </xf>
    <xf numFmtId="1" fontId="77" fillId="33" borderId="1" xfId="0" applyNumberFormat="1" applyFont="1" applyFill="1" applyBorder="1" applyAlignment="1" applyProtection="1">
      <alignment horizontal="center"/>
    </xf>
    <xf numFmtId="0" fontId="35" fillId="0" borderId="0" xfId="0" applyFont="1" applyFill="1" applyBorder="1" applyAlignment="1">
      <alignment horizontal="left"/>
    </xf>
    <xf numFmtId="0" fontId="35" fillId="0" borderId="0" xfId="0" applyFont="1" applyFill="1" applyBorder="1" applyAlignment="1"/>
    <xf numFmtId="0" fontId="35" fillId="0" borderId="0" xfId="0" applyFont="1" applyFill="1" applyBorder="1" applyAlignment="1">
      <alignment horizontal="right"/>
    </xf>
    <xf numFmtId="14" fontId="35" fillId="0" borderId="0" xfId="0" applyNumberFormat="1" applyFont="1" applyFill="1" applyBorder="1"/>
    <xf numFmtId="0" fontId="35" fillId="0" borderId="5" xfId="0" applyFont="1" applyFill="1" applyBorder="1"/>
    <xf numFmtId="0" fontId="35" fillId="0" borderId="5" xfId="0" applyFont="1" applyFill="1" applyBorder="1" applyAlignment="1">
      <alignment horizontal="center"/>
    </xf>
    <xf numFmtId="14" fontId="35" fillId="0" borderId="5" xfId="0" applyNumberFormat="1" applyFont="1" applyFill="1" applyBorder="1"/>
    <xf numFmtId="0" fontId="63" fillId="29" borderId="0" xfId="0" applyFont="1" applyFill="1" applyBorder="1" applyAlignment="1"/>
    <xf numFmtId="0" fontId="63" fillId="29" borderId="0" xfId="0" applyNumberFormat="1" applyFont="1" applyFill="1" applyBorder="1" applyAlignment="1"/>
    <xf numFmtId="0" fontId="0" fillId="53" borderId="1" xfId="0" applyFill="1" applyBorder="1" applyAlignment="1">
      <alignment horizontal="center"/>
    </xf>
    <xf numFmtId="0" fontId="36" fillId="53" borderId="1" xfId="0" applyFont="1" applyFill="1" applyBorder="1" applyAlignment="1">
      <alignment horizontal="center"/>
    </xf>
    <xf numFmtId="0" fontId="4" fillId="0" borderId="0" xfId="0" applyFont="1" applyFill="1" applyBorder="1" applyAlignment="1">
      <alignment horizontal="center"/>
    </xf>
    <xf numFmtId="0" fontId="61" fillId="19" borderId="0" xfId="0" applyFont="1" applyFill="1"/>
    <xf numFmtId="0" fontId="61" fillId="53" borderId="1" xfId="0" applyFont="1" applyFill="1" applyBorder="1" applyAlignment="1">
      <alignment horizontal="center"/>
    </xf>
    <xf numFmtId="0" fontId="0" fillId="39" borderId="32" xfId="0" applyFill="1" applyBorder="1"/>
    <xf numFmtId="0" fontId="61" fillId="53" borderId="5" xfId="0" applyFont="1" applyFill="1" applyBorder="1" applyAlignment="1">
      <alignment horizontal="center"/>
    </xf>
    <xf numFmtId="165" fontId="3" fillId="0" borderId="11" xfId="0" applyNumberFormat="1" applyFont="1" applyFill="1" applyBorder="1" applyAlignment="1">
      <alignment horizontal="left"/>
    </xf>
    <xf numFmtId="0" fontId="36" fillId="53" borderId="11" xfId="0" applyFont="1" applyFill="1" applyBorder="1" applyAlignment="1">
      <alignment horizontal="center"/>
    </xf>
    <xf numFmtId="0" fontId="3" fillId="25" borderId="11" xfId="0" applyFont="1" applyFill="1" applyBorder="1" applyAlignment="1">
      <alignment horizontal="left"/>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55" borderId="1" xfId="0" applyFill="1" applyBorder="1" applyAlignment="1">
      <alignment horizontal="center"/>
    </xf>
    <xf numFmtId="0" fontId="45" fillId="22" borderId="0" xfId="0" applyFont="1" applyFill="1" applyBorder="1" applyAlignment="1"/>
    <xf numFmtId="0" fontId="85" fillId="55" borderId="1" xfId="0" applyFont="1" applyFill="1" applyBorder="1" applyAlignment="1">
      <alignment horizontal="center"/>
    </xf>
    <xf numFmtId="0" fontId="86" fillId="55" borderId="1" xfId="0" applyFont="1" applyFill="1" applyBorder="1" applyAlignment="1">
      <alignment horizontal="center"/>
    </xf>
    <xf numFmtId="0" fontId="15" fillId="17" borderId="0" xfId="0" applyFont="1" applyFill="1" applyBorder="1"/>
    <xf numFmtId="0" fontId="14" fillId="17" borderId="0" xfId="0" applyFont="1" applyFill="1" applyBorder="1"/>
    <xf numFmtId="0" fontId="8" fillId="17" borderId="0" xfId="0" applyFont="1" applyFill="1" applyBorder="1"/>
    <xf numFmtId="0" fontId="87" fillId="34" borderId="1" xfId="0" applyFont="1" applyFill="1" applyBorder="1" applyAlignment="1">
      <alignment horizontal="center"/>
    </xf>
    <xf numFmtId="0" fontId="61" fillId="34" borderId="1" xfId="0" applyFont="1" applyFill="1" applyBorder="1" applyAlignment="1">
      <alignment horizontal="center"/>
    </xf>
    <xf numFmtId="0" fontId="9" fillId="34" borderId="1" xfId="0" applyFont="1" applyFill="1" applyBorder="1" applyAlignment="1">
      <alignment horizontal="center"/>
    </xf>
    <xf numFmtId="0" fontId="88" fillId="34" borderId="1" xfId="0" applyFont="1" applyFill="1" applyBorder="1" applyAlignment="1">
      <alignment horizontal="center"/>
    </xf>
    <xf numFmtId="0" fontId="0" fillId="9" borderId="2" xfId="0" applyFont="1" applyFill="1" applyBorder="1" applyAlignment="1">
      <alignment horizontal="center"/>
    </xf>
    <xf numFmtId="0" fontId="0" fillId="5" borderId="1" xfId="0" applyFont="1" applyFill="1" applyBorder="1" applyAlignment="1">
      <alignment horizontal="center" vertical="top" wrapText="1"/>
    </xf>
    <xf numFmtId="0" fontId="0" fillId="2" borderId="0" xfId="0" applyFont="1" applyFill="1" applyBorder="1" applyAlignment="1">
      <alignment horizontal="center"/>
    </xf>
    <xf numFmtId="0" fontId="0" fillId="2" borderId="0" xfId="0" applyFill="1" applyBorder="1" applyAlignment="1">
      <alignment horizontal="center"/>
    </xf>
    <xf numFmtId="0" fontId="0" fillId="10" borderId="1" xfId="0" applyFont="1" applyFill="1" applyBorder="1" applyAlignment="1">
      <alignment horizontal="center" vertical="top" wrapText="1"/>
    </xf>
    <xf numFmtId="0" fontId="0" fillId="9" borderId="1" xfId="0" applyFont="1" applyFill="1" applyBorder="1" applyAlignment="1">
      <alignment horizontal="center"/>
    </xf>
    <xf numFmtId="0" fontId="0" fillId="5" borderId="10" xfId="0" applyFont="1" applyFill="1" applyBorder="1" applyAlignment="1">
      <alignment horizontal="center" vertical="top" wrapText="1"/>
    </xf>
    <xf numFmtId="0" fontId="3" fillId="2" borderId="0" xfId="0" applyFont="1" applyFill="1" applyBorder="1" applyAlignment="1">
      <alignment horizontal="center"/>
    </xf>
    <xf numFmtId="0" fontId="0" fillId="9" borderId="16" xfId="0" applyFont="1" applyFill="1" applyBorder="1" applyAlignment="1">
      <alignment horizontal="center"/>
    </xf>
    <xf numFmtId="0" fontId="0" fillId="10" borderId="17" xfId="0" applyFont="1" applyFill="1" applyBorder="1" applyAlignment="1">
      <alignment horizontal="center" vertical="top" wrapText="1"/>
    </xf>
    <xf numFmtId="0" fontId="0" fillId="9" borderId="18" xfId="0" applyFont="1" applyFill="1" applyBorder="1" applyAlignment="1">
      <alignment horizontal="center"/>
    </xf>
    <xf numFmtId="0" fontId="0" fillId="5" borderId="1" xfId="0" applyFont="1" applyFill="1" applyBorder="1" applyAlignment="1">
      <alignment horizontal="center" wrapText="1"/>
    </xf>
    <xf numFmtId="0" fontId="0" fillId="10" borderId="10" xfId="0" applyFont="1" applyFill="1" applyBorder="1" applyAlignment="1">
      <alignment horizontal="center"/>
    </xf>
    <xf numFmtId="0" fontId="5" fillId="9" borderId="1" xfId="0" applyFont="1" applyFill="1" applyBorder="1" applyAlignment="1">
      <alignment horizontal="center"/>
    </xf>
    <xf numFmtId="0" fontId="7" fillId="9" borderId="2" xfId="0" applyFont="1" applyFill="1" applyBorder="1" applyAlignment="1">
      <alignment horizontal="center"/>
    </xf>
    <xf numFmtId="0" fontId="7" fillId="9" borderId="1" xfId="0" applyFont="1" applyFill="1" applyBorder="1" applyAlignment="1">
      <alignment horizontal="center"/>
    </xf>
    <xf numFmtId="0" fontId="0" fillId="10" borderId="1" xfId="0" applyFont="1" applyFill="1" applyBorder="1" applyAlignment="1">
      <alignment horizontal="center"/>
    </xf>
    <xf numFmtId="0" fontId="0" fillId="10" borderId="1" xfId="0" applyFont="1" applyFill="1" applyBorder="1" applyAlignment="1">
      <alignment horizontal="center" wrapText="1"/>
    </xf>
    <xf numFmtId="0" fontId="0" fillId="19" borderId="35" xfId="0" applyFill="1" applyBorder="1" applyAlignment="1">
      <alignment horizontal="left" vertical="top" wrapText="1"/>
    </xf>
    <xf numFmtId="0" fontId="0" fillId="19" borderId="17" xfId="0" applyFill="1" applyBorder="1" applyAlignment="1">
      <alignment horizontal="left" vertical="top" wrapText="1"/>
    </xf>
    <xf numFmtId="0" fontId="0" fillId="19" borderId="31" xfId="0" applyFill="1" applyBorder="1" applyAlignment="1">
      <alignment horizontal="left" vertical="top" wrapText="1"/>
    </xf>
    <xf numFmtId="0" fontId="0" fillId="19" borderId="4" xfId="0" applyFill="1" applyBorder="1" applyAlignment="1">
      <alignment horizontal="left" vertical="top" wrapText="1"/>
    </xf>
    <xf numFmtId="0" fontId="0" fillId="19" borderId="0" xfId="0" applyFill="1" applyBorder="1" applyAlignment="1">
      <alignment horizontal="left" vertical="top" wrapText="1"/>
    </xf>
    <xf numFmtId="0" fontId="0" fillId="19" borderId="32" xfId="0" applyFill="1" applyBorder="1" applyAlignment="1">
      <alignment horizontal="left" vertical="top" wrapText="1"/>
    </xf>
    <xf numFmtId="0" fontId="0" fillId="19" borderId="29" xfId="0" applyFill="1" applyBorder="1" applyAlignment="1">
      <alignment horizontal="left" vertical="top" wrapText="1"/>
    </xf>
    <xf numFmtId="0" fontId="0" fillId="19" borderId="23" xfId="0" applyFill="1" applyBorder="1" applyAlignment="1">
      <alignment horizontal="left" vertical="top" wrapText="1"/>
    </xf>
    <xf numFmtId="0" fontId="0" fillId="19" borderId="34" xfId="0" applyFill="1" applyBorder="1" applyAlignment="1">
      <alignment horizontal="left" vertical="top" wrapText="1"/>
    </xf>
    <xf numFmtId="0" fontId="0" fillId="19" borderId="30" xfId="0" applyFill="1" applyBorder="1" applyAlignment="1">
      <alignment horizontal="left" vertical="center" wrapText="1"/>
    </xf>
    <xf numFmtId="0" fontId="0" fillId="19" borderId="17" xfId="0" applyFill="1" applyBorder="1" applyAlignment="1">
      <alignment horizontal="left" vertical="center" wrapText="1"/>
    </xf>
    <xf numFmtId="0" fontId="0" fillId="19" borderId="31" xfId="0" applyFill="1" applyBorder="1" applyAlignment="1">
      <alignment horizontal="left" vertical="center" wrapText="1"/>
    </xf>
    <xf numFmtId="0" fontId="0" fillId="19" borderId="16" xfId="0" applyFill="1" applyBorder="1" applyAlignment="1">
      <alignment horizontal="left" vertical="center" wrapText="1"/>
    </xf>
    <xf numFmtId="0" fontId="0" fillId="19" borderId="0" xfId="0" applyFill="1" applyBorder="1" applyAlignment="1">
      <alignment horizontal="left" vertical="center" wrapText="1"/>
    </xf>
    <xf numFmtId="0" fontId="0" fillId="19" borderId="32" xfId="0" applyFill="1" applyBorder="1" applyAlignment="1">
      <alignment horizontal="left" vertical="center" wrapText="1"/>
    </xf>
    <xf numFmtId="0" fontId="0" fillId="19" borderId="33" xfId="0" applyFill="1" applyBorder="1" applyAlignment="1">
      <alignment horizontal="left" vertical="center" wrapText="1"/>
    </xf>
    <xf numFmtId="0" fontId="0" fillId="19" borderId="23" xfId="0" applyFill="1" applyBorder="1" applyAlignment="1">
      <alignment horizontal="left" vertical="center" wrapText="1"/>
    </xf>
    <xf numFmtId="0" fontId="0" fillId="19" borderId="34" xfId="0" applyFill="1" applyBorder="1" applyAlignment="1">
      <alignment horizontal="left" vertical="center" wrapText="1"/>
    </xf>
    <xf numFmtId="0" fontId="0" fillId="19" borderId="30" xfId="0" applyFill="1" applyBorder="1" applyAlignment="1">
      <alignment horizontal="center" vertical="top" wrapText="1"/>
    </xf>
    <xf numFmtId="0" fontId="0" fillId="19" borderId="17" xfId="0" applyFill="1" applyBorder="1" applyAlignment="1">
      <alignment horizontal="center" vertical="top" wrapText="1"/>
    </xf>
    <xf numFmtId="0" fontId="0" fillId="19" borderId="25" xfId="0" applyFill="1" applyBorder="1" applyAlignment="1">
      <alignment horizontal="center" vertical="top" wrapText="1"/>
    </xf>
    <xf numFmtId="0" fontId="0" fillId="19" borderId="16" xfId="0" applyFill="1" applyBorder="1" applyAlignment="1">
      <alignment horizontal="center" vertical="top" wrapText="1"/>
    </xf>
    <xf numFmtId="0" fontId="0" fillId="19" borderId="0" xfId="0" applyFill="1" applyBorder="1" applyAlignment="1">
      <alignment horizontal="center" vertical="top" wrapText="1"/>
    </xf>
    <xf numFmtId="0" fontId="0" fillId="19" borderId="5" xfId="0" applyFill="1" applyBorder="1" applyAlignment="1">
      <alignment horizontal="center" vertical="top" wrapText="1"/>
    </xf>
    <xf numFmtId="0" fontId="0" fillId="19" borderId="33" xfId="0" applyFill="1" applyBorder="1" applyAlignment="1">
      <alignment horizontal="center" vertical="top" wrapText="1"/>
    </xf>
    <xf numFmtId="0" fontId="0" fillId="19" borderId="23" xfId="0" applyFill="1" applyBorder="1" applyAlignment="1">
      <alignment horizontal="center" vertical="top" wrapText="1"/>
    </xf>
    <xf numFmtId="0" fontId="0" fillId="19" borderId="26" xfId="0" applyFill="1" applyBorder="1" applyAlignment="1">
      <alignment horizontal="center" vertical="top" wrapText="1"/>
    </xf>
    <xf numFmtId="0" fontId="9" fillId="5" borderId="1" xfId="0" applyFont="1" applyFill="1" applyBorder="1" applyAlignment="1">
      <alignment horizontal="center" vertical="top" wrapText="1"/>
    </xf>
    <xf numFmtId="0" fontId="36" fillId="19" borderId="6" xfId="0" applyFont="1" applyFill="1" applyBorder="1" applyAlignment="1">
      <alignment horizontal="center"/>
    </xf>
    <xf numFmtId="0" fontId="36" fillId="19" borderId="21" xfId="0" applyFont="1" applyFill="1" applyBorder="1" applyAlignment="1">
      <alignment horizontal="center"/>
    </xf>
    <xf numFmtId="0" fontId="36" fillId="19" borderId="7" xfId="0" applyFont="1" applyFill="1" applyBorder="1" applyAlignment="1">
      <alignment horizontal="center"/>
    </xf>
    <xf numFmtId="0" fontId="0" fillId="19" borderId="0" xfId="0" applyFill="1" applyBorder="1" applyAlignment="1">
      <alignment horizontal="center"/>
    </xf>
    <xf numFmtId="0" fontId="36" fillId="20" borderId="28" xfId="0" applyFont="1" applyFill="1" applyBorder="1" applyAlignment="1">
      <alignment horizontal="center" vertical="top" wrapText="1"/>
    </xf>
    <xf numFmtId="0" fontId="36" fillId="20" borderId="9" xfId="0" applyFont="1" applyFill="1" applyBorder="1" applyAlignment="1">
      <alignment horizontal="center" vertical="top" wrapText="1"/>
    </xf>
    <xf numFmtId="0" fontId="36" fillId="20" borderId="24" xfId="0" applyFont="1" applyFill="1" applyBorder="1" applyAlignment="1">
      <alignment horizontal="center" vertical="top" wrapText="1"/>
    </xf>
    <xf numFmtId="0" fontId="0" fillId="19" borderId="2" xfId="0" applyFill="1" applyBorder="1" applyAlignment="1">
      <alignment horizontal="center"/>
    </xf>
    <xf numFmtId="0" fontId="0" fillId="19" borderId="19" xfId="0" applyFill="1" applyBorder="1" applyAlignment="1">
      <alignment horizontal="center"/>
    </xf>
    <xf numFmtId="0" fontId="0" fillId="19" borderId="3" xfId="0" applyFill="1" applyBorder="1" applyAlignment="1">
      <alignment horizontal="center"/>
    </xf>
    <xf numFmtId="0" fontId="0" fillId="19" borderId="18" xfId="0" applyFill="1" applyBorder="1" applyAlignment="1">
      <alignment horizontal="left" vertical="top" wrapText="1"/>
    </xf>
    <xf numFmtId="0" fontId="0" fillId="19" borderId="14" xfId="0" applyFill="1" applyBorder="1" applyAlignment="1">
      <alignment horizontal="left" vertical="top" wrapText="1"/>
    </xf>
    <xf numFmtId="0" fontId="0" fillId="19" borderId="20" xfId="0" applyFill="1" applyBorder="1" applyAlignment="1">
      <alignment horizontal="left" vertical="top" wrapText="1"/>
    </xf>
    <xf numFmtId="0" fontId="0" fillId="19" borderId="5" xfId="0" applyFill="1" applyBorder="1" applyAlignment="1">
      <alignment horizontal="left" vertical="top" wrapText="1"/>
    </xf>
    <xf numFmtId="0" fontId="0" fillId="19" borderId="6" xfId="0" applyFill="1" applyBorder="1" applyAlignment="1">
      <alignment horizontal="left" vertical="top" wrapText="1"/>
    </xf>
    <xf numFmtId="0" fontId="0" fillId="19" borderId="21" xfId="0" applyFill="1" applyBorder="1" applyAlignment="1">
      <alignment horizontal="left" vertical="top" wrapText="1"/>
    </xf>
    <xf numFmtId="0" fontId="0" fillId="19" borderId="7" xfId="0" applyFill="1" applyBorder="1" applyAlignment="1">
      <alignment horizontal="left" vertical="top" wrapText="1"/>
    </xf>
    <xf numFmtId="0" fontId="3" fillId="19" borderId="4" xfId="0" applyFont="1" applyFill="1" applyBorder="1" applyAlignment="1">
      <alignment horizontal="center"/>
    </xf>
    <xf numFmtId="0" fontId="3" fillId="19" borderId="0" xfId="0" applyFont="1" applyFill="1" applyBorder="1" applyAlignment="1">
      <alignment horizontal="center"/>
    </xf>
    <xf numFmtId="0" fontId="0" fillId="22" borderId="4" xfId="0" applyFont="1" applyFill="1" applyBorder="1" applyAlignment="1">
      <alignment horizontal="center"/>
    </xf>
    <xf numFmtId="0" fontId="0" fillId="22" borderId="0" xfId="0" applyFont="1" applyFill="1" applyBorder="1" applyAlignment="1">
      <alignment horizontal="center"/>
    </xf>
    <xf numFmtId="0" fontId="0" fillId="19" borderId="4" xfId="0" applyFill="1" applyBorder="1" applyAlignment="1">
      <alignment horizontal="center"/>
    </xf>
    <xf numFmtId="0" fontId="36" fillId="19" borderId="18" xfId="0" applyFont="1" applyFill="1" applyBorder="1" applyAlignment="1">
      <alignment horizontal="center"/>
    </xf>
    <xf numFmtId="0" fontId="36" fillId="19" borderId="14" xfId="0" applyFont="1" applyFill="1" applyBorder="1" applyAlignment="1">
      <alignment horizontal="center"/>
    </xf>
    <xf numFmtId="0" fontId="36" fillId="19" borderId="20" xfId="0" applyFont="1" applyFill="1" applyBorder="1" applyAlignment="1">
      <alignment horizontal="center"/>
    </xf>
    <xf numFmtId="0" fontId="42" fillId="22" borderId="4" xfId="0" applyFont="1" applyFill="1" applyBorder="1" applyAlignment="1">
      <alignment horizontal="left"/>
    </xf>
    <xf numFmtId="0" fontId="42" fillId="22" borderId="0" xfId="0" applyFont="1" applyFill="1" applyBorder="1" applyAlignment="1">
      <alignment horizontal="left"/>
    </xf>
    <xf numFmtId="0" fontId="42" fillId="19" borderId="4" xfId="0" applyFont="1" applyFill="1" applyBorder="1" applyAlignment="1">
      <alignment horizontal="left"/>
    </xf>
    <xf numFmtId="0" fontId="42" fillId="19" borderId="0" xfId="0" applyFont="1" applyFill="1" applyBorder="1" applyAlignment="1">
      <alignment horizontal="left"/>
    </xf>
    <xf numFmtId="0" fontId="33" fillId="22" borderId="4" xfId="0" applyFont="1" applyFill="1" applyBorder="1" applyAlignment="1">
      <alignment horizontal="left"/>
    </xf>
    <xf numFmtId="0" fontId="33" fillId="22" borderId="0" xfId="0" applyFont="1" applyFill="1" applyBorder="1" applyAlignment="1">
      <alignment horizontal="left"/>
    </xf>
    <xf numFmtId="0" fontId="36" fillId="19" borderId="4" xfId="0" applyFont="1" applyFill="1" applyBorder="1" applyAlignment="1">
      <alignment horizontal="center"/>
    </xf>
    <xf numFmtId="0" fontId="36" fillId="19" borderId="0" xfId="0" applyFont="1" applyFill="1" applyBorder="1" applyAlignment="1">
      <alignment horizontal="center"/>
    </xf>
    <xf numFmtId="1" fontId="0" fillId="19" borderId="0" xfId="0" applyNumberFormat="1" applyFill="1" applyBorder="1" applyAlignment="1">
      <alignment horizontal="center"/>
    </xf>
    <xf numFmtId="0" fontId="36" fillId="19" borderId="4" xfId="0" applyFont="1" applyFill="1" applyBorder="1" applyAlignment="1">
      <alignment horizontal="left"/>
    </xf>
    <xf numFmtId="0" fontId="36" fillId="19" borderId="0" xfId="0" applyFont="1" applyFill="1" applyBorder="1" applyAlignment="1">
      <alignment horizontal="left"/>
    </xf>
    <xf numFmtId="0" fontId="12" fillId="22" borderId="0" xfId="0" applyFont="1" applyFill="1" applyBorder="1" applyAlignment="1">
      <alignment horizontal="center"/>
    </xf>
    <xf numFmtId="0" fontId="36" fillId="21" borderId="0" xfId="0" applyFont="1" applyFill="1" applyBorder="1" applyAlignment="1">
      <alignment horizontal="center" wrapText="1"/>
    </xf>
    <xf numFmtId="0" fontId="36" fillId="21" borderId="5" xfId="0" applyFont="1" applyFill="1" applyBorder="1" applyAlignment="1">
      <alignment horizontal="center" wrapText="1"/>
    </xf>
    <xf numFmtId="0" fontId="37" fillId="20" borderId="18" xfId="0" applyFont="1" applyFill="1" applyBorder="1" applyAlignment="1">
      <alignment horizontal="right" vertical="top" wrapText="1"/>
    </xf>
    <xf numFmtId="0" fontId="37" fillId="20" borderId="14" xfId="0" applyFont="1" applyFill="1" applyBorder="1" applyAlignment="1">
      <alignment horizontal="right" vertical="top" wrapText="1"/>
    </xf>
    <xf numFmtId="0" fontId="0" fillId="19" borderId="4" xfId="0" applyFill="1" applyBorder="1" applyAlignment="1"/>
    <xf numFmtId="0" fontId="0" fillId="19" borderId="0" xfId="0" applyFill="1" applyBorder="1" applyAlignment="1"/>
    <xf numFmtId="0" fontId="0" fillId="22" borderId="4" xfId="0" applyFont="1" applyFill="1" applyBorder="1" applyAlignment="1"/>
    <xf numFmtId="0" fontId="0" fillId="22" borderId="0" xfId="0" applyFont="1" applyFill="1" applyBorder="1" applyAlignment="1"/>
    <xf numFmtId="1" fontId="9" fillId="21" borderId="0" xfId="0" applyNumberFormat="1" applyFont="1" applyFill="1" applyBorder="1" applyAlignment="1">
      <alignment horizontal="center" vertical="top" wrapText="1"/>
    </xf>
    <xf numFmtId="0" fontId="9" fillId="21" borderId="0" xfId="0" applyFont="1" applyFill="1" applyBorder="1" applyAlignment="1">
      <alignment horizontal="center" vertical="top" wrapText="1"/>
    </xf>
    <xf numFmtId="0" fontId="0" fillId="22" borderId="4" xfId="0" applyFill="1" applyBorder="1" applyAlignment="1">
      <alignment horizontal="left"/>
    </xf>
    <xf numFmtId="0" fontId="0" fillId="22" borderId="0" xfId="0" applyFill="1" applyBorder="1" applyAlignment="1">
      <alignment horizontal="left"/>
    </xf>
    <xf numFmtId="0" fontId="36" fillId="22" borderId="0" xfId="0" applyFont="1" applyFill="1" applyBorder="1" applyAlignment="1">
      <alignment horizontal="left"/>
    </xf>
    <xf numFmtId="0" fontId="0" fillId="20" borderId="0" xfId="0" applyFont="1" applyFill="1" applyBorder="1" applyAlignment="1">
      <alignment horizontal="left" vertical="top" wrapText="1"/>
    </xf>
    <xf numFmtId="0" fontId="0" fillId="22" borderId="4" xfId="0" applyFill="1" applyBorder="1" applyAlignment="1">
      <alignment horizontal="center"/>
    </xf>
    <xf numFmtId="0" fontId="0" fillId="22" borderId="0" xfId="0" applyFill="1" applyBorder="1" applyAlignment="1">
      <alignment horizontal="center"/>
    </xf>
    <xf numFmtId="0" fontId="36" fillId="22" borderId="4" xfId="0" applyFont="1" applyFill="1" applyBorder="1" applyAlignment="1">
      <alignment horizontal="center"/>
    </xf>
    <xf numFmtId="0" fontId="36" fillId="22" borderId="0" xfId="0" applyFont="1" applyFill="1" applyBorder="1" applyAlignment="1">
      <alignment horizontal="center"/>
    </xf>
    <xf numFmtId="0" fontId="38" fillId="22" borderId="0" xfId="0" applyFont="1" applyFill="1" applyBorder="1" applyAlignment="1">
      <alignment horizontal="center"/>
    </xf>
    <xf numFmtId="0" fontId="44" fillId="22" borderId="0" xfId="0" applyFont="1" applyFill="1" applyBorder="1" applyAlignment="1">
      <alignment horizontal="center"/>
    </xf>
    <xf numFmtId="0" fontId="1" fillId="22" borderId="4" xfId="0" applyFont="1" applyFill="1" applyBorder="1" applyAlignment="1">
      <alignment horizontal="center"/>
    </xf>
    <xf numFmtId="0" fontId="16" fillId="22" borderId="0" xfId="0" applyFont="1" applyFill="1" applyBorder="1" applyAlignment="1">
      <alignment horizontal="center"/>
    </xf>
    <xf numFmtId="0" fontId="0" fillId="0" borderId="0" xfId="0" applyFont="1" applyFill="1" applyBorder="1" applyAlignment="1">
      <alignment horizontal="left"/>
    </xf>
    <xf numFmtId="0" fontId="0" fillId="0" borderId="21" xfId="0" applyFont="1" applyFill="1" applyBorder="1" applyAlignment="1">
      <alignment horizontal="left"/>
    </xf>
    <xf numFmtId="0" fontId="19" fillId="22" borderId="0" xfId="0" applyFont="1" applyFill="1" applyBorder="1" applyAlignment="1">
      <alignment horizontal="left"/>
    </xf>
    <xf numFmtId="14" fontId="19" fillId="22" borderId="0" xfId="0" applyNumberFormat="1" applyFont="1" applyFill="1" applyBorder="1" applyAlignment="1">
      <alignment horizontal="center"/>
    </xf>
    <xf numFmtId="0" fontId="19" fillId="22" borderId="0" xfId="0" applyFont="1" applyFill="1" applyBorder="1" applyAlignment="1">
      <alignment horizontal="center"/>
    </xf>
    <xf numFmtId="0" fontId="30" fillId="22" borderId="0" xfId="0" applyFont="1" applyFill="1" applyBorder="1" applyAlignment="1">
      <alignment horizontal="left"/>
    </xf>
    <xf numFmtId="0" fontId="30" fillId="22" borderId="5" xfId="0" applyFont="1" applyFill="1" applyBorder="1" applyAlignment="1">
      <alignment horizontal="left"/>
    </xf>
    <xf numFmtId="0" fontId="9" fillId="22" borderId="4" xfId="0" applyFont="1" applyFill="1" applyBorder="1" applyAlignment="1">
      <alignment horizontal="left"/>
    </xf>
    <xf numFmtId="0" fontId="9" fillId="22" borderId="0" xfId="0" applyFont="1" applyFill="1" applyBorder="1" applyAlignment="1">
      <alignment horizontal="left"/>
    </xf>
    <xf numFmtId="0" fontId="9" fillId="22" borderId="5" xfId="0" applyFont="1" applyFill="1" applyBorder="1" applyAlignment="1">
      <alignment horizontal="left"/>
    </xf>
    <xf numFmtId="0" fontId="0" fillId="22" borderId="1" xfId="0" applyFill="1" applyBorder="1" applyAlignment="1">
      <alignment horizontal="center"/>
    </xf>
    <xf numFmtId="0" fontId="0" fillId="22" borderId="2" xfId="0" applyFill="1" applyBorder="1" applyAlignment="1">
      <alignment horizontal="left"/>
    </xf>
    <xf numFmtId="0" fontId="0" fillId="22" borderId="19" xfId="0" applyFill="1" applyBorder="1" applyAlignment="1">
      <alignment horizontal="left"/>
    </xf>
    <xf numFmtId="0" fontId="0" fillId="22" borderId="3" xfId="0" applyFill="1" applyBorder="1" applyAlignment="1">
      <alignment horizontal="left"/>
    </xf>
    <xf numFmtId="0" fontId="36" fillId="22" borderId="21" xfId="0" applyFont="1" applyFill="1" applyBorder="1" applyAlignment="1">
      <alignment horizontal="left"/>
    </xf>
    <xf numFmtId="0" fontId="0" fillId="22" borderId="21" xfId="0" applyFill="1" applyBorder="1" applyAlignment="1">
      <alignment horizontal="left"/>
    </xf>
    <xf numFmtId="0" fontId="35" fillId="22" borderId="4" xfId="0" applyFont="1" applyFill="1" applyBorder="1" applyAlignment="1">
      <alignment horizontal="left"/>
    </xf>
    <xf numFmtId="0" fontId="35" fillId="22" borderId="0" xfId="0" applyFont="1" applyFill="1" applyBorder="1" applyAlignment="1">
      <alignment horizontal="left"/>
    </xf>
    <xf numFmtId="16" fontId="36" fillId="22" borderId="0" xfId="0" applyNumberFormat="1" applyFont="1" applyFill="1" applyBorder="1" applyAlignment="1">
      <alignment horizontal="left"/>
    </xf>
    <xf numFmtId="0" fontId="0" fillId="22" borderId="1" xfId="0" applyFont="1" applyFill="1" applyBorder="1" applyAlignment="1"/>
    <xf numFmtId="0" fontId="15" fillId="22" borderId="7" xfId="0" applyFont="1" applyFill="1" applyBorder="1" applyAlignment="1">
      <alignment horizontal="center"/>
    </xf>
    <xf numFmtId="0" fontId="15" fillId="22" borderId="3" xfId="0" applyFont="1" applyFill="1" applyBorder="1" applyAlignment="1">
      <alignment horizontal="center"/>
    </xf>
    <xf numFmtId="0" fontId="6" fillId="22" borderId="1" xfId="0" applyFont="1" applyFill="1" applyBorder="1" applyAlignment="1">
      <alignment horizontal="center"/>
    </xf>
    <xf numFmtId="0" fontId="7" fillId="22" borderId="4" xfId="0" applyFont="1" applyFill="1" applyBorder="1" applyAlignment="1">
      <alignment horizontal="center"/>
    </xf>
    <xf numFmtId="0" fontId="7" fillId="22" borderId="0" xfId="0" applyFont="1" applyFill="1" applyBorder="1" applyAlignment="1">
      <alignment horizontal="center"/>
    </xf>
    <xf numFmtId="0" fontId="14" fillId="22" borderId="0" xfId="0" applyFont="1" applyFill="1" applyBorder="1" applyAlignment="1">
      <alignment horizontal="center"/>
    </xf>
    <xf numFmtId="0" fontId="14" fillId="22" borderId="4" xfId="0" applyFont="1" applyFill="1" applyBorder="1" applyAlignment="1">
      <alignment horizontal="left"/>
    </xf>
    <xf numFmtId="0" fontId="14" fillId="22" borderId="0" xfId="0" applyFont="1" applyFill="1" applyBorder="1" applyAlignment="1">
      <alignment horizontal="left"/>
    </xf>
    <xf numFmtId="0" fontId="29" fillId="22" borderId="0" xfId="0" applyFont="1" applyFill="1" applyBorder="1" applyAlignment="1">
      <alignment horizontal="left"/>
    </xf>
    <xf numFmtId="0" fontId="15" fillId="22" borderId="0" xfId="0" applyFont="1" applyFill="1" applyBorder="1" applyAlignment="1">
      <alignment horizontal="left"/>
    </xf>
    <xf numFmtId="0" fontId="0" fillId="24" borderId="0" xfId="0" applyFill="1" applyBorder="1" applyAlignment="1" applyProtection="1">
      <alignment horizontal="center"/>
    </xf>
    <xf numFmtId="0" fontId="0" fillId="24" borderId="0" xfId="0" applyFont="1" applyFill="1" applyBorder="1" applyAlignment="1" applyProtection="1">
      <alignment horizontal="center"/>
    </xf>
    <xf numFmtId="0" fontId="0" fillId="0" borderId="0" xfId="0" applyFont="1" applyFill="1" applyBorder="1" applyAlignment="1">
      <alignment horizontal="center"/>
    </xf>
    <xf numFmtId="0" fontId="71" fillId="22" borderId="14" xfId="0" applyFont="1" applyFill="1" applyBorder="1" applyAlignment="1">
      <alignment horizontal="left"/>
    </xf>
    <xf numFmtId="0" fontId="71" fillId="22" borderId="20" xfId="0" applyFont="1" applyFill="1" applyBorder="1" applyAlignment="1">
      <alignment horizontal="left"/>
    </xf>
    <xf numFmtId="14" fontId="5" fillId="22" borderId="0" xfId="0" applyNumberFormat="1" applyFont="1" applyFill="1" applyBorder="1" applyAlignment="1">
      <alignment horizontal="center"/>
    </xf>
    <xf numFmtId="0" fontId="6" fillId="22" borderId="0" xfId="0" applyFont="1" applyFill="1" applyBorder="1" applyAlignment="1">
      <alignment horizontal="center"/>
    </xf>
    <xf numFmtId="0" fontId="83" fillId="22" borderId="4" xfId="0" applyFont="1" applyFill="1" applyBorder="1" applyAlignment="1">
      <alignment horizontal="center"/>
    </xf>
    <xf numFmtId="0" fontId="83" fillId="22" borderId="0" xfId="0" applyFont="1" applyFill="1" applyBorder="1" applyAlignment="1">
      <alignment horizontal="center"/>
    </xf>
    <xf numFmtId="0" fontId="0" fillId="0" borderId="21" xfId="0" applyFont="1" applyFill="1" applyBorder="1" applyAlignment="1">
      <alignment horizontal="center"/>
    </xf>
    <xf numFmtId="0" fontId="47" fillId="17" borderId="0" xfId="0" applyFont="1" applyFill="1" applyAlignment="1">
      <alignment horizontal="center"/>
    </xf>
    <xf numFmtId="1" fontId="17" fillId="37" borderId="8" xfId="0" applyNumberFormat="1" applyFont="1" applyFill="1" applyBorder="1" applyAlignment="1">
      <alignment horizontal="center"/>
    </xf>
    <xf numFmtId="1" fontId="17" fillId="37" borderId="9" xfId="0" applyNumberFormat="1" applyFont="1" applyFill="1" applyBorder="1" applyAlignment="1">
      <alignment horizontal="center"/>
    </xf>
    <xf numFmtId="0" fontId="70" fillId="37" borderId="9" xfId="0" applyFont="1" applyFill="1" applyBorder="1" applyAlignment="1">
      <alignment horizontal="center"/>
    </xf>
    <xf numFmtId="2" fontId="0" fillId="2" borderId="0" xfId="0" applyNumberFormat="1" applyFill="1" applyBorder="1" applyAlignment="1">
      <alignment horizontal="center"/>
    </xf>
    <xf numFmtId="0" fontId="19" fillId="2" borderId="0" xfId="0" applyFont="1" applyFill="1" applyAlignment="1">
      <alignment horizontal="center"/>
    </xf>
    <xf numFmtId="0" fontId="0" fillId="34" borderId="8" xfId="0" applyFill="1" applyBorder="1" applyAlignment="1">
      <alignment horizontal="center"/>
    </xf>
    <xf numFmtId="0" fontId="0" fillId="34" borderId="9" xfId="0" applyFill="1" applyBorder="1" applyAlignment="1">
      <alignment horizontal="center"/>
    </xf>
    <xf numFmtId="0" fontId="36" fillId="34" borderId="1" xfId="0" applyFont="1" applyFill="1" applyBorder="1" applyAlignment="1">
      <alignment horizontal="center"/>
    </xf>
    <xf numFmtId="0" fontId="15" fillId="2" borderId="0" xfId="0" applyFont="1" applyFill="1" applyBorder="1" applyAlignment="1">
      <alignment horizontal="left"/>
    </xf>
    <xf numFmtId="0" fontId="15" fillId="2" borderId="5" xfId="0" applyFont="1" applyFill="1" applyBorder="1" applyAlignment="1">
      <alignment horizontal="left"/>
    </xf>
    <xf numFmtId="0" fontId="25" fillId="2" borderId="0" xfId="0" applyFont="1" applyFill="1" applyBorder="1" applyAlignment="1">
      <alignment horizontal="center"/>
    </xf>
    <xf numFmtId="0" fontId="5" fillId="2" borderId="0" xfId="0" applyFont="1" applyFill="1" applyBorder="1" applyAlignment="1">
      <alignment horizontal="center"/>
    </xf>
    <xf numFmtId="0" fontId="15" fillId="2" borderId="0" xfId="0" applyFont="1" applyFill="1" applyBorder="1" applyAlignment="1"/>
    <xf numFmtId="168" fontId="23" fillId="15" borderId="0" xfId="0" applyNumberFormat="1" applyFont="1" applyFill="1" applyBorder="1" applyAlignment="1">
      <alignment horizontal="center"/>
    </xf>
    <xf numFmtId="0" fontId="69" fillId="17" borderId="0" xfId="0" applyFont="1" applyFill="1" applyBorder="1" applyAlignment="1">
      <alignment horizontal="left"/>
    </xf>
    <xf numFmtId="0" fontId="69" fillId="17" borderId="0" xfId="0" applyFont="1" applyFill="1" applyAlignment="1">
      <alignment horizontal="left"/>
    </xf>
    <xf numFmtId="0" fontId="69" fillId="17" borderId="4" xfId="0" applyFont="1" applyFill="1" applyBorder="1" applyAlignment="1">
      <alignment horizontal="left"/>
    </xf>
    <xf numFmtId="0" fontId="0" fillId="32" borderId="8" xfId="0" applyFill="1" applyBorder="1" applyAlignment="1">
      <alignment horizontal="left"/>
    </xf>
    <xf numFmtId="0" fontId="0" fillId="32" borderId="9" xfId="0" applyFill="1" applyBorder="1" applyAlignment="1">
      <alignment horizontal="left"/>
    </xf>
    <xf numFmtId="0" fontId="0" fillId="32" borderId="10" xfId="0" applyFill="1" applyBorder="1" applyAlignment="1">
      <alignment horizontal="left"/>
    </xf>
    <xf numFmtId="0" fontId="1" fillId="22" borderId="0" xfId="0" applyFont="1" applyFill="1" applyBorder="1" applyAlignment="1">
      <alignment horizontal="center"/>
    </xf>
    <xf numFmtId="0" fontId="14" fillId="2" borderId="0" xfId="0" applyFont="1" applyFill="1" applyBorder="1" applyAlignment="1">
      <alignment horizontal="center"/>
    </xf>
    <xf numFmtId="0" fontId="21" fillId="2" borderId="0" xfId="0" applyFont="1" applyFill="1" applyBorder="1" applyAlignment="1">
      <alignment horizontal="center"/>
    </xf>
    <xf numFmtId="0" fontId="12" fillId="0" borderId="4" xfId="0" applyFont="1" applyFill="1" applyBorder="1" applyAlignment="1">
      <alignment horizontal="left"/>
    </xf>
    <xf numFmtId="0" fontId="12" fillId="0" borderId="0" xfId="0" applyFont="1" applyFill="1" applyBorder="1" applyAlignment="1">
      <alignment horizontal="left"/>
    </xf>
    <xf numFmtId="0" fontId="12" fillId="0" borderId="4" xfId="0" applyFont="1" applyFill="1" applyBorder="1" applyAlignment="1">
      <alignment horizontal="center"/>
    </xf>
    <xf numFmtId="0" fontId="12" fillId="0" borderId="0" xfId="0" applyFont="1" applyFill="1" applyBorder="1" applyAlignment="1">
      <alignment horizontal="center"/>
    </xf>
    <xf numFmtId="0" fontId="36" fillId="38" borderId="13" xfId="0" applyFont="1" applyFill="1" applyBorder="1" applyAlignment="1">
      <alignment horizontal="left"/>
    </xf>
    <xf numFmtId="0" fontId="44" fillId="30" borderId="12" xfId="0" applyFont="1" applyFill="1" applyBorder="1" applyAlignment="1">
      <alignment horizontal="center"/>
    </xf>
    <xf numFmtId="0" fontId="0" fillId="30" borderId="12" xfId="0" applyFill="1" applyBorder="1" applyAlignment="1">
      <alignment horizontal="center"/>
    </xf>
    <xf numFmtId="0" fontId="5" fillId="39" borderId="8" xfId="0" applyFont="1" applyFill="1" applyBorder="1" applyAlignment="1">
      <alignment horizontal="center"/>
    </xf>
    <xf numFmtId="0" fontId="5" fillId="39" borderId="9" xfId="0" applyFont="1" applyFill="1" applyBorder="1" applyAlignment="1">
      <alignment horizontal="center"/>
    </xf>
    <xf numFmtId="0" fontId="5" fillId="39" borderId="10" xfId="0" applyFont="1" applyFill="1" applyBorder="1" applyAlignment="1">
      <alignment horizontal="center"/>
    </xf>
    <xf numFmtId="0" fontId="3" fillId="39" borderId="8" xfId="0" applyFont="1" applyFill="1" applyBorder="1" applyAlignment="1">
      <alignment horizontal="center"/>
    </xf>
    <xf numFmtId="0" fontId="3" fillId="39" borderId="9" xfId="0" applyFont="1" applyFill="1" applyBorder="1" applyAlignment="1">
      <alignment horizontal="center"/>
    </xf>
    <xf numFmtId="0" fontId="3" fillId="39" borderId="10" xfId="0" applyFont="1" applyFill="1" applyBorder="1" applyAlignment="1">
      <alignment horizontal="center"/>
    </xf>
    <xf numFmtId="0" fontId="0" fillId="40" borderId="8" xfId="0" applyFill="1" applyBorder="1" applyAlignment="1">
      <alignment horizontal="center"/>
    </xf>
    <xf numFmtId="0" fontId="0" fillId="40" borderId="9" xfId="0" applyFill="1" applyBorder="1" applyAlignment="1">
      <alignment horizontal="center"/>
    </xf>
    <xf numFmtId="0" fontId="0" fillId="40" borderId="10" xfId="0" applyFill="1" applyBorder="1" applyAlignment="1">
      <alignment horizontal="center"/>
    </xf>
    <xf numFmtId="0" fontId="36" fillId="54" borderId="2" xfId="0" applyFont="1" applyFill="1" applyBorder="1" applyAlignment="1">
      <alignment horizontal="center"/>
    </xf>
    <xf numFmtId="0" fontId="36" fillId="54" borderId="19" xfId="0" applyFont="1" applyFill="1" applyBorder="1" applyAlignment="1">
      <alignment horizontal="center"/>
    </xf>
    <xf numFmtId="0" fontId="36" fillId="54" borderId="3" xfId="0" applyFont="1" applyFill="1" applyBorder="1" applyAlignment="1">
      <alignment horizontal="center"/>
    </xf>
    <xf numFmtId="0" fontId="5" fillId="17" borderId="0" xfId="0" applyFont="1" applyFill="1" applyAlignment="1">
      <alignment horizontal="center"/>
    </xf>
    <xf numFmtId="0" fontId="0" fillId="25" borderId="1" xfId="0" applyFill="1" applyBorder="1" applyAlignment="1">
      <alignment horizontal="center"/>
    </xf>
    <xf numFmtId="0" fontId="0" fillId="25" borderId="1" xfId="0" applyFont="1" applyFill="1" applyBorder="1" applyAlignment="1">
      <alignment horizontal="center"/>
    </xf>
    <xf numFmtId="0" fontId="0" fillId="0" borderId="14" xfId="0" applyFont="1" applyFill="1" applyBorder="1" applyAlignment="1">
      <alignment horizontal="right"/>
    </xf>
    <xf numFmtId="0" fontId="0" fillId="0" borderId="0" xfId="0" applyFill="1" applyBorder="1" applyAlignment="1">
      <alignment horizontal="center"/>
    </xf>
    <xf numFmtId="0" fontId="0" fillId="0" borderId="5" xfId="0" applyFill="1" applyBorder="1" applyAlignment="1">
      <alignment horizontal="center"/>
    </xf>
    <xf numFmtId="0" fontId="0" fillId="25" borderId="2" xfId="0" applyNumberFormat="1" applyFill="1" applyBorder="1" applyAlignment="1">
      <alignment horizontal="left"/>
    </xf>
    <xf numFmtId="0" fontId="0" fillId="25" borderId="3" xfId="0" applyNumberFormat="1" applyFill="1" applyBorder="1" applyAlignment="1">
      <alignment horizontal="left"/>
    </xf>
    <xf numFmtId="0" fontId="0" fillId="0" borderId="4" xfId="0" applyFill="1" applyBorder="1" applyAlignment="1">
      <alignment horizontal="left"/>
    </xf>
    <xf numFmtId="0" fontId="0" fillId="0" borderId="0" xfId="0" applyFill="1" applyBorder="1" applyAlignment="1">
      <alignment horizontal="left"/>
    </xf>
    <xf numFmtId="0" fontId="74" fillId="0" borderId="0" xfId="0" applyFont="1" applyFill="1" applyBorder="1" applyAlignment="1">
      <alignment horizontal="left"/>
    </xf>
    <xf numFmtId="0" fontId="9" fillId="0" borderId="4" xfId="0" applyFont="1" applyFill="1" applyBorder="1" applyAlignment="1">
      <alignment horizontal="left"/>
    </xf>
    <xf numFmtId="0" fontId="9" fillId="0" borderId="0" xfId="0" applyFont="1" applyFill="1" applyBorder="1" applyAlignment="1">
      <alignment horizontal="left"/>
    </xf>
    <xf numFmtId="0" fontId="27" fillId="38" borderId="11" xfId="0" applyFont="1" applyFill="1" applyBorder="1" applyAlignment="1">
      <alignment horizontal="left"/>
    </xf>
    <xf numFmtId="14" fontId="0" fillId="25" borderId="1" xfId="0" applyNumberFormat="1" applyFont="1" applyFill="1" applyBorder="1" applyAlignment="1">
      <alignment horizontal="center"/>
    </xf>
    <xf numFmtId="14" fontId="0" fillId="25" borderId="1" xfId="0" applyNumberFormat="1" applyFill="1" applyBorder="1" applyAlignment="1">
      <alignment horizontal="center"/>
    </xf>
    <xf numFmtId="14" fontId="37" fillId="0" borderId="0" xfId="0" applyNumberFormat="1" applyFont="1" applyFill="1" applyBorder="1" applyAlignment="1">
      <alignment horizontal="center"/>
    </xf>
    <xf numFmtId="0" fontId="68" fillId="54" borderId="0" xfId="0" applyFont="1" applyFill="1" applyBorder="1" applyAlignment="1">
      <alignment horizontal="center"/>
    </xf>
    <xf numFmtId="0" fontId="0" fillId="19" borderId="0" xfId="0" applyFont="1" applyFill="1" applyBorder="1" applyAlignment="1" applyProtection="1">
      <alignment horizontal="center"/>
    </xf>
    <xf numFmtId="0" fontId="0" fillId="19" borderId="5" xfId="0" applyFont="1" applyFill="1" applyBorder="1" applyAlignment="1" applyProtection="1">
      <alignment horizontal="center"/>
    </xf>
    <xf numFmtId="1" fontId="74" fillId="19" borderId="2" xfId="0" applyNumberFormat="1" applyFont="1" applyFill="1" applyBorder="1" applyAlignment="1">
      <alignment horizontal="center"/>
    </xf>
    <xf numFmtId="1" fontId="74" fillId="19" borderId="3" xfId="0" applyNumberFormat="1" applyFont="1" applyFill="1" applyBorder="1" applyAlignment="1">
      <alignment horizontal="center"/>
    </xf>
    <xf numFmtId="0" fontId="0" fillId="19" borderId="1" xfId="0" applyFill="1" applyBorder="1" applyAlignment="1">
      <alignment horizontal="center"/>
    </xf>
    <xf numFmtId="0" fontId="0" fillId="21" borderId="0" xfId="0" applyFill="1" applyBorder="1" applyAlignment="1" applyProtection="1">
      <alignment horizontal="center"/>
    </xf>
    <xf numFmtId="0" fontId="0" fillId="21" borderId="0" xfId="0" applyFont="1" applyFill="1" applyBorder="1" applyAlignment="1" applyProtection="1">
      <alignment horizontal="center"/>
    </xf>
    <xf numFmtId="0" fontId="0" fillId="17" borderId="0" xfId="0" applyFill="1" applyBorder="1" applyAlignment="1">
      <alignment horizontal="center"/>
    </xf>
    <xf numFmtId="0" fontId="36" fillId="38" borderId="11" xfId="0" applyFont="1" applyFill="1" applyBorder="1" applyAlignment="1">
      <alignment horizontal="left"/>
    </xf>
    <xf numFmtId="0" fontId="35" fillId="29" borderId="0" xfId="0" applyFont="1" applyFill="1" applyBorder="1" applyAlignment="1">
      <alignment horizontal="left"/>
    </xf>
    <xf numFmtId="0" fontId="34" fillId="29" borderId="0" xfId="0" applyFont="1" applyFill="1" applyBorder="1" applyAlignment="1">
      <alignment horizontal="left"/>
    </xf>
    <xf numFmtId="0" fontId="36" fillId="38" borderId="12" xfId="0" applyFont="1" applyFill="1" applyBorder="1" applyAlignment="1">
      <alignment horizontal="left"/>
    </xf>
    <xf numFmtId="0" fontId="68" fillId="38" borderId="1" xfId="0" applyFont="1" applyFill="1" applyBorder="1" applyAlignment="1">
      <alignment horizontal="center"/>
    </xf>
    <xf numFmtId="0" fontId="0" fillId="19" borderId="1" xfId="0" applyFill="1" applyBorder="1" applyAlignment="1">
      <alignment horizontal="left"/>
    </xf>
    <xf numFmtId="0" fontId="36" fillId="19" borderId="1" xfId="0" applyFont="1" applyFill="1" applyBorder="1" applyAlignment="1">
      <alignment horizontal="center"/>
    </xf>
    <xf numFmtId="1" fontId="17" fillId="29" borderId="0" xfId="0" applyNumberFormat="1" applyFont="1" applyFill="1" applyBorder="1" applyAlignment="1">
      <alignment horizontal="center"/>
    </xf>
    <xf numFmtId="0" fontId="4" fillId="0" borderId="0" xfId="0" applyFont="1" applyFill="1" applyBorder="1" applyAlignment="1">
      <alignment horizontal="center"/>
    </xf>
    <xf numFmtId="0" fontId="10" fillId="29" borderId="0" xfId="0" applyFont="1" applyFill="1" applyBorder="1" applyAlignment="1">
      <alignment horizontal="left"/>
    </xf>
    <xf numFmtId="0" fontId="0" fillId="21" borderId="0" xfId="0" applyFont="1" applyFill="1" applyBorder="1" applyAlignment="1">
      <alignment horizontal="center" wrapText="1"/>
    </xf>
    <xf numFmtId="0" fontId="0" fillId="20" borderId="0" xfId="0" applyFont="1" applyFill="1" applyBorder="1" applyAlignment="1">
      <alignment horizontal="center" vertical="top" wrapText="1"/>
    </xf>
    <xf numFmtId="0" fontId="0" fillId="28" borderId="0" xfId="0" applyFont="1" applyFill="1" applyBorder="1" applyAlignment="1">
      <alignment horizontal="center"/>
    </xf>
    <xf numFmtId="0" fontId="0" fillId="24" borderId="0" xfId="0" applyFont="1" applyFill="1" applyBorder="1" applyAlignment="1">
      <alignment horizontal="center" vertical="top" wrapText="1"/>
    </xf>
    <xf numFmtId="0" fontId="0" fillId="19" borderId="0" xfId="0" applyFill="1" applyBorder="1" applyAlignment="1">
      <alignment horizontal="left"/>
    </xf>
    <xf numFmtId="0" fontId="0" fillId="21" borderId="0" xfId="0" applyFont="1" applyFill="1" applyBorder="1" applyAlignment="1">
      <alignment horizontal="left" vertical="top" wrapText="1"/>
    </xf>
    <xf numFmtId="0" fontId="36" fillId="22" borderId="0" xfId="0" applyFont="1" applyFill="1" applyBorder="1" applyAlignment="1">
      <alignment horizontal="left" vertical="top"/>
    </xf>
    <xf numFmtId="0" fontId="0" fillId="22" borderId="0" xfId="0" applyFont="1" applyFill="1" applyBorder="1" applyAlignment="1">
      <alignment horizontal="left"/>
    </xf>
    <xf numFmtId="0" fontId="37" fillId="20" borderId="4" xfId="0" applyFont="1" applyFill="1" applyBorder="1" applyAlignment="1">
      <alignment horizontal="right" vertical="top" wrapText="1"/>
    </xf>
    <xf numFmtId="0" fontId="37" fillId="20" borderId="0" xfId="0" applyFont="1" applyFill="1" applyBorder="1" applyAlignment="1">
      <alignment horizontal="right" vertical="top" wrapText="1"/>
    </xf>
    <xf numFmtId="0" fontId="0" fillId="22" borderId="0" xfId="0" applyFill="1" applyAlignment="1">
      <alignment horizontal="left"/>
    </xf>
    <xf numFmtId="0" fontId="36" fillId="22" borderId="0" xfId="0" applyFont="1" applyFill="1" applyAlignment="1">
      <alignment horizontal="left"/>
    </xf>
    <xf numFmtId="0" fontId="0" fillId="22" borderId="0" xfId="0" applyFill="1" applyAlignment="1">
      <alignment horizontal="center"/>
    </xf>
    <xf numFmtId="0" fontId="1" fillId="22" borderId="0" xfId="0" applyFont="1" applyFill="1" applyAlignment="1">
      <alignment horizontal="center"/>
    </xf>
    <xf numFmtId="0" fontId="16" fillId="22" borderId="0" xfId="0" applyFont="1" applyFill="1" applyAlignment="1">
      <alignment horizontal="center"/>
    </xf>
    <xf numFmtId="0" fontId="36" fillId="22" borderId="0" xfId="0" applyFont="1" applyFill="1" applyAlignment="1">
      <alignment horizontal="center"/>
    </xf>
    <xf numFmtId="14" fontId="19" fillId="22" borderId="0" xfId="0" applyNumberFormat="1" applyFont="1" applyFill="1" applyAlignment="1">
      <alignment horizontal="center"/>
    </xf>
    <xf numFmtId="0" fontId="19" fillId="22" borderId="0" xfId="0" applyFont="1" applyFill="1" applyAlignment="1">
      <alignment horizontal="center"/>
    </xf>
    <xf numFmtId="0" fontId="30" fillId="22" borderId="0" xfId="0" applyFont="1" applyFill="1" applyAlignment="1">
      <alignment horizontal="left"/>
    </xf>
    <xf numFmtId="0" fontId="38" fillId="22" borderId="0" xfId="0" applyFont="1" applyFill="1" applyAlignment="1">
      <alignment horizontal="center"/>
    </xf>
    <xf numFmtId="0" fontId="44" fillId="22" borderId="0" xfId="0" applyFont="1" applyFill="1" applyAlignment="1">
      <alignment horizontal="center"/>
    </xf>
    <xf numFmtId="0" fontId="0" fillId="22" borderId="0" xfId="0" applyFill="1" applyAlignment="1">
      <alignment horizontal="left" vertical="top"/>
    </xf>
    <xf numFmtId="16" fontId="36" fillId="22" borderId="0" xfId="0" applyNumberFormat="1" applyFont="1" applyFill="1" applyAlignment="1">
      <alignment horizontal="left"/>
    </xf>
    <xf numFmtId="12" fontId="36" fillId="22" borderId="0" xfId="0" applyNumberFormat="1" applyFont="1" applyFill="1" applyAlignment="1">
      <alignment horizontal="left"/>
    </xf>
    <xf numFmtId="0" fontId="6" fillId="22" borderId="0" xfId="0" applyFont="1" applyFill="1" applyAlignment="1">
      <alignment horizontal="center"/>
    </xf>
    <xf numFmtId="0" fontId="14" fillId="22" borderId="0" xfId="0" applyFont="1" applyFill="1" applyAlignment="1">
      <alignment horizontal="left"/>
    </xf>
    <xf numFmtId="0" fontId="54" fillId="29" borderId="2" xfId="0" applyNumberFormat="1" applyFont="1" applyFill="1" applyBorder="1" applyAlignment="1" applyProtection="1">
      <alignment horizontal="left"/>
    </xf>
    <xf numFmtId="0" fontId="54" fillId="29" borderId="19" xfId="0" applyNumberFormat="1" applyFont="1" applyFill="1" applyBorder="1" applyAlignment="1" applyProtection="1">
      <alignment horizontal="left"/>
    </xf>
    <xf numFmtId="0" fontId="54" fillId="29" borderId="3" xfId="0" applyNumberFormat="1" applyFont="1" applyFill="1" applyBorder="1" applyAlignment="1" applyProtection="1">
      <alignment horizontal="left"/>
    </xf>
    <xf numFmtId="0" fontId="0" fillId="19" borderId="6" xfId="0" applyFill="1" applyBorder="1" applyAlignment="1">
      <alignment horizontal="center"/>
    </xf>
    <xf numFmtId="0" fontId="0" fillId="19" borderId="21" xfId="0" applyFill="1" applyBorder="1" applyAlignment="1">
      <alignment horizontal="center"/>
    </xf>
    <xf numFmtId="0" fontId="0" fillId="21" borderId="0" xfId="0" applyFont="1" applyFill="1" applyBorder="1" applyAlignment="1">
      <alignment horizontal="center" vertical="top" wrapText="1"/>
    </xf>
    <xf numFmtId="0" fontId="0" fillId="21" borderId="5" xfId="0" applyFont="1" applyFill="1" applyBorder="1" applyAlignment="1">
      <alignment horizontal="center" vertical="top" wrapText="1"/>
    </xf>
    <xf numFmtId="0" fontId="9" fillId="29" borderId="2" xfId="0" applyNumberFormat="1" applyFont="1" applyFill="1" applyBorder="1" applyAlignment="1" applyProtection="1"/>
    <xf numFmtId="0" fontId="9" fillId="29" borderId="19" xfId="0" applyNumberFormat="1" applyFont="1" applyFill="1" applyBorder="1" applyAlignment="1" applyProtection="1"/>
    <xf numFmtId="0" fontId="9" fillId="29" borderId="3" xfId="0" applyNumberFormat="1" applyFont="1" applyFill="1" applyBorder="1" applyAlignment="1" applyProtection="1"/>
    <xf numFmtId="0" fontId="35" fillId="0" borderId="4" xfId="0" applyFont="1" applyFill="1" applyBorder="1" applyAlignment="1">
      <alignment horizontal="left"/>
    </xf>
    <xf numFmtId="0" fontId="35" fillId="0" borderId="0" xfId="0" applyFont="1" applyFill="1" applyBorder="1" applyAlignment="1">
      <alignment horizontal="left"/>
    </xf>
    <xf numFmtId="0" fontId="43" fillId="0" borderId="0" xfId="0" applyFont="1" applyFill="1" applyBorder="1" applyAlignment="1">
      <alignment horizontal="center"/>
    </xf>
    <xf numFmtId="0" fontId="9" fillId="29" borderId="4" xfId="0" applyNumberFormat="1" applyFont="1" applyFill="1" applyBorder="1" applyAlignment="1" applyProtection="1">
      <alignment horizontal="center"/>
    </xf>
    <xf numFmtId="0" fontId="9" fillId="29" borderId="0" xfId="0" applyNumberFormat="1" applyFont="1" applyFill="1" applyBorder="1" applyAlignment="1" applyProtection="1">
      <alignment horizontal="center"/>
    </xf>
    <xf numFmtId="0" fontId="9" fillId="29" borderId="2" xfId="0" applyNumberFormat="1" applyFont="1" applyFill="1" applyBorder="1" applyAlignment="1" applyProtection="1">
      <alignment horizontal="left"/>
    </xf>
    <xf numFmtId="0" fontId="9" fillId="29" borderId="3" xfId="0" applyNumberFormat="1" applyFont="1" applyFill="1" applyBorder="1" applyAlignment="1" applyProtection="1">
      <alignment horizontal="left"/>
    </xf>
    <xf numFmtId="0" fontId="56" fillId="29" borderId="1" xfId="0" applyNumberFormat="1" applyFont="1" applyFill="1" applyBorder="1" applyAlignment="1" applyProtection="1"/>
    <xf numFmtId="0" fontId="9" fillId="29" borderId="4" xfId="0" applyNumberFormat="1" applyFont="1" applyFill="1" applyBorder="1" applyAlignment="1" applyProtection="1"/>
    <xf numFmtId="0" fontId="9" fillId="29" borderId="0" xfId="0" applyNumberFormat="1" applyFont="1" applyFill="1" applyBorder="1" applyAlignment="1" applyProtection="1"/>
    <xf numFmtId="0" fontId="0" fillId="25" borderId="14" xfId="0" applyFill="1" applyBorder="1" applyAlignment="1">
      <alignment horizontal="center"/>
    </xf>
    <xf numFmtId="0" fontId="0" fillId="25" borderId="14" xfId="0" applyFont="1" applyFill="1" applyBorder="1" applyAlignment="1">
      <alignment horizontal="center"/>
    </xf>
    <xf numFmtId="0" fontId="0" fillId="25" borderId="14" xfId="0" applyNumberFormat="1" applyFill="1" applyBorder="1" applyAlignment="1">
      <alignment horizontal="left"/>
    </xf>
    <xf numFmtId="0" fontId="0" fillId="25" borderId="20" xfId="0" applyNumberFormat="1" applyFill="1" applyBorder="1" applyAlignment="1">
      <alignment horizontal="left"/>
    </xf>
    <xf numFmtId="14" fontId="0" fillId="25" borderId="0" xfId="0" applyNumberFormat="1" applyFont="1" applyFill="1" applyBorder="1" applyAlignment="1">
      <alignment horizontal="center"/>
    </xf>
    <xf numFmtId="14" fontId="0" fillId="25" borderId="0" xfId="0" applyNumberFormat="1" applyFill="1" applyBorder="1" applyAlignment="1">
      <alignment horizontal="center"/>
    </xf>
    <xf numFmtId="14" fontId="37" fillId="0" borderId="0" xfId="0" applyNumberFormat="1" applyFont="1" applyFill="1" applyBorder="1" applyAlignment="1">
      <alignment horizontal="left"/>
    </xf>
    <xf numFmtId="0" fontId="36" fillId="22" borderId="0" xfId="0" applyFont="1" applyFill="1" applyBorder="1" applyAlignment="1">
      <alignment horizontal="left" vertical="top" wrapText="1"/>
    </xf>
    <xf numFmtId="0" fontId="36" fillId="22" borderId="0" xfId="0" applyFont="1" applyFill="1" applyBorder="1" applyAlignment="1">
      <alignment horizontal="left" wrapText="1"/>
    </xf>
    <xf numFmtId="0" fontId="0" fillId="22" borderId="0" xfId="0" applyFont="1" applyFill="1" applyBorder="1" applyAlignment="1">
      <alignment horizontal="center" wrapText="1"/>
    </xf>
    <xf numFmtId="0" fontId="0" fillId="19" borderId="5" xfId="0" applyFill="1" applyBorder="1" applyAlignment="1">
      <alignment horizontal="center"/>
    </xf>
    <xf numFmtId="0" fontId="0" fillId="19" borderId="17" xfId="0" applyFill="1" applyBorder="1" applyAlignment="1">
      <alignment horizontal="center"/>
    </xf>
    <xf numFmtId="0" fontId="0" fillId="19" borderId="25" xfId="0" applyFill="1" applyBorder="1" applyAlignment="1">
      <alignment horizontal="center"/>
    </xf>
    <xf numFmtId="0" fontId="0" fillId="19" borderId="7" xfId="0" applyFill="1" applyBorder="1" applyAlignment="1">
      <alignment horizontal="center"/>
    </xf>
    <xf numFmtId="0" fontId="0" fillId="19" borderId="18" xfId="0" applyFill="1" applyBorder="1" applyAlignment="1">
      <alignment horizontal="center"/>
    </xf>
    <xf numFmtId="0" fontId="0" fillId="19" borderId="20" xfId="0" applyFill="1" applyBorder="1" applyAlignment="1">
      <alignment horizontal="center"/>
    </xf>
    <xf numFmtId="0" fontId="0" fillId="21" borderId="4" xfId="0" applyFont="1" applyFill="1" applyBorder="1" applyAlignment="1">
      <alignment horizontal="center" vertical="top" wrapText="1"/>
    </xf>
    <xf numFmtId="0" fontId="36" fillId="20" borderId="35" xfId="0" applyFont="1" applyFill="1" applyBorder="1" applyAlignment="1">
      <alignment horizontal="center" vertical="top" wrapText="1"/>
    </xf>
    <xf numFmtId="0" fontId="36" fillId="20" borderId="17" xfId="0" applyFont="1" applyFill="1" applyBorder="1" applyAlignment="1">
      <alignment horizontal="center" vertical="top" wrapText="1"/>
    </xf>
    <xf numFmtId="0" fontId="36" fillId="20" borderId="25" xfId="0" applyFont="1" applyFill="1" applyBorder="1" applyAlignment="1">
      <alignment horizontal="center" vertical="top" wrapText="1"/>
    </xf>
    <xf numFmtId="0" fontId="36" fillId="20" borderId="1" xfId="0" applyFont="1" applyFill="1" applyBorder="1" applyAlignment="1">
      <alignment horizontal="center" vertical="top" wrapText="1"/>
    </xf>
    <xf numFmtId="0" fontId="0" fillId="20" borderId="4" xfId="0" applyFont="1" applyFill="1" applyBorder="1" applyAlignment="1">
      <alignment horizontal="center" vertical="top" wrapText="1"/>
    </xf>
    <xf numFmtId="0" fontId="0" fillId="20" borderId="5" xfId="0" applyFont="1" applyFill="1" applyBorder="1" applyAlignment="1">
      <alignment horizontal="center" vertical="top" wrapText="1"/>
    </xf>
    <xf numFmtId="0" fontId="0" fillId="20" borderId="29" xfId="0" applyFont="1" applyFill="1" applyBorder="1" applyAlignment="1">
      <alignment horizontal="center" vertical="top" wrapText="1"/>
    </xf>
    <xf numFmtId="0" fontId="0" fillId="20" borderId="26" xfId="0" applyFont="1" applyFill="1" applyBorder="1" applyAlignment="1">
      <alignment horizontal="center" vertical="top" wrapText="1"/>
    </xf>
    <xf numFmtId="0" fontId="0" fillId="20" borderId="35" xfId="0" applyFont="1" applyFill="1" applyBorder="1" applyAlignment="1">
      <alignment horizontal="center" vertical="top" wrapText="1"/>
    </xf>
    <xf numFmtId="0" fontId="0" fillId="20" borderId="25" xfId="0" applyFont="1" applyFill="1" applyBorder="1" applyAlignment="1">
      <alignment horizontal="center" vertical="top" wrapText="1"/>
    </xf>
    <xf numFmtId="0" fontId="0" fillId="21" borderId="29" xfId="0" applyFont="1" applyFill="1" applyBorder="1" applyAlignment="1">
      <alignment horizontal="center" vertical="top" wrapText="1"/>
    </xf>
    <xf numFmtId="0" fontId="0" fillId="21" borderId="26" xfId="0" applyFont="1" applyFill="1" applyBorder="1" applyAlignment="1">
      <alignment horizontal="center" vertical="top" wrapText="1"/>
    </xf>
    <xf numFmtId="0" fontId="0" fillId="21" borderId="35" xfId="0" applyFont="1" applyFill="1" applyBorder="1" applyAlignment="1">
      <alignment horizontal="center" vertical="top" wrapText="1"/>
    </xf>
    <xf numFmtId="0" fontId="0" fillId="21" borderId="25" xfId="0" applyFont="1" applyFill="1" applyBorder="1" applyAlignment="1">
      <alignment horizontal="center" vertical="top" wrapText="1"/>
    </xf>
    <xf numFmtId="12" fontId="36" fillId="22" borderId="0" xfId="0" applyNumberFormat="1" applyFont="1" applyFill="1" applyBorder="1" applyAlignment="1">
      <alignment horizontal="left"/>
    </xf>
    <xf numFmtId="0" fontId="36" fillId="22" borderId="14" xfId="0" applyFont="1" applyFill="1" applyBorder="1" applyAlignment="1">
      <alignment horizontal="left"/>
    </xf>
    <xf numFmtId="0" fontId="70" fillId="37" borderId="8" xfId="0" applyFont="1" applyFill="1" applyBorder="1" applyAlignment="1">
      <alignment horizontal="center"/>
    </xf>
    <xf numFmtId="0" fontId="70" fillId="37" borderId="10" xfId="0" applyFont="1" applyFill="1" applyBorder="1" applyAlignment="1">
      <alignment horizontal="center"/>
    </xf>
    <xf numFmtId="1" fontId="17" fillId="37" borderId="10" xfId="0" applyNumberFormat="1" applyFont="1" applyFill="1" applyBorder="1" applyAlignment="1">
      <alignment horizontal="center"/>
    </xf>
    <xf numFmtId="0" fontId="36" fillId="0" borderId="0" xfId="0" applyFont="1" applyFill="1" applyBorder="1" applyAlignment="1">
      <alignment horizontal="left"/>
    </xf>
    <xf numFmtId="0" fontId="36" fillId="0" borderId="5" xfId="0" applyFont="1" applyFill="1" applyBorder="1" applyAlignment="1">
      <alignment horizontal="left"/>
    </xf>
    <xf numFmtId="0" fontId="44" fillId="30" borderId="1" xfId="0" applyFont="1" applyFill="1" applyBorder="1" applyAlignment="1">
      <alignment horizontal="center"/>
    </xf>
    <xf numFmtId="0" fontId="0" fillId="30" borderId="1" xfId="0" applyFill="1" applyBorder="1" applyAlignment="1">
      <alignment horizontal="center"/>
    </xf>
    <xf numFmtId="0" fontId="3" fillId="0" borderId="0" xfId="0" applyFont="1" applyFill="1" applyBorder="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0" fillId="34" borderId="10" xfId="0" applyFill="1" applyBorder="1" applyAlignment="1">
      <alignment horizontal="center"/>
    </xf>
    <xf numFmtId="14" fontId="84" fillId="0" borderId="0" xfId="0" applyNumberFormat="1" applyFont="1" applyFill="1" applyBorder="1" applyAlignment="1">
      <alignment horizontal="center"/>
    </xf>
    <xf numFmtId="0" fontId="68" fillId="0" borderId="0" xfId="0" applyFont="1" applyFill="1" applyBorder="1" applyAlignment="1">
      <alignment horizontal="center"/>
    </xf>
    <xf numFmtId="0" fontId="15" fillId="45" borderId="8" xfId="0" applyFont="1" applyFill="1" applyBorder="1" applyAlignment="1">
      <alignment horizontal="center"/>
    </xf>
    <xf numFmtId="0" fontId="15" fillId="45" borderId="9" xfId="0" applyFont="1" applyFill="1" applyBorder="1" applyAlignment="1">
      <alignment horizontal="center"/>
    </xf>
    <xf numFmtId="1" fontId="24" fillId="23" borderId="0" xfId="2" applyNumberFormat="1" applyFont="1" applyFill="1" applyBorder="1" applyAlignment="1">
      <alignment horizontal="left"/>
    </xf>
    <xf numFmtId="0" fontId="0" fillId="23" borderId="0" xfId="0" applyFill="1" applyBorder="1" applyAlignment="1">
      <alignment horizontal="left"/>
    </xf>
    <xf numFmtId="0" fontId="0" fillId="23" borderId="0" xfId="0" applyFill="1" applyBorder="1" applyAlignment="1">
      <alignment horizontal="left" vertical="top" wrapText="1"/>
    </xf>
    <xf numFmtId="0" fontId="15" fillId="45" borderId="10" xfId="0" applyFont="1" applyFill="1" applyBorder="1" applyAlignment="1">
      <alignment horizontal="center"/>
    </xf>
    <xf numFmtId="1" fontId="24" fillId="23" borderId="0" xfId="2" applyNumberFormat="1" applyFont="1" applyFill="1" applyBorder="1" applyAlignment="1">
      <alignment horizontal="left" vertical="center"/>
    </xf>
    <xf numFmtId="0" fontId="3" fillId="42" borderId="1" xfId="0" applyFont="1" applyFill="1" applyBorder="1" applyAlignment="1">
      <alignment horizontal="center"/>
    </xf>
    <xf numFmtId="0" fontId="0" fillId="23" borderId="0" xfId="0" applyFill="1" applyBorder="1" applyAlignment="1">
      <alignment horizontal="left" wrapText="1"/>
    </xf>
    <xf numFmtId="0" fontId="0" fillId="23" borderId="0" xfId="0" applyFill="1" applyBorder="1" applyAlignment="1">
      <alignment horizontal="left" vertical="top"/>
    </xf>
    <xf numFmtId="0" fontId="15" fillId="17" borderId="0" xfId="0" applyFont="1" applyFill="1" applyBorder="1" applyAlignment="1">
      <alignment horizontal="left"/>
    </xf>
    <xf numFmtId="1" fontId="24" fillId="23" borderId="0" xfId="2" applyNumberFormat="1" applyFont="1" applyFill="1" applyBorder="1" applyAlignment="1">
      <alignment horizontal="left" vertical="center" wrapText="1"/>
    </xf>
    <xf numFmtId="1" fontId="24" fillId="23" borderId="0" xfId="2" applyNumberFormat="1" applyFont="1" applyFill="1" applyBorder="1" applyAlignment="1">
      <alignment horizontal="left" vertical="top" wrapText="1"/>
    </xf>
    <xf numFmtId="0" fontId="15" fillId="45" borderId="2" xfId="0" applyFont="1" applyFill="1" applyBorder="1" applyAlignment="1">
      <alignment horizontal="center"/>
    </xf>
    <xf numFmtId="0" fontId="15" fillId="45" borderId="3" xfId="0" applyFont="1" applyFill="1" applyBorder="1" applyAlignment="1">
      <alignment horizontal="center"/>
    </xf>
    <xf numFmtId="0" fontId="15" fillId="17" borderId="14" xfId="0" applyFont="1" applyFill="1" applyBorder="1" applyAlignment="1">
      <alignment horizontal="left"/>
    </xf>
  </cellXfs>
  <cellStyles count="3">
    <cellStyle name="Euro" xfId="1"/>
    <cellStyle name="Millares" xfId="2"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C00000"/>
      <rgbColor rgb="00008000"/>
      <rgbColor rgb="00000080"/>
      <rgbColor rgb="009BBB59"/>
      <rgbColor rgb="00800080"/>
      <rgbColor rgb="00558ED5"/>
      <rgbColor rgb="00BFBFBF"/>
      <rgbColor rgb="00878787"/>
      <rgbColor rgb="00B7B7B7"/>
      <rgbColor rgb="00953735"/>
      <rgbColor rgb="00F9F9F9"/>
      <rgbColor rgb="00CCFFFF"/>
      <rgbColor rgb="00660066"/>
      <rgbColor rgb="00FF8080"/>
      <rgbColor rgb="000066CC"/>
      <rgbColor rgb="00CCC1DA"/>
      <rgbColor rgb="00000080"/>
      <rgbColor rgb="00FF00FF"/>
      <rgbColor rgb="00FFFF00"/>
      <rgbColor rgb="0000FFFF"/>
      <rgbColor rgb="00800080"/>
      <rgbColor rgb="00800000"/>
      <rgbColor rgb="00008080"/>
      <rgbColor rgb="000000FF"/>
      <rgbColor rgb="0000CCFF"/>
      <rgbColor rgb="00CCFFFF"/>
      <rgbColor rgb="00D9D9D9"/>
      <rgbColor rgb="00FFFF99"/>
      <rgbColor rgb="008EB4E3"/>
      <rgbColor rgb="00FF99CC"/>
      <rgbColor rgb="00B4B4B4"/>
      <rgbColor rgb="00FFCC99"/>
      <rgbColor rgb="004F81BD"/>
      <rgbColor rgb="004BACC6"/>
      <rgbColor rgb="0092D050"/>
      <rgbColor rgb="00FFCC00"/>
      <rgbColor rgb="00F79646"/>
      <rgbColor rgb="00FF6600"/>
      <rgbColor rgb="008064A2"/>
      <rgbColor rgb="00948A54"/>
      <rgbColor rgb="00003366"/>
      <rgbColor rgb="003E8EA4"/>
      <rgbColor rgb="00003300"/>
      <rgbColor rgb="00333300"/>
      <rgbColor rgb="00993300"/>
      <rgbColor rgb="00C0504D"/>
      <rgbColor rgb="00604A7B"/>
      <rgbColor rgb="00632523"/>
      <rgbColor rgb="00003366"/>
      <rgbColor rgb="00339966"/>
      <rgbColor rgb="00003300"/>
      <rgbColor rgb="00333300"/>
      <rgbColor rgb="00993300"/>
      <rgbColor rgb="00993366"/>
      <rgbColor rgb="00333399"/>
      <rgbColor rgb="00333333"/>
    </indexedColors>
    <mruColors>
      <color rgb="FF7F9E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76"/>
          <c:y val="0.37272727272727291"/>
          <c:w val="0.43750133514811751"/>
          <c:h val="0.25454545454545441"/>
        </c:manualLayout>
      </c:layout>
      <c:pie3DChart>
        <c:varyColors val="1"/>
        <c:ser>
          <c:idx val="0"/>
          <c:order val="0"/>
          <c:cat>
            <c:strRef>
              <c:f>MUJERES!$A$106:$A$108</c:f>
              <c:strCache>
                <c:ptCount val="3"/>
                <c:pt idx="0">
                  <c:v>H. DE C.</c:v>
                </c:pt>
                <c:pt idx="1">
                  <c:v>PROTEINAS</c:v>
                </c:pt>
                <c:pt idx="2">
                  <c:v>LIPIDOS</c:v>
                </c:pt>
              </c:strCache>
            </c:strRef>
          </c:cat>
          <c:val>
            <c:numRef>
              <c:f>MUJERES!$B$106:$B$108</c:f>
              <c:numCache>
                <c:formatCode>0.00</c:formatCode>
                <c:ptCount val="3"/>
                <c:pt idx="0">
                  <c:v>53.984575835475582</c:v>
                </c:pt>
                <c:pt idx="1">
                  <c:v>20.565552699228792</c:v>
                </c:pt>
                <c:pt idx="2">
                  <c:v>25.449871465295629</c:v>
                </c:pt>
              </c:numCache>
            </c:numRef>
          </c:val>
          <c:extLst>
            <c:ext xmlns:c16="http://schemas.microsoft.com/office/drawing/2014/chart" uri="{C3380CC4-5D6E-409C-BE32-E72D297353CC}">
              <c16:uniqueId val="{00000000-42C5-4286-9BCD-5BFFCAF843C7}"/>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24"/>
          <c:y val="0.34545454545454557"/>
          <c:w val="0.28742490522018105"/>
          <c:h val="0.3090909090909092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22" r="0.75000000000000022" t="1" header="0" footer="0"/>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49977"/>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13EB-4DD8-85CC-2478BC56584A}"/>
              </c:ext>
            </c:extLst>
          </c:dPt>
          <c:cat>
            <c:strRef>
              <c:f>MUJERES!$A$152:$A$154</c:f>
              <c:strCache>
                <c:ptCount val="3"/>
                <c:pt idx="0">
                  <c:v>H. DE C.</c:v>
                </c:pt>
                <c:pt idx="1">
                  <c:v>PROTEINAS</c:v>
                </c:pt>
                <c:pt idx="2">
                  <c:v>LIPIDOS</c:v>
                </c:pt>
              </c:strCache>
            </c:strRef>
          </c:cat>
          <c:val>
            <c:numRef>
              <c:f>MUJERES!$B$152:$B$154</c:f>
              <c:numCache>
                <c:formatCode>0.00</c:formatCode>
                <c:ptCount val="3"/>
                <c:pt idx="0">
                  <c:v>54</c:v>
                </c:pt>
                <c:pt idx="1">
                  <c:v>18</c:v>
                </c:pt>
                <c:pt idx="2">
                  <c:v>28</c:v>
                </c:pt>
              </c:numCache>
            </c:numRef>
          </c:val>
          <c:extLst>
            <c:ext xmlns:c16="http://schemas.microsoft.com/office/drawing/2014/chart" uri="{C3380CC4-5D6E-409C-BE32-E72D297353CC}">
              <c16:uniqueId val="{00000002-13EB-4DD8-85CC-2478BC56584A}"/>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299"/>
          <c:w val="0.34926461465044156"/>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89"/>
          <c:y val="0.10400000000000002"/>
          <c:w val="0.59649463458650065"/>
          <c:h val="0.51200000000000001"/>
        </c:manualLayout>
      </c:layout>
      <c:pie3DChart>
        <c:varyColors val="1"/>
        <c:ser>
          <c:idx val="0"/>
          <c:order val="0"/>
          <c:explosion val="25"/>
          <c:cat>
            <c:strRef>
              <c:f>MUJERES!$A$121:$A$123</c:f>
              <c:strCache>
                <c:ptCount val="3"/>
                <c:pt idx="0">
                  <c:v>H. DE C.</c:v>
                </c:pt>
                <c:pt idx="1">
                  <c:v>PROTEINAS</c:v>
                </c:pt>
                <c:pt idx="2">
                  <c:v>LIPIDOS</c:v>
                </c:pt>
              </c:strCache>
            </c:strRef>
          </c:cat>
          <c:val>
            <c:numRef>
              <c:f>MUJERES!$B$121:$B$123</c:f>
              <c:numCache>
                <c:formatCode>0.00</c:formatCode>
                <c:ptCount val="3"/>
                <c:pt idx="0">
                  <c:v>47.868852459016395</c:v>
                </c:pt>
                <c:pt idx="1">
                  <c:v>25.57377049180328</c:v>
                </c:pt>
                <c:pt idx="2">
                  <c:v>26.557377049180328</c:v>
                </c:pt>
              </c:numCache>
            </c:numRef>
          </c:val>
          <c:extLst>
            <c:ext xmlns:c16="http://schemas.microsoft.com/office/drawing/2014/chart" uri="{C3380CC4-5D6E-409C-BE32-E72D297353CC}">
              <c16:uniqueId val="{00000000-2284-497B-A720-E3451786070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15E-2"/>
          <c:y val="0.60800000000000021"/>
          <c:w val="0.91428811398575149"/>
          <c:h val="0.3680000000000001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41"/>
          <c:h val="0.49152745765797839"/>
        </c:manualLayout>
      </c:layout>
      <c:pie3DChart>
        <c:varyColors val="1"/>
        <c:ser>
          <c:idx val="0"/>
          <c:order val="0"/>
          <c:cat>
            <c:strRef>
              <c:f>MUJERES!$A$136:$A$138</c:f>
              <c:strCache>
                <c:ptCount val="3"/>
                <c:pt idx="0">
                  <c:v>H. DE C.</c:v>
                </c:pt>
                <c:pt idx="1">
                  <c:v>PROTEINAS</c:v>
                </c:pt>
                <c:pt idx="2">
                  <c:v>LIPIDOS</c:v>
                </c:pt>
              </c:strCache>
            </c:strRef>
          </c:cat>
          <c:val>
            <c:numRef>
              <c:f>MUJERES!$B$136:$B$138</c:f>
              <c:numCache>
                <c:formatCode>0.00</c:formatCode>
                <c:ptCount val="3"/>
                <c:pt idx="0">
                  <c:v>66.375545851528386</c:v>
                </c:pt>
                <c:pt idx="1">
                  <c:v>13.973799126637555</c:v>
                </c:pt>
                <c:pt idx="2">
                  <c:v>19.650655021834062</c:v>
                </c:pt>
              </c:numCache>
            </c:numRef>
          </c:val>
          <c:extLst>
            <c:ext xmlns:c16="http://schemas.microsoft.com/office/drawing/2014/chart" uri="{C3380CC4-5D6E-409C-BE32-E72D297353CC}">
              <c16:uniqueId val="{00000000-EB55-4291-A4C7-E4C01733BBE1}"/>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48"/>
    </mc:Choice>
    <mc:Fallback>
      <c:style val="48"/>
    </mc:Fallback>
  </mc:AlternateContent>
  <c:chart>
    <c:autoTitleDeleted val="0"/>
    <c:view3D>
      <c:rotX val="15"/>
      <c:rotY val="20"/>
      <c:depthPercent val="100"/>
      <c:rAngAx val="1"/>
    </c:view3D>
    <c:floor>
      <c:thickness val="0"/>
    </c:floor>
    <c:sideWall>
      <c:thickness val="0"/>
      <c:spPr>
        <a:solidFill>
          <a:srgbClr val="FF0000"/>
        </a:solidFill>
      </c:spPr>
    </c:sideWall>
    <c:backWall>
      <c:thickness val="0"/>
      <c:spPr>
        <a:solidFill>
          <a:srgbClr val="FF0000"/>
        </a:solidFill>
      </c:spPr>
    </c:backWall>
    <c:plotArea>
      <c:layout>
        <c:manualLayout>
          <c:layoutTarget val="inner"/>
          <c:xMode val="edge"/>
          <c:yMode val="edge"/>
          <c:x val="0.11325611325611326"/>
          <c:y val="0.10638297872340426"/>
          <c:w val="0.88674388674388671"/>
          <c:h val="0.74431451387725467"/>
        </c:manualLayout>
      </c:layout>
      <c:bar3DChart>
        <c:barDir val="col"/>
        <c:grouping val="stack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val>
            <c:numRef>
              <c:f>MUJERES!$J$9:$J$15</c:f>
              <c:numCache>
                <c:formatCode>General</c:formatCode>
                <c:ptCount val="7"/>
                <c:pt idx="0">
                  <c:v>1</c:v>
                </c:pt>
                <c:pt idx="1">
                  <c:v>2</c:v>
                </c:pt>
                <c:pt idx="2">
                  <c:v>3</c:v>
                </c:pt>
                <c:pt idx="3">
                  <c:v>4</c:v>
                </c:pt>
                <c:pt idx="4">
                  <c:v>5</c:v>
                </c:pt>
                <c:pt idx="5">
                  <c:v>6</c:v>
                </c:pt>
                <c:pt idx="6">
                  <c:v>0</c:v>
                </c:pt>
              </c:numCache>
            </c:numRef>
          </c:val>
          <c:extLst>
            <c:ext xmlns:c16="http://schemas.microsoft.com/office/drawing/2014/chart" uri="{C3380CC4-5D6E-409C-BE32-E72D297353CC}">
              <c16:uniqueId val="{00000000-1AC4-40F7-938C-047A50C9EAE7}"/>
            </c:ext>
          </c:extLst>
        </c:ser>
        <c:ser>
          <c:idx val="1"/>
          <c:order val="1"/>
          <c:spPr>
            <a:solidFill>
              <a:srgbClr val="92D050"/>
            </a:solidFill>
          </c:spPr>
          <c:invertIfNegative val="0"/>
          <c:dLbls>
            <c:spPr>
              <a:noFill/>
              <a:ln>
                <a:noFill/>
              </a:ln>
              <a:effectLst/>
            </c:spPr>
            <c:txPr>
              <a:bodyPr/>
              <a:lstStyle/>
              <a:p>
                <a:pPr>
                  <a:defRPr>
                    <a:solidFill>
                      <a:schemeClr val="tx1"/>
                    </a:solidFill>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val>
            <c:numRef>
              <c:f>MUJERES!$K$9:$K$15</c:f>
              <c:numCache>
                <c:formatCode>General</c:formatCode>
                <c:ptCount val="7"/>
                <c:pt idx="0">
                  <c:v>79</c:v>
                </c:pt>
                <c:pt idx="1">
                  <c:v>0</c:v>
                </c:pt>
                <c:pt idx="2">
                  <c:v>0</c:v>
                </c:pt>
                <c:pt idx="3">
                  <c:v>0</c:v>
                </c:pt>
                <c:pt idx="4">
                  <c:v>0</c:v>
                </c:pt>
                <c:pt idx="5">
                  <c:v>0</c:v>
                </c:pt>
              </c:numCache>
            </c:numRef>
          </c:val>
          <c:extLst>
            <c:ext xmlns:c16="http://schemas.microsoft.com/office/drawing/2014/chart" uri="{C3380CC4-5D6E-409C-BE32-E72D297353CC}">
              <c16:uniqueId val="{00000001-1AC4-40F7-938C-047A50C9EAE7}"/>
            </c:ext>
          </c:extLst>
        </c:ser>
        <c:dLbls>
          <c:showLegendKey val="0"/>
          <c:showVal val="0"/>
          <c:showCatName val="0"/>
          <c:showSerName val="0"/>
          <c:showPercent val="0"/>
          <c:showBubbleSize val="0"/>
        </c:dLbls>
        <c:gapWidth val="95"/>
        <c:gapDepth val="95"/>
        <c:shape val="box"/>
        <c:axId val="988614976"/>
        <c:axId val="988613888"/>
        <c:axId val="0"/>
      </c:bar3DChart>
      <c:catAx>
        <c:axId val="988614976"/>
        <c:scaling>
          <c:orientation val="minMax"/>
        </c:scaling>
        <c:delete val="0"/>
        <c:axPos val="b"/>
        <c:numFmt formatCode="General" sourceLinked="1"/>
        <c:majorTickMark val="none"/>
        <c:minorTickMark val="none"/>
        <c:tickLblPos val="nextTo"/>
        <c:crossAx val="988613888"/>
        <c:crosses val="autoZero"/>
        <c:auto val="1"/>
        <c:lblAlgn val="ctr"/>
        <c:lblOffset val="100"/>
        <c:noMultiLvlLbl val="0"/>
      </c:catAx>
      <c:valAx>
        <c:axId val="988613888"/>
        <c:scaling>
          <c:orientation val="minMax"/>
        </c:scaling>
        <c:delete val="1"/>
        <c:axPos val="l"/>
        <c:numFmt formatCode="General" sourceLinked="1"/>
        <c:majorTickMark val="out"/>
        <c:minorTickMark val="none"/>
        <c:tickLblPos val="none"/>
        <c:crossAx val="988614976"/>
        <c:crosses val="autoZero"/>
        <c:crossBetween val="between"/>
      </c:valAx>
      <c:spPr>
        <a:noFill/>
        <a:ln w="25400">
          <a:noFill/>
        </a:ln>
      </c:spPr>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76"/>
          <c:y val="0.37272727272727291"/>
          <c:w val="0.43750133514811751"/>
          <c:h val="0.25454545454545441"/>
        </c:manualLayout>
      </c:layout>
      <c:pie3DChart>
        <c:varyColors val="1"/>
        <c:ser>
          <c:idx val="0"/>
          <c:order val="0"/>
          <c:cat>
            <c:strRef>
              <c:f>'DM GESTACIONAL'!$A$106:$A$108</c:f>
              <c:strCache>
                <c:ptCount val="3"/>
                <c:pt idx="0">
                  <c:v>H. DE C.</c:v>
                </c:pt>
                <c:pt idx="1">
                  <c:v>PROTEINAS</c:v>
                </c:pt>
                <c:pt idx="2">
                  <c:v>LIPIDOS</c:v>
                </c:pt>
              </c:strCache>
            </c:strRef>
          </c:cat>
          <c:val>
            <c:numRef>
              <c:f>'DM GESTACIONAL'!$B$106:$B$108</c:f>
              <c:numCache>
                <c:formatCode>0.00</c:formatCode>
                <c:ptCount val="3"/>
                <c:pt idx="0">
                  <c:v>62.447257383966246</c:v>
                </c:pt>
                <c:pt idx="1">
                  <c:v>18.565400843881857</c:v>
                </c:pt>
                <c:pt idx="2">
                  <c:v>18.9873417721519</c:v>
                </c:pt>
              </c:numCache>
            </c:numRef>
          </c:val>
          <c:extLst>
            <c:ext xmlns:c16="http://schemas.microsoft.com/office/drawing/2014/chart" uri="{C3380CC4-5D6E-409C-BE32-E72D297353CC}">
              <c16:uniqueId val="{00000000-8624-48C6-A71F-D6E5ACE03F12}"/>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24"/>
          <c:y val="0.34545454545454557"/>
          <c:w val="0.28742490522018105"/>
          <c:h val="0.3090909090909092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22" r="0.75000000000000022" t="1" header="0" footer="0"/>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49977"/>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D51E-4419-82E4-5EBE3B1266F8}"/>
              </c:ext>
            </c:extLst>
          </c:dPt>
          <c:cat>
            <c:strRef>
              <c:f>'DM GESTACIONAL'!$A$152:$A$154</c:f>
              <c:strCache>
                <c:ptCount val="3"/>
                <c:pt idx="0">
                  <c:v>H. DE C.</c:v>
                </c:pt>
                <c:pt idx="1">
                  <c:v>PROTEINAS</c:v>
                </c:pt>
                <c:pt idx="2">
                  <c:v>LIPIDOS</c:v>
                </c:pt>
              </c:strCache>
            </c:strRef>
          </c:cat>
          <c:val>
            <c:numRef>
              <c:f>'DM GESTACIONAL'!$B$152:$B$154</c:f>
              <c:numCache>
                <c:formatCode>0.00</c:formatCode>
                <c:ptCount val="3"/>
                <c:pt idx="0">
                  <c:v>54</c:v>
                </c:pt>
                <c:pt idx="1">
                  <c:v>18</c:v>
                </c:pt>
                <c:pt idx="2">
                  <c:v>28</c:v>
                </c:pt>
              </c:numCache>
            </c:numRef>
          </c:val>
          <c:extLst>
            <c:ext xmlns:c16="http://schemas.microsoft.com/office/drawing/2014/chart" uri="{C3380CC4-5D6E-409C-BE32-E72D297353CC}">
              <c16:uniqueId val="{00000002-D51E-4419-82E4-5EBE3B1266F8}"/>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299"/>
          <c:w val="0.34926461465044156"/>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89"/>
          <c:y val="0.10400000000000002"/>
          <c:w val="0.59649463458650065"/>
          <c:h val="0.51200000000000001"/>
        </c:manualLayout>
      </c:layout>
      <c:pie3DChart>
        <c:varyColors val="1"/>
        <c:ser>
          <c:idx val="0"/>
          <c:order val="0"/>
          <c:explosion val="25"/>
          <c:cat>
            <c:strRef>
              <c:f>'DM GESTACIONAL'!$A$121:$A$123</c:f>
              <c:strCache>
                <c:ptCount val="3"/>
                <c:pt idx="0">
                  <c:v>H. DE C.</c:v>
                </c:pt>
                <c:pt idx="1">
                  <c:v>PROTEINAS</c:v>
                </c:pt>
                <c:pt idx="2">
                  <c:v>LIPIDOS</c:v>
                </c:pt>
              </c:strCache>
            </c:strRef>
          </c:cat>
          <c:val>
            <c:numRef>
              <c:f>'DM GESTACIONAL'!$B$121:$B$123</c:f>
              <c:numCache>
                <c:formatCode>0.00</c:formatCode>
                <c:ptCount val="3"/>
                <c:pt idx="0">
                  <c:v>45.363766048502143</c:v>
                </c:pt>
                <c:pt idx="1">
                  <c:v>9.7004279600570609</c:v>
                </c:pt>
                <c:pt idx="2">
                  <c:v>44.935805991440802</c:v>
                </c:pt>
              </c:numCache>
            </c:numRef>
          </c:val>
          <c:extLst>
            <c:ext xmlns:c16="http://schemas.microsoft.com/office/drawing/2014/chart" uri="{C3380CC4-5D6E-409C-BE32-E72D297353CC}">
              <c16:uniqueId val="{00000000-E7D9-4ACF-98F2-A906B0FC5893}"/>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15E-2"/>
          <c:y val="0.60800000000000021"/>
          <c:w val="0.91428811398575149"/>
          <c:h val="0.3680000000000001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41"/>
          <c:h val="0.49152745765797839"/>
        </c:manualLayout>
      </c:layout>
      <c:pie3DChart>
        <c:varyColors val="1"/>
        <c:ser>
          <c:idx val="0"/>
          <c:order val="0"/>
          <c:cat>
            <c:strRef>
              <c:f>'DM GESTACIONAL'!$A$136:$A$138</c:f>
              <c:strCache>
                <c:ptCount val="3"/>
                <c:pt idx="0">
                  <c:v>H. DE C.</c:v>
                </c:pt>
                <c:pt idx="1">
                  <c:v>PROTEINAS</c:v>
                </c:pt>
                <c:pt idx="2">
                  <c:v>LIPIDOS</c:v>
                </c:pt>
              </c:strCache>
            </c:strRef>
          </c:cat>
          <c:val>
            <c:numRef>
              <c:f>'DM GESTACIONAL'!$B$136:$B$138</c:f>
              <c:numCache>
                <c:formatCode>0.00</c:formatCode>
                <c:ptCount val="3"/>
                <c:pt idx="0">
                  <c:v>74.889867841409696</c:v>
                </c:pt>
                <c:pt idx="1">
                  <c:v>5.286343612334802</c:v>
                </c:pt>
                <c:pt idx="2">
                  <c:v>19.823788546255507</c:v>
                </c:pt>
              </c:numCache>
            </c:numRef>
          </c:val>
          <c:extLst>
            <c:ext xmlns:c16="http://schemas.microsoft.com/office/drawing/2014/chart" uri="{C3380CC4-5D6E-409C-BE32-E72D297353CC}">
              <c16:uniqueId val="{00000000-AD16-43C8-B401-2CFC81081862}"/>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48"/>
    </mc:Choice>
    <mc:Fallback>
      <c:style val="48"/>
    </mc:Fallback>
  </mc:AlternateContent>
  <c:chart>
    <c:autoTitleDeleted val="0"/>
    <c:view3D>
      <c:rotX val="15"/>
      <c:rotY val="20"/>
      <c:depthPercent val="100"/>
      <c:rAngAx val="1"/>
    </c:view3D>
    <c:floor>
      <c:thickness val="0"/>
    </c:floor>
    <c:sideWall>
      <c:thickness val="0"/>
      <c:spPr>
        <a:solidFill>
          <a:srgbClr val="FF0000"/>
        </a:solidFill>
      </c:spPr>
    </c:sideWall>
    <c:backWall>
      <c:thickness val="0"/>
      <c:spPr>
        <a:solidFill>
          <a:srgbClr val="FF0000"/>
        </a:solidFill>
      </c:spPr>
    </c:backWall>
    <c:plotArea>
      <c:layout>
        <c:manualLayout>
          <c:layoutTarget val="inner"/>
          <c:xMode val="edge"/>
          <c:yMode val="edge"/>
          <c:x val="0.11325611325611326"/>
          <c:y val="0.10638297872340426"/>
          <c:w val="0.88674388674388671"/>
          <c:h val="0.74431451387725467"/>
        </c:manualLayout>
      </c:layout>
      <c:bar3DChart>
        <c:barDir val="col"/>
        <c:grouping val="stack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'DM GESTACIONAL'!$J$9:$J$15</c:f>
              <c:numCache>
                <c:formatCode>General</c:formatCode>
                <c:ptCount val="7"/>
                <c:pt idx="0">
                  <c:v>1</c:v>
                </c:pt>
                <c:pt idx="1">
                  <c:v>2</c:v>
                </c:pt>
                <c:pt idx="2">
                  <c:v>3</c:v>
                </c:pt>
                <c:pt idx="3">
                  <c:v>4</c:v>
                </c:pt>
                <c:pt idx="4">
                  <c:v>5</c:v>
                </c:pt>
                <c:pt idx="5">
                  <c:v>6</c:v>
                </c:pt>
              </c:numCache>
            </c:numRef>
          </c:val>
          <c:extLst>
            <c:ext xmlns:c16="http://schemas.microsoft.com/office/drawing/2014/chart" uri="{C3380CC4-5D6E-409C-BE32-E72D297353CC}">
              <c16:uniqueId val="{00000000-986B-4F27-B4FC-BB66AF720097}"/>
            </c:ext>
          </c:extLst>
        </c:ser>
        <c:ser>
          <c:idx val="1"/>
          <c:order val="1"/>
          <c:spPr>
            <a:solidFill>
              <a:srgbClr val="92D050"/>
            </a:solidFill>
          </c:spPr>
          <c:invertIfNegative val="0"/>
          <c:dLbls>
            <c:spPr>
              <a:noFill/>
              <a:ln>
                <a:noFill/>
              </a:ln>
              <a:effectLst/>
            </c:spPr>
            <c:txPr>
              <a:bodyPr/>
              <a:lstStyle/>
              <a:p>
                <a:pPr>
                  <a:defRPr>
                    <a:solidFill>
                      <a:schemeClr val="tx1"/>
                    </a:solidFill>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'DM GESTACIONAL'!$K$9:$K$15</c:f>
              <c:numCache>
                <c:formatCode>General</c:formatCode>
                <c:ptCount val="7"/>
                <c:pt idx="0">
                  <c:v>63</c:v>
                </c:pt>
                <c:pt idx="1">
                  <c:v>0</c:v>
                </c:pt>
                <c:pt idx="2">
                  <c:v>0</c:v>
                </c:pt>
                <c:pt idx="3">
                  <c:v>0</c:v>
                </c:pt>
                <c:pt idx="4">
                  <c:v>0</c:v>
                </c:pt>
                <c:pt idx="5">
                  <c:v>0</c:v>
                </c:pt>
              </c:numCache>
            </c:numRef>
          </c:val>
          <c:extLst>
            <c:ext xmlns:c16="http://schemas.microsoft.com/office/drawing/2014/chart" uri="{C3380CC4-5D6E-409C-BE32-E72D297353CC}">
              <c16:uniqueId val="{00000001-986B-4F27-B4FC-BB66AF720097}"/>
            </c:ext>
          </c:extLst>
        </c:ser>
        <c:dLbls>
          <c:showLegendKey val="0"/>
          <c:showVal val="0"/>
          <c:showCatName val="0"/>
          <c:showSerName val="0"/>
          <c:showPercent val="0"/>
          <c:showBubbleSize val="0"/>
        </c:dLbls>
        <c:gapWidth val="95"/>
        <c:gapDepth val="95"/>
        <c:shape val="box"/>
        <c:axId val="1038264560"/>
        <c:axId val="1038262384"/>
        <c:axId val="0"/>
      </c:bar3DChart>
      <c:catAx>
        <c:axId val="1038264560"/>
        <c:scaling>
          <c:orientation val="minMax"/>
        </c:scaling>
        <c:delete val="0"/>
        <c:axPos val="b"/>
        <c:numFmt formatCode="General" sourceLinked="1"/>
        <c:majorTickMark val="none"/>
        <c:minorTickMark val="none"/>
        <c:tickLblPos val="nextTo"/>
        <c:crossAx val="1038262384"/>
        <c:crosses val="autoZero"/>
        <c:auto val="1"/>
        <c:lblAlgn val="ctr"/>
        <c:lblOffset val="100"/>
        <c:noMultiLvlLbl val="0"/>
      </c:catAx>
      <c:valAx>
        <c:axId val="1038262384"/>
        <c:scaling>
          <c:orientation val="minMax"/>
        </c:scaling>
        <c:delete val="1"/>
        <c:axPos val="l"/>
        <c:numFmt formatCode="General" sourceLinked="1"/>
        <c:majorTickMark val="out"/>
        <c:minorTickMark val="none"/>
        <c:tickLblPos val="none"/>
        <c:crossAx val="1038264560"/>
        <c:crosses val="autoZero"/>
        <c:crossBetween val="between"/>
      </c:valAx>
      <c:spPr>
        <a:noFill/>
        <a:ln w="25400">
          <a:noFill/>
        </a:ln>
      </c:spPr>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'niños 0 3 años'!$A$106:$A$108</c:f>
              <c:strCache>
                <c:ptCount val="3"/>
                <c:pt idx="0">
                  <c:v>H. DE C.</c:v>
                </c:pt>
                <c:pt idx="1">
                  <c:v>PROTEINAS</c:v>
                </c:pt>
                <c:pt idx="2">
                  <c:v>LIPIDOS</c:v>
                </c:pt>
              </c:strCache>
            </c:strRef>
          </c:cat>
          <c:val>
            <c:numRef>
              <c:f>'niños 0 3 años'!$B$106:$B$108</c:f>
              <c:numCache>
                <c:formatCode>0.00</c:formatCode>
                <c:ptCount val="3"/>
                <c:pt idx="0">
                  <c:v>0</c:v>
                </c:pt>
                <c:pt idx="1">
                  <c:v>0</c:v>
                </c:pt>
                <c:pt idx="2">
                  <c:v>0</c:v>
                </c:pt>
              </c:numCache>
            </c:numRef>
          </c:val>
          <c:extLst>
            <c:ext xmlns:c16="http://schemas.microsoft.com/office/drawing/2014/chart" uri="{C3380CC4-5D6E-409C-BE32-E72D297353CC}">
              <c16:uniqueId val="{00000000-53AC-41E4-B4EF-B3B0AFCC7927}"/>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6680-422A-9B39-181BEDB23A2C}"/>
              </c:ext>
            </c:extLst>
          </c:dPt>
          <c:cat>
            <c:strRef>
              <c:f>'niños 0 3 años'!$A$152:$A$154</c:f>
              <c:strCache>
                <c:ptCount val="3"/>
                <c:pt idx="0">
                  <c:v>H. DE C.</c:v>
                </c:pt>
                <c:pt idx="1">
                  <c:v>PROTEINAS</c:v>
                </c:pt>
                <c:pt idx="2">
                  <c:v>LIPIDOS</c:v>
                </c:pt>
              </c:strCache>
            </c:strRef>
          </c:cat>
          <c:val>
            <c:numRef>
              <c:f>'niños 0 3 años'!$B$152:$B$154</c:f>
              <c:numCache>
                <c:formatCode>0.00</c:formatCode>
                <c:ptCount val="3"/>
                <c:pt idx="0">
                  <c:v>54</c:v>
                </c:pt>
                <c:pt idx="1">
                  <c:v>18</c:v>
                </c:pt>
                <c:pt idx="2">
                  <c:v>28</c:v>
                </c:pt>
              </c:numCache>
            </c:numRef>
          </c:val>
          <c:extLst>
            <c:ext xmlns:c16="http://schemas.microsoft.com/office/drawing/2014/chart" uri="{C3380CC4-5D6E-409C-BE32-E72D297353CC}">
              <c16:uniqueId val="{00000002-6680-422A-9B39-181BEDB23A2C}"/>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'niños 0 3 años'!$A$121:$A$123</c:f>
              <c:strCache>
                <c:ptCount val="3"/>
                <c:pt idx="0">
                  <c:v>H. DE C.</c:v>
                </c:pt>
                <c:pt idx="1">
                  <c:v>PROTEINAS</c:v>
                </c:pt>
                <c:pt idx="2">
                  <c:v>LIPIDOS</c:v>
                </c:pt>
              </c:strCache>
            </c:strRef>
          </c:cat>
          <c:val>
            <c:numRef>
              <c:f>'niños 0 3 años'!$B$121:$B$123</c:f>
              <c:numCache>
                <c:formatCode>0.00</c:formatCode>
                <c:ptCount val="3"/>
                <c:pt idx="0">
                  <c:v>0</c:v>
                </c:pt>
                <c:pt idx="1">
                  <c:v>0</c:v>
                </c:pt>
                <c:pt idx="2">
                  <c:v>0</c:v>
                </c:pt>
              </c:numCache>
            </c:numRef>
          </c:val>
          <c:extLst>
            <c:ext xmlns:c16="http://schemas.microsoft.com/office/drawing/2014/chart" uri="{C3380CC4-5D6E-409C-BE32-E72D297353CC}">
              <c16:uniqueId val="{00000000-1BF2-4779-B27A-4F5BAD57FCB9}"/>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'niños 0 3 años'!$A$136:$A$138</c:f>
              <c:strCache>
                <c:ptCount val="3"/>
                <c:pt idx="0">
                  <c:v>H. DE C.</c:v>
                </c:pt>
                <c:pt idx="1">
                  <c:v>PROTEINAS</c:v>
                </c:pt>
                <c:pt idx="2">
                  <c:v>LIPIDOS</c:v>
                </c:pt>
              </c:strCache>
            </c:strRef>
          </c:cat>
          <c:val>
            <c:numRef>
              <c:f>'niños 0 3 años'!$B$136:$B$138</c:f>
              <c:numCache>
                <c:formatCode>0.00</c:formatCode>
                <c:ptCount val="3"/>
                <c:pt idx="0">
                  <c:v>0</c:v>
                </c:pt>
                <c:pt idx="1">
                  <c:v>0</c:v>
                </c:pt>
                <c:pt idx="2">
                  <c:v>0</c:v>
                </c:pt>
              </c:numCache>
            </c:numRef>
          </c:val>
          <c:extLst>
            <c:ext xmlns:c16="http://schemas.microsoft.com/office/drawing/2014/chart" uri="{C3380CC4-5D6E-409C-BE32-E72D297353CC}">
              <c16:uniqueId val="{00000000-2AD7-4E48-B7EC-0838FB7DD9FA}"/>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38262928"/>
        <c:axId val="1038264016"/>
      </c:barChart>
      <c:catAx>
        <c:axId val="1038262928"/>
        <c:scaling>
          <c:orientation val="minMax"/>
        </c:scaling>
        <c:delete val="0"/>
        <c:axPos val="b"/>
        <c:majorTickMark val="none"/>
        <c:minorTickMark val="none"/>
        <c:tickLblPos val="nextTo"/>
        <c:crossAx val="1038264016"/>
        <c:crosses val="autoZero"/>
        <c:auto val="1"/>
        <c:lblAlgn val="ctr"/>
        <c:lblOffset val="100"/>
        <c:noMultiLvlLbl val="0"/>
      </c:catAx>
      <c:valAx>
        <c:axId val="1038264016"/>
        <c:scaling>
          <c:orientation val="minMax"/>
        </c:scaling>
        <c:delete val="0"/>
        <c:axPos val="l"/>
        <c:majorGridlines/>
        <c:majorTickMark val="none"/>
        <c:minorTickMark val="none"/>
        <c:tickLblPos val="nextTo"/>
        <c:spPr>
          <a:ln w="9525">
            <a:noFill/>
          </a:ln>
        </c:spPr>
        <c:crossAx val="103826292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'niñas 0- 3 años'!$A$106:$A$108</c:f>
              <c:strCache>
                <c:ptCount val="3"/>
                <c:pt idx="0">
                  <c:v>H. DE C.</c:v>
                </c:pt>
                <c:pt idx="1">
                  <c:v>PROTEINAS</c:v>
                </c:pt>
                <c:pt idx="2">
                  <c:v>LIPIDOS</c:v>
                </c:pt>
              </c:strCache>
            </c:strRef>
          </c:cat>
          <c:val>
            <c:numRef>
              <c:f>'niñas 0- 3 años'!$B$106:$B$108</c:f>
              <c:numCache>
                <c:formatCode>0.00</c:formatCode>
                <c:ptCount val="3"/>
                <c:pt idx="0">
                  <c:v>47.543581616481774</c:v>
                </c:pt>
                <c:pt idx="1">
                  <c:v>19.6513470681458</c:v>
                </c:pt>
                <c:pt idx="2">
                  <c:v>32.805071315372423</c:v>
                </c:pt>
              </c:numCache>
            </c:numRef>
          </c:val>
          <c:extLst>
            <c:ext xmlns:c16="http://schemas.microsoft.com/office/drawing/2014/chart" uri="{C3380CC4-5D6E-409C-BE32-E72D297353CC}">
              <c16:uniqueId val="{00000000-896E-4A4D-B142-ED7780EB0F5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7D7A-4DCC-B913-13B27AA59BA9}"/>
              </c:ext>
            </c:extLst>
          </c:dPt>
          <c:cat>
            <c:strRef>
              <c:f>'niñas 0- 3 años'!$A$152:$A$154</c:f>
              <c:strCache>
                <c:ptCount val="3"/>
                <c:pt idx="0">
                  <c:v>H. DE C.</c:v>
                </c:pt>
                <c:pt idx="1">
                  <c:v>PROTEINAS</c:v>
                </c:pt>
                <c:pt idx="2">
                  <c:v>LIPIDOS</c:v>
                </c:pt>
              </c:strCache>
            </c:strRef>
          </c:cat>
          <c:val>
            <c:numRef>
              <c:f>'niñas 0- 3 años'!$B$152:$B$154</c:f>
              <c:numCache>
                <c:formatCode>0.00</c:formatCode>
                <c:ptCount val="3"/>
                <c:pt idx="0">
                  <c:v>54</c:v>
                </c:pt>
                <c:pt idx="1">
                  <c:v>18</c:v>
                </c:pt>
                <c:pt idx="2">
                  <c:v>28</c:v>
                </c:pt>
              </c:numCache>
            </c:numRef>
          </c:val>
          <c:extLst>
            <c:ext xmlns:c16="http://schemas.microsoft.com/office/drawing/2014/chart" uri="{C3380CC4-5D6E-409C-BE32-E72D297353CC}">
              <c16:uniqueId val="{00000002-7D7A-4DCC-B913-13B27AA59BA9}"/>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'niñas 0- 3 años'!$A$121:$A$123</c:f>
              <c:strCache>
                <c:ptCount val="3"/>
                <c:pt idx="0">
                  <c:v>H. DE C.</c:v>
                </c:pt>
                <c:pt idx="1">
                  <c:v>PROTEINAS</c:v>
                </c:pt>
                <c:pt idx="2">
                  <c:v>LIPIDOS</c:v>
                </c:pt>
              </c:strCache>
            </c:strRef>
          </c:cat>
          <c:val>
            <c:numRef>
              <c:f>'niñas 0- 3 años'!$B$121:$B$123</c:f>
              <c:numCache>
                <c:formatCode>0.00</c:formatCode>
                <c:ptCount val="3"/>
                <c:pt idx="0">
                  <c:v>53.74554102259215</c:v>
                </c:pt>
                <c:pt idx="1">
                  <c:v>15.219976218787158</c:v>
                </c:pt>
                <c:pt idx="2">
                  <c:v>31.03448275862069</c:v>
                </c:pt>
              </c:numCache>
            </c:numRef>
          </c:val>
          <c:extLst>
            <c:ext xmlns:c16="http://schemas.microsoft.com/office/drawing/2014/chart" uri="{C3380CC4-5D6E-409C-BE32-E72D297353CC}">
              <c16:uniqueId val="{00000000-D294-49FB-88BF-C50326DD730E}"/>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'niñas 0- 3 años'!$A$136:$A$138</c:f>
              <c:strCache>
                <c:ptCount val="3"/>
                <c:pt idx="0">
                  <c:v>H. DE C.</c:v>
                </c:pt>
                <c:pt idx="1">
                  <c:v>PROTEINAS</c:v>
                </c:pt>
                <c:pt idx="2">
                  <c:v>LIPIDOS</c:v>
                </c:pt>
              </c:strCache>
            </c:strRef>
          </c:cat>
          <c:val>
            <c:numRef>
              <c:f>'niñas 0- 3 años'!$B$136:$B$138</c:f>
              <c:numCache>
                <c:formatCode>0.00</c:formatCode>
                <c:ptCount val="3"/>
                <c:pt idx="0">
                  <c:v>61.202185792349724</c:v>
                </c:pt>
                <c:pt idx="1">
                  <c:v>14.207650273224044</c:v>
                </c:pt>
                <c:pt idx="2">
                  <c:v>24.590163934426229</c:v>
                </c:pt>
              </c:numCache>
            </c:numRef>
          </c:val>
          <c:extLst>
            <c:ext xmlns:c16="http://schemas.microsoft.com/office/drawing/2014/chart" uri="{C3380CC4-5D6E-409C-BE32-E72D297353CC}">
              <c16:uniqueId val="{00000000-EE81-41A8-8856-24D2BC2D9D07}"/>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38256944"/>
        <c:axId val="1038259664"/>
      </c:barChart>
      <c:catAx>
        <c:axId val="1038256944"/>
        <c:scaling>
          <c:orientation val="minMax"/>
        </c:scaling>
        <c:delete val="0"/>
        <c:axPos val="b"/>
        <c:majorTickMark val="none"/>
        <c:minorTickMark val="none"/>
        <c:tickLblPos val="nextTo"/>
        <c:crossAx val="1038259664"/>
        <c:crosses val="autoZero"/>
        <c:auto val="1"/>
        <c:lblAlgn val="ctr"/>
        <c:lblOffset val="100"/>
        <c:noMultiLvlLbl val="0"/>
      </c:catAx>
      <c:valAx>
        <c:axId val="1038259664"/>
        <c:scaling>
          <c:orientation val="minMax"/>
        </c:scaling>
        <c:delete val="0"/>
        <c:axPos val="l"/>
        <c:majorGridlines/>
        <c:majorTickMark val="none"/>
        <c:minorTickMark val="none"/>
        <c:tickLblPos val="nextTo"/>
        <c:spPr>
          <a:ln w="9525">
            <a:noFill/>
          </a:ln>
        </c:spPr>
        <c:crossAx val="103825694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'niñas 3 -6 años'!$A$106:$A$108</c:f>
              <c:strCache>
                <c:ptCount val="3"/>
                <c:pt idx="0">
                  <c:v>H. DE C.</c:v>
                </c:pt>
                <c:pt idx="1">
                  <c:v>PROTEINAS</c:v>
                </c:pt>
                <c:pt idx="2">
                  <c:v>LIPIDOS</c:v>
                </c:pt>
              </c:strCache>
            </c:strRef>
          </c:cat>
          <c:val>
            <c:numRef>
              <c:f>'niñas 3 -6 años'!$B$106:$B$108</c:f>
              <c:numCache>
                <c:formatCode>0.00</c:formatCode>
                <c:ptCount val="3"/>
                <c:pt idx="0">
                  <c:v>47.543581616481774</c:v>
                </c:pt>
                <c:pt idx="1">
                  <c:v>19.6513470681458</c:v>
                </c:pt>
                <c:pt idx="2">
                  <c:v>32.805071315372423</c:v>
                </c:pt>
              </c:numCache>
            </c:numRef>
          </c:val>
          <c:extLst>
            <c:ext xmlns:c16="http://schemas.microsoft.com/office/drawing/2014/chart" uri="{C3380CC4-5D6E-409C-BE32-E72D297353CC}">
              <c16:uniqueId val="{00000000-AC0F-440B-9A78-E4D1327E153F}"/>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CAF6-457B-A7BC-37DF3B8ABF30}"/>
              </c:ext>
            </c:extLst>
          </c:dPt>
          <c:cat>
            <c:strRef>
              <c:f>'niñas 3 -6 años'!$A$152:$A$154</c:f>
              <c:strCache>
                <c:ptCount val="3"/>
                <c:pt idx="0">
                  <c:v>H. DE C.</c:v>
                </c:pt>
                <c:pt idx="1">
                  <c:v>PROTEINAS</c:v>
                </c:pt>
                <c:pt idx="2">
                  <c:v>LIPIDOS</c:v>
                </c:pt>
              </c:strCache>
            </c:strRef>
          </c:cat>
          <c:val>
            <c:numRef>
              <c:f>'niñas 3 -6 años'!$B$152:$B$154</c:f>
              <c:numCache>
                <c:formatCode>0.00</c:formatCode>
                <c:ptCount val="3"/>
                <c:pt idx="0">
                  <c:v>54</c:v>
                </c:pt>
                <c:pt idx="1">
                  <c:v>18</c:v>
                </c:pt>
                <c:pt idx="2">
                  <c:v>28</c:v>
                </c:pt>
              </c:numCache>
            </c:numRef>
          </c:val>
          <c:extLst>
            <c:ext xmlns:c16="http://schemas.microsoft.com/office/drawing/2014/chart" uri="{C3380CC4-5D6E-409C-BE32-E72D297353CC}">
              <c16:uniqueId val="{00000002-CAF6-457B-A7BC-37DF3B8ABF30}"/>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'niñas 3 -6 años'!$A$121:$A$123</c:f>
              <c:strCache>
                <c:ptCount val="3"/>
                <c:pt idx="0">
                  <c:v>H. DE C.</c:v>
                </c:pt>
                <c:pt idx="1">
                  <c:v>PROTEINAS</c:v>
                </c:pt>
                <c:pt idx="2">
                  <c:v>LIPIDOS</c:v>
                </c:pt>
              </c:strCache>
            </c:strRef>
          </c:cat>
          <c:val>
            <c:numRef>
              <c:f>'niñas 3 -6 años'!$B$121:$B$123</c:f>
              <c:numCache>
                <c:formatCode>0.00</c:formatCode>
                <c:ptCount val="3"/>
                <c:pt idx="0">
                  <c:v>53.74554102259215</c:v>
                </c:pt>
                <c:pt idx="1">
                  <c:v>15.219976218787158</c:v>
                </c:pt>
                <c:pt idx="2">
                  <c:v>31.03448275862069</c:v>
                </c:pt>
              </c:numCache>
            </c:numRef>
          </c:val>
          <c:extLst>
            <c:ext xmlns:c16="http://schemas.microsoft.com/office/drawing/2014/chart" uri="{C3380CC4-5D6E-409C-BE32-E72D297353CC}">
              <c16:uniqueId val="{00000000-0238-487B-956D-5CC21BC48A6B}"/>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'niñas 3 -6 años'!$A$136:$A$138</c:f>
              <c:strCache>
                <c:ptCount val="3"/>
                <c:pt idx="0">
                  <c:v>H. DE C.</c:v>
                </c:pt>
                <c:pt idx="1">
                  <c:v>PROTEINAS</c:v>
                </c:pt>
                <c:pt idx="2">
                  <c:v>LIPIDOS</c:v>
                </c:pt>
              </c:strCache>
            </c:strRef>
          </c:cat>
          <c:val>
            <c:numRef>
              <c:f>'niñas 3 -6 años'!$B$136:$B$138</c:f>
              <c:numCache>
                <c:formatCode>0.00</c:formatCode>
                <c:ptCount val="3"/>
                <c:pt idx="0">
                  <c:v>61.202185792349724</c:v>
                </c:pt>
                <c:pt idx="1">
                  <c:v>14.207650273224044</c:v>
                </c:pt>
                <c:pt idx="2">
                  <c:v>24.590163934426229</c:v>
                </c:pt>
              </c:numCache>
            </c:numRef>
          </c:val>
          <c:extLst>
            <c:ext xmlns:c16="http://schemas.microsoft.com/office/drawing/2014/chart" uri="{C3380CC4-5D6E-409C-BE32-E72D297353CC}">
              <c16:uniqueId val="{00000000-8C81-4488-9748-9856D7B2CFC9}"/>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38638656"/>
        <c:axId val="1038640832"/>
      </c:barChart>
      <c:catAx>
        <c:axId val="1038638656"/>
        <c:scaling>
          <c:orientation val="minMax"/>
        </c:scaling>
        <c:delete val="0"/>
        <c:axPos val="b"/>
        <c:majorTickMark val="none"/>
        <c:minorTickMark val="none"/>
        <c:tickLblPos val="nextTo"/>
        <c:crossAx val="1038640832"/>
        <c:crosses val="autoZero"/>
        <c:auto val="1"/>
        <c:lblAlgn val="ctr"/>
        <c:lblOffset val="100"/>
        <c:noMultiLvlLbl val="0"/>
      </c:catAx>
      <c:valAx>
        <c:axId val="1038640832"/>
        <c:scaling>
          <c:orientation val="minMax"/>
        </c:scaling>
        <c:delete val="0"/>
        <c:axPos val="l"/>
        <c:majorGridlines/>
        <c:majorTickMark val="none"/>
        <c:minorTickMark val="none"/>
        <c:tickLblPos val="nextTo"/>
        <c:spPr>
          <a:ln w="9525">
            <a:noFill/>
          </a:ln>
        </c:spPr>
        <c:crossAx val="10386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'niños 3 -6 años '!$A$106:$A$108</c:f>
              <c:strCache>
                <c:ptCount val="3"/>
                <c:pt idx="0">
                  <c:v>H. DE C.</c:v>
                </c:pt>
                <c:pt idx="1">
                  <c:v>PROTEINAS</c:v>
                </c:pt>
                <c:pt idx="2">
                  <c:v>LIPIDOS</c:v>
                </c:pt>
              </c:strCache>
            </c:strRef>
          </c:cat>
          <c:val>
            <c:numRef>
              <c:f>'niños 3 -6 años '!$B$106:$B$108</c:f>
              <c:numCache>
                <c:formatCode>0.00</c:formatCode>
                <c:ptCount val="3"/>
                <c:pt idx="0">
                  <c:v>47.543581616481774</c:v>
                </c:pt>
                <c:pt idx="1">
                  <c:v>19.6513470681458</c:v>
                </c:pt>
                <c:pt idx="2">
                  <c:v>32.805071315372423</c:v>
                </c:pt>
              </c:numCache>
            </c:numRef>
          </c:val>
          <c:extLst>
            <c:ext xmlns:c16="http://schemas.microsoft.com/office/drawing/2014/chart" uri="{C3380CC4-5D6E-409C-BE32-E72D297353CC}">
              <c16:uniqueId val="{00000000-3D4E-4BE8-95F5-F73075258B97}"/>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05B9-4B88-8F99-65C37F48851C}"/>
              </c:ext>
            </c:extLst>
          </c:dPt>
          <c:cat>
            <c:strRef>
              <c:f>'niños 3 -6 años '!$A$152:$A$154</c:f>
              <c:strCache>
                <c:ptCount val="3"/>
                <c:pt idx="0">
                  <c:v>H. DE C.</c:v>
                </c:pt>
                <c:pt idx="1">
                  <c:v>PROTEINAS</c:v>
                </c:pt>
                <c:pt idx="2">
                  <c:v>LIPIDOS</c:v>
                </c:pt>
              </c:strCache>
            </c:strRef>
          </c:cat>
          <c:val>
            <c:numRef>
              <c:f>'niños 3 -6 años '!$B$152:$B$154</c:f>
              <c:numCache>
                <c:formatCode>0.00</c:formatCode>
                <c:ptCount val="3"/>
                <c:pt idx="0">
                  <c:v>54</c:v>
                </c:pt>
                <c:pt idx="1">
                  <c:v>18</c:v>
                </c:pt>
                <c:pt idx="2">
                  <c:v>28</c:v>
                </c:pt>
              </c:numCache>
            </c:numRef>
          </c:val>
          <c:extLst>
            <c:ext xmlns:c16="http://schemas.microsoft.com/office/drawing/2014/chart" uri="{C3380CC4-5D6E-409C-BE32-E72D297353CC}">
              <c16:uniqueId val="{00000002-05B9-4B88-8F99-65C37F48851C}"/>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'niños 3 -6 años '!$A$121:$A$123</c:f>
              <c:strCache>
                <c:ptCount val="3"/>
                <c:pt idx="0">
                  <c:v>H. DE C.</c:v>
                </c:pt>
                <c:pt idx="1">
                  <c:v>PROTEINAS</c:v>
                </c:pt>
                <c:pt idx="2">
                  <c:v>LIPIDOS</c:v>
                </c:pt>
              </c:strCache>
            </c:strRef>
          </c:cat>
          <c:val>
            <c:numRef>
              <c:f>'niños 3 -6 años '!$B$121:$B$123</c:f>
              <c:numCache>
                <c:formatCode>0.00</c:formatCode>
                <c:ptCount val="3"/>
                <c:pt idx="0">
                  <c:v>53.74554102259215</c:v>
                </c:pt>
                <c:pt idx="1">
                  <c:v>15.219976218787158</c:v>
                </c:pt>
                <c:pt idx="2">
                  <c:v>31.03448275862069</c:v>
                </c:pt>
              </c:numCache>
            </c:numRef>
          </c:val>
          <c:extLst>
            <c:ext xmlns:c16="http://schemas.microsoft.com/office/drawing/2014/chart" uri="{C3380CC4-5D6E-409C-BE32-E72D297353CC}">
              <c16:uniqueId val="{00000000-92AB-4A31-9C40-6ABB10CEEB7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'niños 3 -6 años '!$A$136:$A$138</c:f>
              <c:strCache>
                <c:ptCount val="3"/>
                <c:pt idx="0">
                  <c:v>H. DE C.</c:v>
                </c:pt>
                <c:pt idx="1">
                  <c:v>PROTEINAS</c:v>
                </c:pt>
                <c:pt idx="2">
                  <c:v>LIPIDOS</c:v>
                </c:pt>
              </c:strCache>
            </c:strRef>
          </c:cat>
          <c:val>
            <c:numRef>
              <c:f>'niños 3 -6 años '!$B$136:$B$138</c:f>
              <c:numCache>
                <c:formatCode>0.00</c:formatCode>
                <c:ptCount val="3"/>
                <c:pt idx="0">
                  <c:v>61.202185792349724</c:v>
                </c:pt>
                <c:pt idx="1">
                  <c:v>14.207650273224044</c:v>
                </c:pt>
                <c:pt idx="2">
                  <c:v>24.590163934426229</c:v>
                </c:pt>
              </c:numCache>
            </c:numRef>
          </c:val>
          <c:extLst>
            <c:ext xmlns:c16="http://schemas.microsoft.com/office/drawing/2014/chart" uri="{C3380CC4-5D6E-409C-BE32-E72D297353CC}">
              <c16:uniqueId val="{00000000-B8DD-4F52-A8D8-A277BE1E4503}"/>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38633216"/>
        <c:axId val="1038642464"/>
      </c:barChart>
      <c:catAx>
        <c:axId val="1038633216"/>
        <c:scaling>
          <c:orientation val="minMax"/>
        </c:scaling>
        <c:delete val="0"/>
        <c:axPos val="b"/>
        <c:majorTickMark val="none"/>
        <c:minorTickMark val="none"/>
        <c:tickLblPos val="nextTo"/>
        <c:crossAx val="1038642464"/>
        <c:crosses val="autoZero"/>
        <c:auto val="1"/>
        <c:lblAlgn val="ctr"/>
        <c:lblOffset val="100"/>
        <c:noMultiLvlLbl val="0"/>
      </c:catAx>
      <c:valAx>
        <c:axId val="1038642464"/>
        <c:scaling>
          <c:orientation val="minMax"/>
        </c:scaling>
        <c:delete val="0"/>
        <c:axPos val="l"/>
        <c:majorGridlines/>
        <c:majorTickMark val="none"/>
        <c:minorTickMark val="none"/>
        <c:tickLblPos val="nextTo"/>
        <c:spPr>
          <a:ln w="9525">
            <a:noFill/>
          </a:ln>
        </c:spPr>
        <c:crossAx val="103863321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'niñas 6 a 11 años '!$A$106:$A$108</c:f>
              <c:strCache>
                <c:ptCount val="3"/>
                <c:pt idx="0">
                  <c:v>H. DE C.</c:v>
                </c:pt>
                <c:pt idx="1">
                  <c:v>PROTEINAS</c:v>
                </c:pt>
                <c:pt idx="2">
                  <c:v>LIPIDOS</c:v>
                </c:pt>
              </c:strCache>
            </c:strRef>
          </c:cat>
          <c:val>
            <c:numRef>
              <c:f>'niñas 6 a 11 años '!$B$106:$B$108</c:f>
              <c:numCache>
                <c:formatCode>0.00</c:formatCode>
                <c:ptCount val="3"/>
                <c:pt idx="0">
                  <c:v>47.543581616481774</c:v>
                </c:pt>
                <c:pt idx="1">
                  <c:v>19.6513470681458</c:v>
                </c:pt>
                <c:pt idx="2">
                  <c:v>32.805071315372423</c:v>
                </c:pt>
              </c:numCache>
            </c:numRef>
          </c:val>
          <c:extLst>
            <c:ext xmlns:c16="http://schemas.microsoft.com/office/drawing/2014/chart" uri="{C3380CC4-5D6E-409C-BE32-E72D297353CC}">
              <c16:uniqueId val="{00000000-1731-4103-8468-FFD172F861DC}"/>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F69F-450E-BF82-3D800DAE2E55}"/>
              </c:ext>
            </c:extLst>
          </c:dPt>
          <c:cat>
            <c:strRef>
              <c:f>'niñas 6 a 11 años '!$A$152:$A$154</c:f>
              <c:strCache>
                <c:ptCount val="3"/>
                <c:pt idx="0">
                  <c:v>H. DE C.</c:v>
                </c:pt>
                <c:pt idx="1">
                  <c:v>PROTEINAS</c:v>
                </c:pt>
                <c:pt idx="2">
                  <c:v>LIPIDOS</c:v>
                </c:pt>
              </c:strCache>
            </c:strRef>
          </c:cat>
          <c:val>
            <c:numRef>
              <c:f>'niñas 6 a 11 años '!$B$152:$B$154</c:f>
              <c:numCache>
                <c:formatCode>0.00</c:formatCode>
                <c:ptCount val="3"/>
                <c:pt idx="0">
                  <c:v>54</c:v>
                </c:pt>
                <c:pt idx="1">
                  <c:v>18</c:v>
                </c:pt>
                <c:pt idx="2">
                  <c:v>28</c:v>
                </c:pt>
              </c:numCache>
            </c:numRef>
          </c:val>
          <c:extLst>
            <c:ext xmlns:c16="http://schemas.microsoft.com/office/drawing/2014/chart" uri="{C3380CC4-5D6E-409C-BE32-E72D297353CC}">
              <c16:uniqueId val="{00000002-F69F-450E-BF82-3D800DAE2E5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'niñas 6 a 11 años '!$A$121:$A$123</c:f>
              <c:strCache>
                <c:ptCount val="3"/>
                <c:pt idx="0">
                  <c:v>H. DE C.</c:v>
                </c:pt>
                <c:pt idx="1">
                  <c:v>PROTEINAS</c:v>
                </c:pt>
                <c:pt idx="2">
                  <c:v>LIPIDOS</c:v>
                </c:pt>
              </c:strCache>
            </c:strRef>
          </c:cat>
          <c:val>
            <c:numRef>
              <c:f>'niñas 6 a 11 años '!$B$121:$B$123</c:f>
              <c:numCache>
                <c:formatCode>0.00</c:formatCode>
                <c:ptCount val="3"/>
                <c:pt idx="0">
                  <c:v>53.74554102259215</c:v>
                </c:pt>
                <c:pt idx="1">
                  <c:v>15.219976218787158</c:v>
                </c:pt>
                <c:pt idx="2">
                  <c:v>31.03448275862069</c:v>
                </c:pt>
              </c:numCache>
            </c:numRef>
          </c:val>
          <c:extLst>
            <c:ext xmlns:c16="http://schemas.microsoft.com/office/drawing/2014/chart" uri="{C3380CC4-5D6E-409C-BE32-E72D297353CC}">
              <c16:uniqueId val="{00000000-B715-428C-839A-0720BB79C3C1}"/>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'niñas 6 a 11 años '!$A$136:$A$138</c:f>
              <c:strCache>
                <c:ptCount val="3"/>
                <c:pt idx="0">
                  <c:v>H. DE C.</c:v>
                </c:pt>
                <c:pt idx="1">
                  <c:v>PROTEINAS</c:v>
                </c:pt>
                <c:pt idx="2">
                  <c:v>LIPIDOS</c:v>
                </c:pt>
              </c:strCache>
            </c:strRef>
          </c:cat>
          <c:val>
            <c:numRef>
              <c:f>'niñas 6 a 11 años '!$B$136:$B$138</c:f>
              <c:numCache>
                <c:formatCode>0.00</c:formatCode>
                <c:ptCount val="3"/>
                <c:pt idx="0">
                  <c:v>61.202185792349724</c:v>
                </c:pt>
                <c:pt idx="1">
                  <c:v>14.207650273224044</c:v>
                </c:pt>
                <c:pt idx="2">
                  <c:v>24.590163934426229</c:v>
                </c:pt>
              </c:numCache>
            </c:numRef>
          </c:val>
          <c:extLst>
            <c:ext xmlns:c16="http://schemas.microsoft.com/office/drawing/2014/chart" uri="{C3380CC4-5D6E-409C-BE32-E72D297353CC}">
              <c16:uniqueId val="{00000000-4F99-4EF8-BCD4-E564A84DA67B}"/>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66055168"/>
        <c:axId val="1066051360"/>
      </c:barChart>
      <c:catAx>
        <c:axId val="1066055168"/>
        <c:scaling>
          <c:orientation val="minMax"/>
        </c:scaling>
        <c:delete val="0"/>
        <c:axPos val="b"/>
        <c:majorTickMark val="none"/>
        <c:minorTickMark val="none"/>
        <c:tickLblPos val="nextTo"/>
        <c:crossAx val="1066051360"/>
        <c:crosses val="autoZero"/>
        <c:auto val="1"/>
        <c:lblAlgn val="ctr"/>
        <c:lblOffset val="100"/>
        <c:noMultiLvlLbl val="0"/>
      </c:catAx>
      <c:valAx>
        <c:axId val="1066051360"/>
        <c:scaling>
          <c:orientation val="minMax"/>
        </c:scaling>
        <c:delete val="0"/>
        <c:axPos val="l"/>
        <c:majorGridlines/>
        <c:majorTickMark val="none"/>
        <c:minorTickMark val="none"/>
        <c:tickLblPos val="nextTo"/>
        <c:spPr>
          <a:ln w="9525">
            <a:noFill/>
          </a:ln>
        </c:spPr>
        <c:crossAx val="106605516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82"/>
          <c:y val="0.37272727272727302"/>
          <c:w val="0.43750133514811751"/>
          <c:h val="0.2545454545454543"/>
        </c:manualLayout>
      </c:layout>
      <c:pie3DChart>
        <c:varyColors val="1"/>
        <c:ser>
          <c:idx val="0"/>
          <c:order val="0"/>
          <c:cat>
            <c:strRef>
              <c:f>'niños 6 -11 años'!$A$106:$A$108</c:f>
              <c:strCache>
                <c:ptCount val="3"/>
                <c:pt idx="0">
                  <c:v>H. DE C.</c:v>
                </c:pt>
                <c:pt idx="1">
                  <c:v>PROTEINAS</c:v>
                </c:pt>
                <c:pt idx="2">
                  <c:v>LIPIDOS</c:v>
                </c:pt>
              </c:strCache>
            </c:strRef>
          </c:cat>
          <c:val>
            <c:numRef>
              <c:f>'niños 6 -11 años'!$B$106:$B$108</c:f>
              <c:numCache>
                <c:formatCode>0.00</c:formatCode>
                <c:ptCount val="3"/>
                <c:pt idx="0">
                  <c:v>52.520515826494723</c:v>
                </c:pt>
                <c:pt idx="1">
                  <c:v>12.661195779601407</c:v>
                </c:pt>
                <c:pt idx="2">
                  <c:v>34.81828839390387</c:v>
                </c:pt>
              </c:numCache>
            </c:numRef>
          </c:val>
          <c:extLst>
            <c:ext xmlns:c16="http://schemas.microsoft.com/office/drawing/2014/chart" uri="{C3380CC4-5D6E-409C-BE32-E72D297353CC}">
              <c16:uniqueId val="{00000000-CFC3-464F-9561-5786265968E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79"/>
          <c:y val="0.34545454545454574"/>
          <c:w val="0.28742490522018127"/>
          <c:h val="0.30909090909090942"/>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44" r="0.75000000000000044" t="1" header="0" footer="0"/>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50021"/>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3BAE-44CB-AC33-36537E8FC435}"/>
              </c:ext>
            </c:extLst>
          </c:dPt>
          <c:cat>
            <c:strRef>
              <c:f>'niños 6 -11 años'!$A$152:$A$154</c:f>
              <c:strCache>
                <c:ptCount val="3"/>
                <c:pt idx="0">
                  <c:v>H. DE C.</c:v>
                </c:pt>
                <c:pt idx="1">
                  <c:v>PROTEINAS</c:v>
                </c:pt>
                <c:pt idx="2">
                  <c:v>LIPIDOS</c:v>
                </c:pt>
              </c:strCache>
            </c:strRef>
          </c:cat>
          <c:val>
            <c:numRef>
              <c:f>'niños 6 -11 años'!$B$152:$B$154</c:f>
              <c:numCache>
                <c:formatCode>0.00</c:formatCode>
                <c:ptCount val="3"/>
                <c:pt idx="0">
                  <c:v>54</c:v>
                </c:pt>
                <c:pt idx="1">
                  <c:v>18</c:v>
                </c:pt>
                <c:pt idx="2">
                  <c:v>28</c:v>
                </c:pt>
              </c:numCache>
            </c:numRef>
          </c:val>
          <c:extLst>
            <c:ext xmlns:c16="http://schemas.microsoft.com/office/drawing/2014/chart" uri="{C3380CC4-5D6E-409C-BE32-E72D297353CC}">
              <c16:uniqueId val="{00000002-3BAE-44CB-AC33-36537E8FC43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307"/>
          <c:w val="0.34926461465044167"/>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95"/>
          <c:y val="0.10400000000000002"/>
          <c:w val="0.59649463458650065"/>
          <c:h val="0.51200000000000001"/>
        </c:manualLayout>
      </c:layout>
      <c:pie3DChart>
        <c:varyColors val="1"/>
        <c:ser>
          <c:idx val="0"/>
          <c:order val="0"/>
          <c:explosion val="25"/>
          <c:cat>
            <c:strRef>
              <c:f>'niños 6 -11 años'!$A$121:$A$123</c:f>
              <c:strCache>
                <c:ptCount val="3"/>
                <c:pt idx="0">
                  <c:v>H. DE C.</c:v>
                </c:pt>
                <c:pt idx="1">
                  <c:v>PROTEINAS</c:v>
                </c:pt>
                <c:pt idx="2">
                  <c:v>LIPIDOS</c:v>
                </c:pt>
              </c:strCache>
            </c:strRef>
          </c:cat>
          <c:val>
            <c:numRef>
              <c:f>'niños 6 -11 años'!$B$121:$B$123</c:f>
              <c:numCache>
                <c:formatCode>0.00</c:formatCode>
                <c:ptCount val="3"/>
                <c:pt idx="0">
                  <c:v>79.107505070993909</c:v>
                </c:pt>
                <c:pt idx="1">
                  <c:v>11.764705882352942</c:v>
                </c:pt>
                <c:pt idx="2">
                  <c:v>9.1277890466531435</c:v>
                </c:pt>
              </c:numCache>
            </c:numRef>
          </c:val>
          <c:extLst>
            <c:ext xmlns:c16="http://schemas.microsoft.com/office/drawing/2014/chart" uri="{C3380CC4-5D6E-409C-BE32-E72D297353CC}">
              <c16:uniqueId val="{00000000-DF3D-4103-8E10-22F8FBFF718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22E-2"/>
          <c:y val="0.60800000000000043"/>
          <c:w val="0.91428811398575149"/>
          <c:h val="0.36800000000000027"/>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19"/>
          <c:h val="0.49152745765797851"/>
        </c:manualLayout>
      </c:layout>
      <c:pie3DChart>
        <c:varyColors val="1"/>
        <c:ser>
          <c:idx val="0"/>
          <c:order val="0"/>
          <c:cat>
            <c:strRef>
              <c:f>'niños 6 -11 años'!$A$136:$A$138</c:f>
              <c:strCache>
                <c:ptCount val="3"/>
                <c:pt idx="0">
                  <c:v>H. DE C.</c:v>
                </c:pt>
                <c:pt idx="1">
                  <c:v>PROTEINAS</c:v>
                </c:pt>
                <c:pt idx="2">
                  <c:v>LIPIDOS</c:v>
                </c:pt>
              </c:strCache>
            </c:strRef>
          </c:cat>
          <c:val>
            <c:numRef>
              <c:f>'niños 6 -11 años'!$B$136:$B$138</c:f>
              <c:numCache>
                <c:formatCode>0.00</c:formatCode>
                <c:ptCount val="3"/>
                <c:pt idx="0">
                  <c:v>54.394079555966698</c:v>
                </c:pt>
                <c:pt idx="1">
                  <c:v>14.801110083256244</c:v>
                </c:pt>
                <c:pt idx="2">
                  <c:v>30.804810360777058</c:v>
                </c:pt>
              </c:numCache>
            </c:numRef>
          </c:val>
          <c:extLst>
            <c:ext xmlns:c16="http://schemas.microsoft.com/office/drawing/2014/chart" uri="{C3380CC4-5D6E-409C-BE32-E72D297353CC}">
              <c16:uniqueId val="{00000000-9C0C-4729-A848-40380F92B071}"/>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44" l="0.7000000000000004" r="0.7000000000000004" t="0.75000000000000044" header="0.30000000000000021" footer="0.30000000000000021"/>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stacked"/>
        <c:varyColors val="0"/>
        <c:dLbls>
          <c:showLegendKey val="0"/>
          <c:showVal val="0"/>
          <c:showCatName val="0"/>
          <c:showSerName val="0"/>
          <c:showPercent val="0"/>
          <c:showBubbleSize val="0"/>
        </c:dLbls>
        <c:gapWidth val="75"/>
        <c:overlap val="100"/>
        <c:axId val="1066048096"/>
        <c:axId val="1066050816"/>
      </c:barChart>
      <c:catAx>
        <c:axId val="1066048096"/>
        <c:scaling>
          <c:orientation val="minMax"/>
        </c:scaling>
        <c:delete val="0"/>
        <c:axPos val="b"/>
        <c:majorTickMark val="none"/>
        <c:minorTickMark val="none"/>
        <c:tickLblPos val="nextTo"/>
        <c:crossAx val="1066050816"/>
        <c:crosses val="autoZero"/>
        <c:auto val="1"/>
        <c:lblAlgn val="ctr"/>
        <c:lblOffset val="100"/>
        <c:noMultiLvlLbl val="0"/>
      </c:catAx>
      <c:valAx>
        <c:axId val="1066050816"/>
        <c:scaling>
          <c:orientation val="minMax"/>
        </c:scaling>
        <c:delete val="0"/>
        <c:axPos val="l"/>
        <c:majorGridlines/>
        <c:majorTickMark val="none"/>
        <c:minorTickMark val="none"/>
        <c:tickLblPos val="nextTo"/>
        <c:spPr>
          <a:ln w="9525">
            <a:noFill/>
          </a:ln>
        </c:spPr>
        <c:crossAx val="106604809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76"/>
          <c:y val="0.37272727272727291"/>
          <c:w val="0.43750133514811751"/>
          <c:h val="0.25454545454545441"/>
        </c:manualLayout>
      </c:layout>
      <c:pie3DChart>
        <c:varyColors val="1"/>
        <c:ser>
          <c:idx val="0"/>
          <c:order val="0"/>
          <c:cat>
            <c:strRef>
              <c:f>HOMBRES!$A$106:$A$108</c:f>
              <c:strCache>
                <c:ptCount val="3"/>
                <c:pt idx="0">
                  <c:v>H. DE C.</c:v>
                </c:pt>
                <c:pt idx="1">
                  <c:v>PROTEINAS</c:v>
                </c:pt>
                <c:pt idx="2">
                  <c:v>LIPIDOS</c:v>
                </c:pt>
              </c:strCache>
            </c:strRef>
          </c:cat>
          <c:val>
            <c:numRef>
              <c:f>HOMBRES!$B$106:$B$108</c:f>
              <c:numCache>
                <c:formatCode>0.00</c:formatCode>
                <c:ptCount val="3"/>
                <c:pt idx="0">
                  <c:v>38.431372549019606</c:v>
                </c:pt>
                <c:pt idx="1">
                  <c:v>22.745098039215687</c:v>
                </c:pt>
                <c:pt idx="2">
                  <c:v>38.823529411764703</c:v>
                </c:pt>
              </c:numCache>
            </c:numRef>
          </c:val>
          <c:extLst>
            <c:ext xmlns:c16="http://schemas.microsoft.com/office/drawing/2014/chart" uri="{C3380CC4-5D6E-409C-BE32-E72D297353CC}">
              <c16:uniqueId val="{00000000-1904-40D0-811E-304279DCB17F}"/>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24"/>
          <c:y val="0.34545454545454557"/>
          <c:w val="0.28742490522018105"/>
          <c:h val="0.3090909090909092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22" r="0.75000000000000022" t="1" header="0" footer="0"/>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49977"/>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33FF-44F2-B5AA-2D41FB41F00F}"/>
              </c:ext>
            </c:extLst>
          </c:dPt>
          <c:cat>
            <c:strRef>
              <c:f>HOMBRES!$A$152:$A$154</c:f>
              <c:strCache>
                <c:ptCount val="3"/>
                <c:pt idx="0">
                  <c:v>H. DE C.</c:v>
                </c:pt>
                <c:pt idx="1">
                  <c:v>PROTEINAS</c:v>
                </c:pt>
                <c:pt idx="2">
                  <c:v>LIPIDOS</c:v>
                </c:pt>
              </c:strCache>
            </c:strRef>
          </c:cat>
          <c:val>
            <c:numRef>
              <c:f>HOMBRES!$B$152:$B$154</c:f>
              <c:numCache>
                <c:formatCode>0.00</c:formatCode>
                <c:ptCount val="3"/>
                <c:pt idx="0">
                  <c:v>54</c:v>
                </c:pt>
                <c:pt idx="1">
                  <c:v>18</c:v>
                </c:pt>
                <c:pt idx="2">
                  <c:v>28</c:v>
                </c:pt>
              </c:numCache>
            </c:numRef>
          </c:val>
          <c:extLst>
            <c:ext xmlns:c16="http://schemas.microsoft.com/office/drawing/2014/chart" uri="{C3380CC4-5D6E-409C-BE32-E72D297353CC}">
              <c16:uniqueId val="{00000002-33FF-44F2-B5AA-2D41FB41F00F}"/>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299"/>
          <c:w val="0.34926461465044156"/>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89"/>
          <c:y val="0.10400000000000002"/>
          <c:w val="0.59649463458650065"/>
          <c:h val="0.51200000000000001"/>
        </c:manualLayout>
      </c:layout>
      <c:pie3DChart>
        <c:varyColors val="1"/>
        <c:ser>
          <c:idx val="0"/>
          <c:order val="0"/>
          <c:explosion val="25"/>
          <c:cat>
            <c:strRef>
              <c:f>HOMBRES!$A$121:$A$123</c:f>
              <c:strCache>
                <c:ptCount val="3"/>
                <c:pt idx="0">
                  <c:v>H. DE C.</c:v>
                </c:pt>
                <c:pt idx="1">
                  <c:v>PROTEINAS</c:v>
                </c:pt>
                <c:pt idx="2">
                  <c:v>LIPIDOS</c:v>
                </c:pt>
              </c:strCache>
            </c:strRef>
          </c:cat>
          <c:val>
            <c:numRef>
              <c:f>HOMBRES!$B$121:$B$123</c:f>
              <c:numCache>
                <c:formatCode>0.00</c:formatCode>
                <c:ptCount val="3"/>
                <c:pt idx="0">
                  <c:v>55.384615384615387</c:v>
                </c:pt>
                <c:pt idx="1">
                  <c:v>10</c:v>
                </c:pt>
                <c:pt idx="2">
                  <c:v>34.615384615384613</c:v>
                </c:pt>
              </c:numCache>
            </c:numRef>
          </c:val>
          <c:extLst>
            <c:ext xmlns:c16="http://schemas.microsoft.com/office/drawing/2014/chart" uri="{C3380CC4-5D6E-409C-BE32-E72D297353CC}">
              <c16:uniqueId val="{00000000-44A7-4D57-8808-B470FC285D21}"/>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15E-2"/>
          <c:y val="0.60800000000000021"/>
          <c:w val="0.91428811398575149"/>
          <c:h val="0.3680000000000001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41"/>
          <c:h val="0.49152745765797839"/>
        </c:manualLayout>
      </c:layout>
      <c:pie3DChart>
        <c:varyColors val="1"/>
        <c:ser>
          <c:idx val="0"/>
          <c:order val="0"/>
          <c:cat>
            <c:strRef>
              <c:f>HOMBRES!$A$136:$A$138</c:f>
              <c:strCache>
                <c:ptCount val="3"/>
                <c:pt idx="0">
                  <c:v>H. DE C.</c:v>
                </c:pt>
                <c:pt idx="1">
                  <c:v>PROTEINAS</c:v>
                </c:pt>
                <c:pt idx="2">
                  <c:v>LIPIDOS</c:v>
                </c:pt>
              </c:strCache>
            </c:strRef>
          </c:cat>
          <c:val>
            <c:numRef>
              <c:f>HOMBRES!$B$136:$B$138</c:f>
              <c:numCache>
                <c:formatCode>0.00</c:formatCode>
                <c:ptCount val="3"/>
                <c:pt idx="0">
                  <c:v>30.341340075853349</c:v>
                </c:pt>
                <c:pt idx="1">
                  <c:v>25.284450063211125</c:v>
                </c:pt>
                <c:pt idx="2">
                  <c:v>44.374209860935522</c:v>
                </c:pt>
              </c:numCache>
            </c:numRef>
          </c:val>
          <c:extLst>
            <c:ext xmlns:c16="http://schemas.microsoft.com/office/drawing/2014/chart" uri="{C3380CC4-5D6E-409C-BE32-E72D297353CC}">
              <c16:uniqueId val="{00000000-0E48-4D28-B493-F7965AF7B688}"/>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15"/>
      <c:rotY val="0"/>
      <c:rAngAx val="0"/>
      <c:perspective val="0"/>
    </c:view3D>
    <c:floor>
      <c:thickness val="0"/>
    </c:floor>
    <c:sideWall>
      <c:thickness val="0"/>
    </c:sideWall>
    <c:backWall>
      <c:thickness val="0"/>
    </c:backWall>
    <c:plotArea>
      <c:layout>
        <c:manualLayout>
          <c:layoutTarget val="inner"/>
          <c:xMode val="edge"/>
          <c:yMode val="edge"/>
          <c:x val="0.12500038147089076"/>
          <c:y val="0.37272727272727291"/>
          <c:w val="0.43750133514811751"/>
          <c:h val="0.25454545454545441"/>
        </c:manualLayout>
      </c:layout>
      <c:pie3DChart>
        <c:varyColors val="1"/>
        <c:ser>
          <c:idx val="0"/>
          <c:order val="0"/>
          <c:cat>
            <c:strRef>
              <c:f>'COLOSTOMIAS E ILEOSTOMIAS'!$A$197:$A$199</c:f>
              <c:strCache>
                <c:ptCount val="3"/>
                <c:pt idx="0">
                  <c:v>H. DE C.</c:v>
                </c:pt>
                <c:pt idx="1">
                  <c:v>PROTEINAS</c:v>
                </c:pt>
                <c:pt idx="2">
                  <c:v>LIPIDOS</c:v>
                </c:pt>
              </c:strCache>
            </c:strRef>
          </c:cat>
          <c:val>
            <c:numRef>
              <c:f>'COLOSTOMIAS E ILEOSTOMIAS'!$B$197:$B$199</c:f>
              <c:numCache>
                <c:formatCode>0.00</c:formatCode>
                <c:ptCount val="3"/>
                <c:pt idx="0">
                  <c:v>78.048780487804876</c:v>
                </c:pt>
                <c:pt idx="1">
                  <c:v>11.973392461197339</c:v>
                </c:pt>
                <c:pt idx="2">
                  <c:v>9.9778270509977833</c:v>
                </c:pt>
              </c:numCache>
            </c:numRef>
          </c:val>
          <c:extLst>
            <c:ext xmlns:c16="http://schemas.microsoft.com/office/drawing/2014/chart" uri="{C3380CC4-5D6E-409C-BE32-E72D297353CC}">
              <c16:uniqueId val="{00000000-606C-4C61-A9C5-0D11487A2F03}"/>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868247950487724"/>
          <c:y val="0.34545454545454557"/>
          <c:w val="0.28742490522018105"/>
          <c:h val="0.3090909090909092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alignWithMargins="0"/>
    <c:pageMargins b="1" l="0.75000000000000022" r="0.75000000000000022" t="1" header="0" footer="0"/>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
          <c:y val="0"/>
          <c:w val="0.6870103704903211"/>
          <c:h val="0.83380542743649977"/>
        </c:manualLayout>
      </c:layout>
      <c:pie3DChart>
        <c:varyColors val="1"/>
        <c:ser>
          <c:idx val="0"/>
          <c:order val="0"/>
          <c:dPt>
            <c:idx val="2"/>
            <c:bubble3D val="0"/>
            <c:spPr>
              <a:solidFill>
                <a:srgbClr val="FFFF00"/>
              </a:solidFill>
            </c:spPr>
            <c:extLst>
              <c:ext xmlns:c16="http://schemas.microsoft.com/office/drawing/2014/chart" uri="{C3380CC4-5D6E-409C-BE32-E72D297353CC}">
                <c16:uniqueId val="{00000001-9C1A-4BF0-87C3-2A4F8069FFEB}"/>
              </c:ext>
            </c:extLst>
          </c:dPt>
          <c:cat>
            <c:strRef>
              <c:f>'COLOSTOMIAS E ILEOSTOMIAS'!$A$243:$A$245</c:f>
              <c:strCache>
                <c:ptCount val="3"/>
                <c:pt idx="0">
                  <c:v>H. DE C.</c:v>
                </c:pt>
                <c:pt idx="1">
                  <c:v>PROTEINAS</c:v>
                </c:pt>
                <c:pt idx="2">
                  <c:v>LIPIDOS</c:v>
                </c:pt>
              </c:strCache>
            </c:strRef>
          </c:cat>
          <c:val>
            <c:numRef>
              <c:f>'COLOSTOMIAS E ILEOSTOMIAS'!$B$243:$B$245</c:f>
              <c:numCache>
                <c:formatCode>0.00</c:formatCode>
                <c:ptCount val="3"/>
                <c:pt idx="0">
                  <c:v>54</c:v>
                </c:pt>
                <c:pt idx="1">
                  <c:v>18</c:v>
                </c:pt>
                <c:pt idx="2">
                  <c:v>28</c:v>
                </c:pt>
              </c:numCache>
            </c:numRef>
          </c:val>
          <c:extLst>
            <c:ext xmlns:c16="http://schemas.microsoft.com/office/drawing/2014/chart" uri="{C3380CC4-5D6E-409C-BE32-E72D297353CC}">
              <c16:uniqueId val="{00000002-9C1A-4BF0-87C3-2A4F8069FFEB}"/>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176469577666428"/>
          <c:y val="0.10322580645161299"/>
          <c:w val="0.34926461465044156"/>
          <c:h val="0.77419354838709675"/>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0.19883154486216689"/>
          <c:y val="0.10400000000000002"/>
          <c:w val="0.59649463458650065"/>
          <c:h val="0.51200000000000001"/>
        </c:manualLayout>
      </c:layout>
      <c:pie3DChart>
        <c:varyColors val="1"/>
        <c:ser>
          <c:idx val="0"/>
          <c:order val="0"/>
          <c:explosion val="25"/>
          <c:cat>
            <c:strRef>
              <c:f>'COLOSTOMIAS E ILEOSTOMIAS'!$A$212:$A$214</c:f>
              <c:strCache>
                <c:ptCount val="3"/>
                <c:pt idx="0">
                  <c:v>H. DE C.</c:v>
                </c:pt>
                <c:pt idx="1">
                  <c:v>PROTEINAS</c:v>
                </c:pt>
                <c:pt idx="2">
                  <c:v>LIPIDOS</c:v>
                </c:pt>
              </c:strCache>
            </c:strRef>
          </c:cat>
          <c:val>
            <c:numRef>
              <c:f>'COLOSTOMIAS E ILEOSTOMIAS'!$B$212:$B$214</c:f>
              <c:numCache>
                <c:formatCode>0.00</c:formatCode>
                <c:ptCount val="3"/>
                <c:pt idx="0">
                  <c:v>62.36297198538368</c:v>
                </c:pt>
                <c:pt idx="1">
                  <c:v>19.00121802679659</c:v>
                </c:pt>
                <c:pt idx="2">
                  <c:v>18.635809987819734</c:v>
                </c:pt>
              </c:numCache>
            </c:numRef>
          </c:val>
          <c:extLst>
            <c:ext xmlns:c16="http://schemas.microsoft.com/office/drawing/2014/chart" uri="{C3380CC4-5D6E-409C-BE32-E72D297353CC}">
              <c16:uniqueId val="{00000000-6C73-4DFE-9B64-C730A0A221F9}"/>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4.0000000000000015E-2"/>
          <c:y val="0.60800000000000021"/>
          <c:w val="0.91428811398575149"/>
          <c:h val="0.3680000000000001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0652361403387723E-2"/>
          <c:y val="0.25423834016791974"/>
          <c:w val="0.50543612388577341"/>
          <c:h val="0.49152745765797839"/>
        </c:manualLayout>
      </c:layout>
      <c:pie3DChart>
        <c:varyColors val="1"/>
        <c:ser>
          <c:idx val="0"/>
          <c:order val="0"/>
          <c:cat>
            <c:strRef>
              <c:f>'COLOSTOMIAS E ILEOSTOMIAS'!$A$227:$A$229</c:f>
              <c:strCache>
                <c:ptCount val="3"/>
                <c:pt idx="0">
                  <c:v>H. DE C.</c:v>
                </c:pt>
                <c:pt idx="1">
                  <c:v>PROTEINAS</c:v>
                </c:pt>
                <c:pt idx="2">
                  <c:v>LIPIDOS</c:v>
                </c:pt>
              </c:strCache>
            </c:strRef>
          </c:cat>
          <c:val>
            <c:numRef>
              <c:f>'COLOSTOMIAS E ILEOSTOMIAS'!$B$227:$B$229</c:f>
              <c:numCache>
                <c:formatCode>0.00</c:formatCode>
                <c:ptCount val="3"/>
                <c:pt idx="0">
                  <c:v>63.39622641509434</c:v>
                </c:pt>
                <c:pt idx="1">
                  <c:v>19.622641509433961</c:v>
                </c:pt>
                <c:pt idx="2">
                  <c:v>16.981132075471699</c:v>
                </c:pt>
              </c:numCache>
            </c:numRef>
          </c:val>
          <c:extLst>
            <c:ext xmlns:c16="http://schemas.microsoft.com/office/drawing/2014/chart" uri="{C3380CC4-5D6E-409C-BE32-E72D297353CC}">
              <c16:uniqueId val="{00000000-C8BC-411F-A5D8-4B8B7A74923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1075551039990963"/>
          <c:y val="0.19491614395658174"/>
          <c:w val="0.46774419326616434"/>
          <c:h val="0.6101721606833046"/>
        </c:manualLayout>
      </c:layout>
      <c:overlay val="0"/>
      <c:txPr>
        <a:bodyPr/>
        <a:lstStyle/>
        <a:p>
          <a:pPr>
            <a:defRPr sz="920" b="0" i="0" u="none" strike="noStrike" baseline="0">
              <a:solidFill>
                <a:srgbClr val="333333"/>
              </a:solidFill>
              <a:latin typeface="Calibri"/>
              <a:ea typeface="Calibri"/>
              <a:cs typeface="Calibri"/>
            </a:defRPr>
          </a:pPr>
          <a:endParaRPr lang="es-MX"/>
        </a:p>
      </c:txPr>
    </c:legend>
    <c:plotVisOnly val="1"/>
    <c:dispBlanksAs val="zero"/>
    <c:showDLblsOverMax val="0"/>
  </c:chart>
  <c:txPr>
    <a:bodyPr/>
    <a:lstStyle/>
    <a:p>
      <a:pPr>
        <a:defRPr sz="1000" b="0" i="0" u="none" strike="noStrike" baseline="0">
          <a:solidFill>
            <a:srgbClr val="333333"/>
          </a:solidFill>
          <a:latin typeface="Calibri"/>
          <a:ea typeface="Calibri"/>
          <a:cs typeface="Calibri"/>
        </a:defRPr>
      </a:pPr>
      <a:endParaRPr lang="es-MX"/>
    </a:p>
  </c:txPr>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gif"/><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gif"/><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1.gif"/><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NULL"/><Relationship Id="rId5" Type="http://schemas.openxmlformats.org/officeDocument/2006/relationships/hyperlink" Target="http://www.mipediatra.com/alimentacion/bmi-ninos.ht" TargetMode="Externa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image" Target="NUL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gif"/><Relationship Id="rId5" Type="http://schemas.openxmlformats.org/officeDocument/2006/relationships/chart" Target="../charts/chart20.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8" Type="http://schemas.openxmlformats.org/officeDocument/2006/relationships/image" Target="../media/image3.jpg"/><Relationship Id="rId3" Type="http://schemas.openxmlformats.org/officeDocument/2006/relationships/chart" Target="../charts/chart23.xml"/><Relationship Id="rId7" Type="http://schemas.openxmlformats.org/officeDocument/2006/relationships/image" Target="NUL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image" Target="../media/image1.gif"/><Relationship Id="rId5" Type="http://schemas.openxmlformats.org/officeDocument/2006/relationships/chart" Target="../charts/chart25.xml"/><Relationship Id="rId4"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8" Type="http://schemas.openxmlformats.org/officeDocument/2006/relationships/image" Target="../media/image1.gif"/><Relationship Id="rId3" Type="http://schemas.openxmlformats.org/officeDocument/2006/relationships/chart" Target="../charts/chart28.xml"/><Relationship Id="rId7" Type="http://schemas.openxmlformats.org/officeDocument/2006/relationships/chart" Target="../charts/chart30.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image" Target="NULL"/><Relationship Id="rId5" Type="http://schemas.openxmlformats.org/officeDocument/2006/relationships/hyperlink" Target="http://www.mipediatra.com/alimentacion/bmi-ninos.ht" TargetMode="External"/><Relationship Id="rId4"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8" Type="http://schemas.openxmlformats.org/officeDocument/2006/relationships/image" Target="../media/image3.jpg"/><Relationship Id="rId3" Type="http://schemas.openxmlformats.org/officeDocument/2006/relationships/chart" Target="../charts/chart33.xml"/><Relationship Id="rId7" Type="http://schemas.openxmlformats.org/officeDocument/2006/relationships/image" Target="NUL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image" Target="../media/image1.gif"/><Relationship Id="rId5" Type="http://schemas.openxmlformats.org/officeDocument/2006/relationships/chart" Target="../charts/chart35.xml"/><Relationship Id="rId4" Type="http://schemas.openxmlformats.org/officeDocument/2006/relationships/chart" Target="../charts/chart34.xml"/></Relationships>
</file>

<file path=xl/drawings/_rels/drawing8.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chart" Target="../charts/chart38.xml"/><Relationship Id="rId7" Type="http://schemas.openxmlformats.org/officeDocument/2006/relationships/hyperlink" Target="http://www.mipediatra.com/alimentacion/bmi-ninos.ht" TargetMode="Externa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image" Target="../media/image1.gif"/><Relationship Id="rId5" Type="http://schemas.openxmlformats.org/officeDocument/2006/relationships/chart" Target="../charts/chart40.xml"/><Relationship Id="rId4" Type="http://schemas.openxmlformats.org/officeDocument/2006/relationships/chart" Target="../charts/chart39.xml"/></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43.xml"/><Relationship Id="rId7" Type="http://schemas.openxmlformats.org/officeDocument/2006/relationships/image" Target="../media/image2.png"/><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image" Target="../media/image5.png"/><Relationship Id="rId5" Type="http://schemas.openxmlformats.org/officeDocument/2006/relationships/image" Target="../media/image1.gif"/><Relationship Id="rId4" Type="http://schemas.openxmlformats.org/officeDocument/2006/relationships/chart" Target="../charts/chart4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47.xml"/><Relationship Id="rId7" Type="http://schemas.openxmlformats.org/officeDocument/2006/relationships/image" Target="../media/image2.png"/><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image" Target="../media/image5.png"/><Relationship Id="rId5" Type="http://schemas.openxmlformats.org/officeDocument/2006/relationships/image" Target="../media/image1.gif"/><Relationship Id="rId4"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141</xdr:row>
      <xdr:rowOff>114300</xdr:rowOff>
    </xdr:from>
    <xdr:to>
      <xdr:col>13</xdr:col>
      <xdr:colOff>142875</xdr:colOff>
      <xdr:row>148</xdr:row>
      <xdr:rowOff>180975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228600</xdr:colOff>
      <xdr:row>7</xdr:row>
      <xdr:rowOff>95249</xdr:rowOff>
    </xdr:from>
    <xdr:to>
      <xdr:col>13</xdr:col>
      <xdr:colOff>571501</xdr:colOff>
      <xdr:row>14</xdr:row>
      <xdr:rowOff>200024</xdr:rowOff>
    </xdr:to>
    <xdr:graphicFrame macro="">
      <xdr:nvGraphicFramePr>
        <xdr:cNvPr id="6"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63340</xdr:rowOff>
    </xdr:from>
    <xdr:to>
      <xdr:col>1</xdr:col>
      <xdr:colOff>45149</xdr:colOff>
      <xdr:row>2</xdr:row>
      <xdr:rowOff>174784</xdr:rowOff>
    </xdr:to>
    <xdr:pic>
      <xdr:nvPicPr>
        <xdr:cNvPr id="7" name="6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3340"/>
          <a:ext cx="635699" cy="492444"/>
        </a:xfrm>
        <a:prstGeom prst="rect">
          <a:avLst/>
        </a:prstGeom>
      </xdr:spPr>
    </xdr:pic>
    <xdr:clientData/>
  </xdr:twoCellAnchor>
  <xdr:twoCellAnchor editAs="oneCell">
    <xdr:from>
      <xdr:col>0</xdr:col>
      <xdr:colOff>197166</xdr:colOff>
      <xdr:row>180</xdr:row>
      <xdr:rowOff>0</xdr:rowOff>
    </xdr:from>
    <xdr:to>
      <xdr:col>1</xdr:col>
      <xdr:colOff>304799</xdr:colOff>
      <xdr:row>182</xdr:row>
      <xdr:rowOff>115302</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7166" y="35759607"/>
          <a:ext cx="698183" cy="496302"/>
        </a:xfrm>
        <a:prstGeom prst="rect">
          <a:avLst/>
        </a:prstGeom>
      </xdr:spPr>
    </xdr:pic>
    <xdr:clientData/>
  </xdr:twoCellAnchor>
  <xdr:twoCellAnchor editAs="oneCell">
    <xdr:from>
      <xdr:col>0</xdr:col>
      <xdr:colOff>44767</xdr:colOff>
      <xdr:row>273</xdr:row>
      <xdr:rowOff>167690</xdr:rowOff>
    </xdr:from>
    <xdr:to>
      <xdr:col>0</xdr:col>
      <xdr:colOff>559117</xdr:colOff>
      <xdr:row>276</xdr:row>
      <xdr:rowOff>92492</xdr:rowOff>
    </xdr:to>
    <xdr:pic>
      <xdr:nvPicPr>
        <xdr:cNvPr id="9" name="8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767" y="53517215"/>
          <a:ext cx="514350" cy="496302"/>
        </a:xfrm>
        <a:prstGeom prst="rect">
          <a:avLst/>
        </a:prstGeom>
      </xdr:spPr>
    </xdr:pic>
    <xdr:clientData/>
  </xdr:twoCellAnchor>
  <xdr:twoCellAnchor editAs="oneCell">
    <xdr:from>
      <xdr:col>0</xdr:col>
      <xdr:colOff>247650</xdr:colOff>
      <xdr:row>367</xdr:row>
      <xdr:rowOff>19050</xdr:rowOff>
    </xdr:from>
    <xdr:to>
      <xdr:col>1</xdr:col>
      <xdr:colOff>22860</xdr:colOff>
      <xdr:row>368</xdr:row>
      <xdr:rowOff>181476</xdr:rowOff>
    </xdr:to>
    <xdr:pic>
      <xdr:nvPicPr>
        <xdr:cNvPr id="10" name="9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7650" y="71085075"/>
          <a:ext cx="365760" cy="352926"/>
        </a:xfrm>
        <a:prstGeom prst="rect">
          <a:avLst/>
        </a:prstGeom>
      </xdr:spPr>
    </xdr:pic>
    <xdr:clientData/>
  </xdr:twoCellAnchor>
  <xdr:twoCellAnchor editAs="oneCell">
    <xdr:from>
      <xdr:col>0</xdr:col>
      <xdr:colOff>114300</xdr:colOff>
      <xdr:row>412</xdr:row>
      <xdr:rowOff>9525</xdr:rowOff>
    </xdr:from>
    <xdr:to>
      <xdr:col>0</xdr:col>
      <xdr:colOff>480060</xdr:colOff>
      <xdr:row>413</xdr:row>
      <xdr:rowOff>171951</xdr:rowOff>
    </xdr:to>
    <xdr:pic>
      <xdr:nvPicPr>
        <xdr:cNvPr id="11" name="10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 y="79905225"/>
          <a:ext cx="365760" cy="352926"/>
        </a:xfrm>
        <a:prstGeom prst="rect">
          <a:avLst/>
        </a:prstGeom>
      </xdr:spPr>
    </xdr:pic>
    <xdr:clientData/>
  </xdr:twoCellAnchor>
  <xdr:twoCellAnchor editAs="oneCell">
    <xdr:from>
      <xdr:col>12</xdr:col>
      <xdr:colOff>119010</xdr:colOff>
      <xdr:row>180</xdr:row>
      <xdr:rowOff>0</xdr:rowOff>
    </xdr:from>
    <xdr:to>
      <xdr:col>13</xdr:col>
      <xdr:colOff>390339</xdr:colOff>
      <xdr:row>182</xdr:row>
      <xdr:rowOff>171450</xdr:rowOff>
    </xdr:to>
    <xdr:pic>
      <xdr:nvPicPr>
        <xdr:cNvPr id="12" name="11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86260" y="35652076"/>
          <a:ext cx="1061904" cy="552450"/>
        </a:xfrm>
        <a:prstGeom prst="rect">
          <a:avLst/>
        </a:prstGeom>
      </xdr:spPr>
    </xdr:pic>
    <xdr:clientData/>
  </xdr:twoCellAnchor>
  <xdr:twoCellAnchor editAs="oneCell">
    <xdr:from>
      <xdr:col>12</xdr:col>
      <xdr:colOff>0</xdr:colOff>
      <xdr:row>274</xdr:row>
      <xdr:rowOff>19049</xdr:rowOff>
    </xdr:from>
    <xdr:to>
      <xdr:col>13</xdr:col>
      <xdr:colOff>271329</xdr:colOff>
      <xdr:row>276</xdr:row>
      <xdr:rowOff>171450</xdr:rowOff>
    </xdr:to>
    <xdr:pic>
      <xdr:nvPicPr>
        <xdr:cNvPr id="13" name="12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67250" y="53559074"/>
          <a:ext cx="1061904" cy="533401"/>
        </a:xfrm>
        <a:prstGeom prst="rect">
          <a:avLst/>
        </a:prstGeom>
      </xdr:spPr>
    </xdr:pic>
    <xdr:clientData/>
  </xdr:twoCellAnchor>
  <xdr:twoCellAnchor editAs="oneCell">
    <xdr:from>
      <xdr:col>11</xdr:col>
      <xdr:colOff>285750</xdr:colOff>
      <xdr:row>0</xdr:row>
      <xdr:rowOff>9525</xdr:rowOff>
    </xdr:from>
    <xdr:to>
      <xdr:col>13</xdr:col>
      <xdr:colOff>233229</xdr:colOff>
      <xdr:row>2</xdr:row>
      <xdr:rowOff>180975</xdr:rowOff>
    </xdr:to>
    <xdr:pic>
      <xdr:nvPicPr>
        <xdr:cNvPr id="14" name="13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9525"/>
          <a:ext cx="1061904" cy="552450"/>
        </a:xfrm>
        <a:prstGeom prst="rect">
          <a:avLst/>
        </a:prstGeom>
      </xdr:spPr>
    </xdr:pic>
    <xdr:clientData/>
  </xdr:twoCellAnchor>
  <xdr:twoCellAnchor editAs="oneCell">
    <xdr:from>
      <xdr:col>11</xdr:col>
      <xdr:colOff>285750</xdr:colOff>
      <xdr:row>0</xdr:row>
      <xdr:rowOff>9525</xdr:rowOff>
    </xdr:from>
    <xdr:to>
      <xdr:col>13</xdr:col>
      <xdr:colOff>233229</xdr:colOff>
      <xdr:row>2</xdr:row>
      <xdr:rowOff>180975</xdr:rowOff>
    </xdr:to>
    <xdr:pic>
      <xdr:nvPicPr>
        <xdr:cNvPr id="17" name="16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9525"/>
          <a:ext cx="1061904" cy="552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141</xdr:row>
      <xdr:rowOff>114300</xdr:rowOff>
    </xdr:from>
    <xdr:to>
      <xdr:col>13</xdr:col>
      <xdr:colOff>142875</xdr:colOff>
      <xdr:row>148</xdr:row>
      <xdr:rowOff>180975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228600</xdr:colOff>
      <xdr:row>7</xdr:row>
      <xdr:rowOff>95249</xdr:rowOff>
    </xdr:from>
    <xdr:to>
      <xdr:col>13</xdr:col>
      <xdr:colOff>571501</xdr:colOff>
      <xdr:row>14</xdr:row>
      <xdr:rowOff>200024</xdr:rowOff>
    </xdr:to>
    <xdr:graphicFrame macro="">
      <xdr:nvGraphicFramePr>
        <xdr:cNvPr id="6"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63340</xdr:rowOff>
    </xdr:from>
    <xdr:to>
      <xdr:col>1</xdr:col>
      <xdr:colOff>45149</xdr:colOff>
      <xdr:row>2</xdr:row>
      <xdr:rowOff>174784</xdr:rowOff>
    </xdr:to>
    <xdr:pic>
      <xdr:nvPicPr>
        <xdr:cNvPr id="7" name="6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3340"/>
          <a:ext cx="635699" cy="492444"/>
        </a:xfrm>
        <a:prstGeom prst="rect">
          <a:avLst/>
        </a:prstGeom>
      </xdr:spPr>
    </xdr:pic>
    <xdr:clientData/>
  </xdr:twoCellAnchor>
  <xdr:twoCellAnchor editAs="oneCell">
    <xdr:from>
      <xdr:col>0</xdr:col>
      <xdr:colOff>197166</xdr:colOff>
      <xdr:row>226</xdr:row>
      <xdr:rowOff>155157</xdr:rowOff>
    </xdr:from>
    <xdr:to>
      <xdr:col>1</xdr:col>
      <xdr:colOff>304799</xdr:colOff>
      <xdr:row>229</xdr:row>
      <xdr:rowOff>79959</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7166" y="36016782"/>
          <a:ext cx="698183" cy="496302"/>
        </a:xfrm>
        <a:prstGeom prst="rect">
          <a:avLst/>
        </a:prstGeom>
      </xdr:spPr>
    </xdr:pic>
    <xdr:clientData/>
  </xdr:twoCellAnchor>
  <xdr:twoCellAnchor editAs="oneCell">
    <xdr:from>
      <xdr:col>0</xdr:col>
      <xdr:colOff>44767</xdr:colOff>
      <xdr:row>320</xdr:row>
      <xdr:rowOff>167690</xdr:rowOff>
    </xdr:from>
    <xdr:to>
      <xdr:col>0</xdr:col>
      <xdr:colOff>559117</xdr:colOff>
      <xdr:row>323</xdr:row>
      <xdr:rowOff>92492</xdr:rowOff>
    </xdr:to>
    <xdr:pic>
      <xdr:nvPicPr>
        <xdr:cNvPr id="9" name="8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767" y="54155390"/>
          <a:ext cx="514350" cy="496302"/>
        </a:xfrm>
        <a:prstGeom prst="rect">
          <a:avLst/>
        </a:prstGeom>
      </xdr:spPr>
    </xdr:pic>
    <xdr:clientData/>
  </xdr:twoCellAnchor>
  <xdr:twoCellAnchor editAs="oneCell">
    <xdr:from>
      <xdr:col>0</xdr:col>
      <xdr:colOff>247650</xdr:colOff>
      <xdr:row>414</xdr:row>
      <xdr:rowOff>19050</xdr:rowOff>
    </xdr:from>
    <xdr:to>
      <xdr:col>1</xdr:col>
      <xdr:colOff>22860</xdr:colOff>
      <xdr:row>415</xdr:row>
      <xdr:rowOff>181476</xdr:rowOff>
    </xdr:to>
    <xdr:pic>
      <xdr:nvPicPr>
        <xdr:cNvPr id="10" name="9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7650" y="71913750"/>
          <a:ext cx="365760" cy="352926"/>
        </a:xfrm>
        <a:prstGeom prst="rect">
          <a:avLst/>
        </a:prstGeom>
      </xdr:spPr>
    </xdr:pic>
    <xdr:clientData/>
  </xdr:twoCellAnchor>
  <xdr:twoCellAnchor editAs="oneCell">
    <xdr:from>
      <xdr:col>0</xdr:col>
      <xdr:colOff>114300</xdr:colOff>
      <xdr:row>459</xdr:row>
      <xdr:rowOff>9525</xdr:rowOff>
    </xdr:from>
    <xdr:to>
      <xdr:col>0</xdr:col>
      <xdr:colOff>480060</xdr:colOff>
      <xdr:row>460</xdr:row>
      <xdr:rowOff>171951</xdr:rowOff>
    </xdr:to>
    <xdr:pic>
      <xdr:nvPicPr>
        <xdr:cNvPr id="11" name="10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 y="80733900"/>
          <a:ext cx="365760" cy="352926"/>
        </a:xfrm>
        <a:prstGeom prst="rect">
          <a:avLst/>
        </a:prstGeom>
      </xdr:spPr>
    </xdr:pic>
    <xdr:clientData/>
  </xdr:twoCellAnchor>
  <xdr:twoCellAnchor editAs="oneCell">
    <xdr:from>
      <xdr:col>12</xdr:col>
      <xdr:colOff>119010</xdr:colOff>
      <xdr:row>226</xdr:row>
      <xdr:rowOff>47626</xdr:rowOff>
    </xdr:from>
    <xdr:to>
      <xdr:col>13</xdr:col>
      <xdr:colOff>390339</xdr:colOff>
      <xdr:row>229</xdr:row>
      <xdr:rowOff>28576</xdr:rowOff>
    </xdr:to>
    <xdr:pic>
      <xdr:nvPicPr>
        <xdr:cNvPr id="12" name="11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86260" y="35909251"/>
          <a:ext cx="1061904" cy="552450"/>
        </a:xfrm>
        <a:prstGeom prst="rect">
          <a:avLst/>
        </a:prstGeom>
      </xdr:spPr>
    </xdr:pic>
    <xdr:clientData/>
  </xdr:twoCellAnchor>
  <xdr:twoCellAnchor editAs="oneCell">
    <xdr:from>
      <xdr:col>12</xdr:col>
      <xdr:colOff>0</xdr:colOff>
      <xdr:row>321</xdr:row>
      <xdr:rowOff>19049</xdr:rowOff>
    </xdr:from>
    <xdr:to>
      <xdr:col>13</xdr:col>
      <xdr:colOff>271329</xdr:colOff>
      <xdr:row>323</xdr:row>
      <xdr:rowOff>171450</xdr:rowOff>
    </xdr:to>
    <xdr:pic>
      <xdr:nvPicPr>
        <xdr:cNvPr id="13" name="12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67250" y="54197249"/>
          <a:ext cx="1061904" cy="533401"/>
        </a:xfrm>
        <a:prstGeom prst="rect">
          <a:avLst/>
        </a:prstGeom>
      </xdr:spPr>
    </xdr:pic>
    <xdr:clientData/>
  </xdr:twoCellAnchor>
  <xdr:twoCellAnchor editAs="oneCell">
    <xdr:from>
      <xdr:col>11</xdr:col>
      <xdr:colOff>285750</xdr:colOff>
      <xdr:row>0</xdr:row>
      <xdr:rowOff>9525</xdr:rowOff>
    </xdr:from>
    <xdr:to>
      <xdr:col>13</xdr:col>
      <xdr:colOff>233229</xdr:colOff>
      <xdr:row>2</xdr:row>
      <xdr:rowOff>180975</xdr:rowOff>
    </xdr:to>
    <xdr:pic>
      <xdr:nvPicPr>
        <xdr:cNvPr id="14" name="13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9525"/>
          <a:ext cx="1061904" cy="552450"/>
        </a:xfrm>
        <a:prstGeom prst="rect">
          <a:avLst/>
        </a:prstGeom>
      </xdr:spPr>
    </xdr:pic>
    <xdr:clientData/>
  </xdr:twoCellAnchor>
  <xdr:twoCellAnchor editAs="oneCell">
    <xdr:from>
      <xdr:col>11</xdr:col>
      <xdr:colOff>285750</xdr:colOff>
      <xdr:row>0</xdr:row>
      <xdr:rowOff>9525</xdr:rowOff>
    </xdr:from>
    <xdr:to>
      <xdr:col>13</xdr:col>
      <xdr:colOff>233229</xdr:colOff>
      <xdr:row>2</xdr:row>
      <xdr:rowOff>180975</xdr:rowOff>
    </xdr:to>
    <xdr:pic>
      <xdr:nvPicPr>
        <xdr:cNvPr id="15" name="14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9525"/>
          <a:ext cx="1061904" cy="552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104775</xdr:colOff>
      <xdr:row>379</xdr:row>
      <xdr:rowOff>28567</xdr:rowOff>
    </xdr:from>
    <xdr:to>
      <xdr:col>13</xdr:col>
      <xdr:colOff>188419</xdr:colOff>
      <xdr:row>415</xdr:row>
      <xdr:rowOff>154567</xdr:rowOff>
    </xdr:to>
    <xdr:pic>
      <xdr:nvPicPr>
        <xdr:cNvPr id="8" name="7 Imagen" descr="Haga click en la gráfica  para abrirla amplificada en una nueva ventana">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4775" y="73028167"/>
          <a:ext cx="5589094" cy="698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9" name="8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twoCellAnchor editAs="oneCell">
    <xdr:from>
      <xdr:col>12</xdr:col>
      <xdr:colOff>238126</xdr:colOff>
      <xdr:row>182</xdr:row>
      <xdr:rowOff>33058</xdr:rowOff>
    </xdr:from>
    <xdr:to>
      <xdr:col>13</xdr:col>
      <xdr:colOff>590551</xdr:colOff>
      <xdr:row>185</xdr:row>
      <xdr:rowOff>66676</xdr:rowOff>
    </xdr:to>
    <xdr:pic>
      <xdr:nvPicPr>
        <xdr:cNvPr id="9" name="5 Imagen"/>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905376" y="35932783"/>
          <a:ext cx="1143000" cy="605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twoCellAnchor editAs="oneCell">
    <xdr:from>
      <xdr:col>12</xdr:col>
      <xdr:colOff>238126</xdr:colOff>
      <xdr:row>182</xdr:row>
      <xdr:rowOff>33058</xdr:rowOff>
    </xdr:from>
    <xdr:to>
      <xdr:col>13</xdr:col>
      <xdr:colOff>590551</xdr:colOff>
      <xdr:row>185</xdr:row>
      <xdr:rowOff>66676</xdr:rowOff>
    </xdr:to>
    <xdr:pic>
      <xdr:nvPicPr>
        <xdr:cNvPr id="9" name="5 Imagen"/>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905376" y="35904208"/>
          <a:ext cx="1143000" cy="605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379</xdr:row>
      <xdr:rowOff>0</xdr:rowOff>
    </xdr:from>
    <xdr:to>
      <xdr:col>13</xdr:col>
      <xdr:colOff>704849</xdr:colOff>
      <xdr:row>415</xdr:row>
      <xdr:rowOff>0</xdr:rowOff>
    </xdr:to>
    <xdr:pic>
      <xdr:nvPicPr>
        <xdr:cNvPr id="10" name="10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73475850"/>
          <a:ext cx="6162674" cy="685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104775</xdr:colOff>
      <xdr:row>379</xdr:row>
      <xdr:rowOff>28567</xdr:rowOff>
    </xdr:from>
    <xdr:to>
      <xdr:col>13</xdr:col>
      <xdr:colOff>236044</xdr:colOff>
      <xdr:row>415</xdr:row>
      <xdr:rowOff>154567</xdr:rowOff>
    </xdr:to>
    <xdr:pic>
      <xdr:nvPicPr>
        <xdr:cNvPr id="6" name="5 Imagen" descr="Haga click en la gráfica  para abrirla amplificada en una nueva ventana">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4775" y="73504417"/>
          <a:ext cx="5589094" cy="698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8" name="7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twoCellAnchor editAs="oneCell">
    <xdr:from>
      <xdr:col>12</xdr:col>
      <xdr:colOff>238126</xdr:colOff>
      <xdr:row>182</xdr:row>
      <xdr:rowOff>33058</xdr:rowOff>
    </xdr:from>
    <xdr:to>
      <xdr:col>13</xdr:col>
      <xdr:colOff>590551</xdr:colOff>
      <xdr:row>185</xdr:row>
      <xdr:rowOff>66676</xdr:rowOff>
    </xdr:to>
    <xdr:pic>
      <xdr:nvPicPr>
        <xdr:cNvPr id="9" name="5 Imagen"/>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905376" y="35913733"/>
          <a:ext cx="1143000" cy="605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twoCellAnchor editAs="oneCell">
    <xdr:from>
      <xdr:col>12</xdr:col>
      <xdr:colOff>238126</xdr:colOff>
      <xdr:row>182</xdr:row>
      <xdr:rowOff>33058</xdr:rowOff>
    </xdr:from>
    <xdr:to>
      <xdr:col>13</xdr:col>
      <xdr:colOff>590551</xdr:colOff>
      <xdr:row>185</xdr:row>
      <xdr:rowOff>66676</xdr:rowOff>
    </xdr:to>
    <xdr:pic>
      <xdr:nvPicPr>
        <xdr:cNvPr id="9" name="5 Imagen"/>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905376" y="35904208"/>
          <a:ext cx="1143000" cy="605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379</xdr:row>
      <xdr:rowOff>0</xdr:rowOff>
    </xdr:from>
    <xdr:to>
      <xdr:col>13</xdr:col>
      <xdr:colOff>704849</xdr:colOff>
      <xdr:row>415</xdr:row>
      <xdr:rowOff>0</xdr:rowOff>
    </xdr:to>
    <xdr:pic>
      <xdr:nvPicPr>
        <xdr:cNvPr id="10" name="10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73466325"/>
          <a:ext cx="6162674" cy="685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142</xdr:row>
      <xdr:rowOff>190500</xdr:rowOff>
    </xdr:from>
    <xdr:to>
      <xdr:col>13</xdr:col>
      <xdr:colOff>142875</xdr:colOff>
      <xdr:row>150</xdr:row>
      <xdr:rowOff>142875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438150</xdr:colOff>
      <xdr:row>11</xdr:row>
      <xdr:rowOff>185737</xdr:rowOff>
    </xdr:from>
    <xdr:to>
      <xdr:col>27</xdr:col>
      <xdr:colOff>438150</xdr:colOff>
      <xdr:row>25</xdr:row>
      <xdr:rowOff>157162</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180975</xdr:colOff>
      <xdr:row>0</xdr:row>
      <xdr:rowOff>38100</xdr:rowOff>
    </xdr:from>
    <xdr:to>
      <xdr:col>1</xdr:col>
      <xdr:colOff>254000</xdr:colOff>
      <xdr:row>2</xdr:row>
      <xdr:rowOff>180975</xdr:rowOff>
    </xdr:to>
    <xdr:pic>
      <xdr:nvPicPr>
        <xdr:cNvPr id="8" name="7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0975" y="38100"/>
          <a:ext cx="663575" cy="523875"/>
        </a:xfrm>
        <a:prstGeom prst="rect">
          <a:avLst/>
        </a:prstGeom>
      </xdr:spPr>
    </xdr:pic>
    <xdr:clientData/>
  </xdr:twoCellAnchor>
  <xdr:twoCellAnchor editAs="oneCell">
    <xdr:from>
      <xdr:col>0</xdr:col>
      <xdr:colOff>0</xdr:colOff>
      <xdr:row>379</xdr:row>
      <xdr:rowOff>0</xdr:rowOff>
    </xdr:from>
    <xdr:to>
      <xdr:col>13</xdr:col>
      <xdr:colOff>131269</xdr:colOff>
      <xdr:row>415</xdr:row>
      <xdr:rowOff>126000</xdr:rowOff>
    </xdr:to>
    <xdr:pic>
      <xdr:nvPicPr>
        <xdr:cNvPr id="11" name="10 Imagen" descr="Haga click en la gráfica  para abrirla amplificada en una nueva ventana">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73847325"/>
          <a:ext cx="5589094" cy="698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97</xdr:row>
      <xdr:rowOff>152400</xdr:rowOff>
    </xdr:from>
    <xdr:to>
      <xdr:col>11</xdr:col>
      <xdr:colOff>47625</xdr:colOff>
      <xdr:row>103</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141</xdr:row>
      <xdr:rowOff>114300</xdr:rowOff>
    </xdr:from>
    <xdr:to>
      <xdr:col>13</xdr:col>
      <xdr:colOff>142875</xdr:colOff>
      <xdr:row>148</xdr:row>
      <xdr:rowOff>180975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111</xdr:row>
      <xdr:rowOff>76200</xdr:rowOff>
    </xdr:from>
    <xdr:to>
      <xdr:col>11</xdr:col>
      <xdr:colOff>228600</xdr:colOff>
      <xdr:row>117</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127</xdr:row>
      <xdr:rowOff>19050</xdr:rowOff>
    </xdr:from>
    <xdr:to>
      <xdr:col>11</xdr:col>
      <xdr:colOff>247650</xdr:colOff>
      <xdr:row>133</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53815</xdr:rowOff>
    </xdr:from>
    <xdr:to>
      <xdr:col>1</xdr:col>
      <xdr:colOff>9525</xdr:colOff>
      <xdr:row>2</xdr:row>
      <xdr:rowOff>137663</xdr:rowOff>
    </xdr:to>
    <xdr:pic>
      <xdr:nvPicPr>
        <xdr:cNvPr id="7" name="6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53815"/>
          <a:ext cx="600075" cy="464848"/>
        </a:xfrm>
        <a:prstGeom prst="rect">
          <a:avLst/>
        </a:prstGeom>
      </xdr:spPr>
    </xdr:pic>
    <xdr:clientData/>
  </xdr:twoCellAnchor>
  <xdr:twoCellAnchor editAs="oneCell">
    <xdr:from>
      <xdr:col>0</xdr:col>
      <xdr:colOff>159066</xdr:colOff>
      <xdr:row>181</xdr:row>
      <xdr:rowOff>38100</xdr:rowOff>
    </xdr:from>
    <xdr:to>
      <xdr:col>1</xdr:col>
      <xdr:colOff>266699</xdr:colOff>
      <xdr:row>183</xdr:row>
      <xdr:rowOff>153402</xdr:rowOff>
    </xdr:to>
    <xdr:pic>
      <xdr:nvPicPr>
        <xdr:cNvPr id="8" name="7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066" y="35471100"/>
          <a:ext cx="698183" cy="496302"/>
        </a:xfrm>
        <a:prstGeom prst="rect">
          <a:avLst/>
        </a:prstGeom>
      </xdr:spPr>
    </xdr:pic>
    <xdr:clientData/>
  </xdr:twoCellAnchor>
  <xdr:twoCellAnchor editAs="oneCell">
    <xdr:from>
      <xdr:col>0</xdr:col>
      <xdr:colOff>44767</xdr:colOff>
      <xdr:row>275</xdr:row>
      <xdr:rowOff>15290</xdr:rowOff>
    </xdr:from>
    <xdr:to>
      <xdr:col>0</xdr:col>
      <xdr:colOff>559117</xdr:colOff>
      <xdr:row>277</xdr:row>
      <xdr:rowOff>130592</xdr:rowOff>
    </xdr:to>
    <xdr:pic>
      <xdr:nvPicPr>
        <xdr:cNvPr id="9" name="8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767" y="54002990"/>
          <a:ext cx="514350" cy="496302"/>
        </a:xfrm>
        <a:prstGeom prst="rect">
          <a:avLst/>
        </a:prstGeom>
      </xdr:spPr>
    </xdr:pic>
    <xdr:clientData/>
  </xdr:twoCellAnchor>
  <xdr:twoCellAnchor editAs="oneCell">
    <xdr:from>
      <xdr:col>0</xdr:col>
      <xdr:colOff>247650</xdr:colOff>
      <xdr:row>367</xdr:row>
      <xdr:rowOff>19050</xdr:rowOff>
    </xdr:from>
    <xdr:to>
      <xdr:col>1</xdr:col>
      <xdr:colOff>22860</xdr:colOff>
      <xdr:row>368</xdr:row>
      <xdr:rowOff>181476</xdr:rowOff>
    </xdr:to>
    <xdr:pic>
      <xdr:nvPicPr>
        <xdr:cNvPr id="10" name="9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7650" y="71018400"/>
          <a:ext cx="365760" cy="352926"/>
        </a:xfrm>
        <a:prstGeom prst="rect">
          <a:avLst/>
        </a:prstGeom>
      </xdr:spPr>
    </xdr:pic>
    <xdr:clientData/>
  </xdr:twoCellAnchor>
  <xdr:twoCellAnchor editAs="oneCell">
    <xdr:from>
      <xdr:col>0</xdr:col>
      <xdr:colOff>114300</xdr:colOff>
      <xdr:row>412</xdr:row>
      <xdr:rowOff>9525</xdr:rowOff>
    </xdr:from>
    <xdr:to>
      <xdr:col>0</xdr:col>
      <xdr:colOff>480060</xdr:colOff>
      <xdr:row>413</xdr:row>
      <xdr:rowOff>171951</xdr:rowOff>
    </xdr:to>
    <xdr:pic>
      <xdr:nvPicPr>
        <xdr:cNvPr id="11" name="10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300" y="79857600"/>
          <a:ext cx="365760" cy="352926"/>
        </a:xfrm>
        <a:prstGeom prst="rect">
          <a:avLst/>
        </a:prstGeom>
      </xdr:spPr>
    </xdr:pic>
    <xdr:clientData/>
  </xdr:twoCellAnchor>
  <xdr:twoCellAnchor editAs="oneCell">
    <xdr:from>
      <xdr:col>12</xdr:col>
      <xdr:colOff>119010</xdr:colOff>
      <xdr:row>181</xdr:row>
      <xdr:rowOff>66675</xdr:rowOff>
    </xdr:from>
    <xdr:to>
      <xdr:col>13</xdr:col>
      <xdr:colOff>238125</xdr:colOff>
      <xdr:row>183</xdr:row>
      <xdr:rowOff>158936</xdr:rowOff>
    </xdr:to>
    <xdr:pic>
      <xdr:nvPicPr>
        <xdr:cNvPr id="13" name="12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86260" y="35499675"/>
          <a:ext cx="909690" cy="473261"/>
        </a:xfrm>
        <a:prstGeom prst="rect">
          <a:avLst/>
        </a:prstGeom>
      </xdr:spPr>
    </xdr:pic>
    <xdr:clientData/>
  </xdr:twoCellAnchor>
  <xdr:twoCellAnchor editAs="oneCell">
    <xdr:from>
      <xdr:col>12</xdr:col>
      <xdr:colOff>0</xdr:colOff>
      <xdr:row>275</xdr:row>
      <xdr:rowOff>19049</xdr:rowOff>
    </xdr:from>
    <xdr:to>
      <xdr:col>13</xdr:col>
      <xdr:colOff>271329</xdr:colOff>
      <xdr:row>277</xdr:row>
      <xdr:rowOff>171450</xdr:rowOff>
    </xdr:to>
    <xdr:pic>
      <xdr:nvPicPr>
        <xdr:cNvPr id="14" name="13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67250" y="53673374"/>
          <a:ext cx="1061904" cy="533401"/>
        </a:xfrm>
        <a:prstGeom prst="rect">
          <a:avLst/>
        </a:prstGeom>
      </xdr:spPr>
    </xdr:pic>
    <xdr:clientData/>
  </xdr:twoCellAnchor>
  <xdr:twoCellAnchor editAs="oneCell">
    <xdr:from>
      <xdr:col>11</xdr:col>
      <xdr:colOff>285750</xdr:colOff>
      <xdr:row>0</xdr:row>
      <xdr:rowOff>19050</xdr:rowOff>
    </xdr:from>
    <xdr:to>
      <xdr:col>13</xdr:col>
      <xdr:colOff>233229</xdr:colOff>
      <xdr:row>3</xdr:row>
      <xdr:rowOff>0</xdr:rowOff>
    </xdr:to>
    <xdr:pic>
      <xdr:nvPicPr>
        <xdr:cNvPr id="15" name="14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19050"/>
          <a:ext cx="1061904" cy="552450"/>
        </a:xfrm>
        <a:prstGeom prst="rect">
          <a:avLst/>
        </a:prstGeom>
      </xdr:spPr>
    </xdr:pic>
    <xdr:clientData/>
  </xdr:twoCellAnchor>
  <xdr:twoCellAnchor editAs="oneCell">
    <xdr:from>
      <xdr:col>12</xdr:col>
      <xdr:colOff>0</xdr:colOff>
      <xdr:row>367</xdr:row>
      <xdr:rowOff>38100</xdr:rowOff>
    </xdr:from>
    <xdr:to>
      <xdr:col>13</xdr:col>
      <xdr:colOff>38100</xdr:colOff>
      <xdr:row>368</xdr:row>
      <xdr:rowOff>161925</xdr:rowOff>
    </xdr:to>
    <xdr:pic>
      <xdr:nvPicPr>
        <xdr:cNvPr id="16" name="15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67250" y="70761225"/>
          <a:ext cx="828675" cy="3143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266700</xdr:colOff>
      <xdr:row>188</xdr:row>
      <xdr:rowOff>152400</xdr:rowOff>
    </xdr:from>
    <xdr:to>
      <xdr:col>11</xdr:col>
      <xdr:colOff>47625</xdr:colOff>
      <xdr:row>194</xdr:row>
      <xdr:rowOff>57150</xdr:rowOff>
    </xdr:to>
    <xdr:graphicFrame macro="">
      <xdr:nvGraphicFramePr>
        <xdr:cNvPr id="2"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xdr:colOff>
      <xdr:row>232</xdr:row>
      <xdr:rowOff>114300</xdr:rowOff>
    </xdr:from>
    <xdr:to>
      <xdr:col>13</xdr:col>
      <xdr:colOff>142875</xdr:colOff>
      <xdr:row>239</xdr:row>
      <xdr:rowOff>180975</xdr:rowOff>
    </xdr:to>
    <xdr:graphicFrame macro="">
      <xdr:nvGraphicFramePr>
        <xdr:cNvPr id="3"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202</xdr:row>
      <xdr:rowOff>76200</xdr:rowOff>
    </xdr:from>
    <xdr:to>
      <xdr:col>11</xdr:col>
      <xdr:colOff>228600</xdr:colOff>
      <xdr:row>208</xdr:row>
      <xdr:rowOff>123825</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218</xdr:row>
      <xdr:rowOff>19050</xdr:rowOff>
    </xdr:from>
    <xdr:to>
      <xdr:col>11</xdr:col>
      <xdr:colOff>247650</xdr:colOff>
      <xdr:row>224</xdr:row>
      <xdr:rowOff>0</xdr:rowOff>
    </xdr:to>
    <xdr:graphicFrame macro="">
      <xdr:nvGraphicFramePr>
        <xdr:cNvPr id="5"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53815</xdr:rowOff>
    </xdr:from>
    <xdr:to>
      <xdr:col>1</xdr:col>
      <xdr:colOff>9525</xdr:colOff>
      <xdr:row>2</xdr:row>
      <xdr:rowOff>137663</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53815"/>
          <a:ext cx="600075" cy="464848"/>
        </a:xfrm>
        <a:prstGeom prst="rect">
          <a:avLst/>
        </a:prstGeom>
      </xdr:spPr>
    </xdr:pic>
    <xdr:clientData/>
  </xdr:twoCellAnchor>
  <xdr:twoCellAnchor editAs="oneCell">
    <xdr:from>
      <xdr:col>0</xdr:col>
      <xdr:colOff>159066</xdr:colOff>
      <xdr:row>272</xdr:row>
      <xdr:rowOff>38100</xdr:rowOff>
    </xdr:from>
    <xdr:to>
      <xdr:col>1</xdr:col>
      <xdr:colOff>266699</xdr:colOff>
      <xdr:row>274</xdr:row>
      <xdr:rowOff>153402</xdr:rowOff>
    </xdr:to>
    <xdr:pic>
      <xdr:nvPicPr>
        <xdr:cNvPr id="7" name="6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066" y="36071175"/>
          <a:ext cx="698183" cy="496302"/>
        </a:xfrm>
        <a:prstGeom prst="rect">
          <a:avLst/>
        </a:prstGeom>
      </xdr:spPr>
    </xdr:pic>
    <xdr:clientData/>
  </xdr:twoCellAnchor>
  <xdr:twoCellAnchor editAs="oneCell">
    <xdr:from>
      <xdr:col>0</xdr:col>
      <xdr:colOff>44767</xdr:colOff>
      <xdr:row>365</xdr:row>
      <xdr:rowOff>167690</xdr:rowOff>
    </xdr:from>
    <xdr:to>
      <xdr:col>0</xdr:col>
      <xdr:colOff>559117</xdr:colOff>
      <xdr:row>368</xdr:row>
      <xdr:rowOff>92492</xdr:rowOff>
    </xdr:to>
    <xdr:pic>
      <xdr:nvPicPr>
        <xdr:cNvPr id="8" name="7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767" y="53964890"/>
          <a:ext cx="514350" cy="496302"/>
        </a:xfrm>
        <a:prstGeom prst="rect">
          <a:avLst/>
        </a:prstGeom>
      </xdr:spPr>
    </xdr:pic>
    <xdr:clientData/>
  </xdr:twoCellAnchor>
  <xdr:twoCellAnchor editAs="oneCell">
    <xdr:from>
      <xdr:col>0</xdr:col>
      <xdr:colOff>247650</xdr:colOff>
      <xdr:row>458</xdr:row>
      <xdr:rowOff>19050</xdr:rowOff>
    </xdr:from>
    <xdr:to>
      <xdr:col>1</xdr:col>
      <xdr:colOff>22860</xdr:colOff>
      <xdr:row>459</xdr:row>
      <xdr:rowOff>181476</xdr:rowOff>
    </xdr:to>
    <xdr:pic>
      <xdr:nvPicPr>
        <xdr:cNvPr id="9" name="8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7650" y="71532750"/>
          <a:ext cx="365760" cy="352926"/>
        </a:xfrm>
        <a:prstGeom prst="rect">
          <a:avLst/>
        </a:prstGeom>
      </xdr:spPr>
    </xdr:pic>
    <xdr:clientData/>
  </xdr:twoCellAnchor>
  <xdr:twoCellAnchor editAs="oneCell">
    <xdr:from>
      <xdr:col>0</xdr:col>
      <xdr:colOff>114300</xdr:colOff>
      <xdr:row>503</xdr:row>
      <xdr:rowOff>9525</xdr:rowOff>
    </xdr:from>
    <xdr:to>
      <xdr:col>0</xdr:col>
      <xdr:colOff>480060</xdr:colOff>
      <xdr:row>504</xdr:row>
      <xdr:rowOff>171951</xdr:rowOff>
    </xdr:to>
    <xdr:pic>
      <xdr:nvPicPr>
        <xdr:cNvPr id="10" name="9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300" y="80333850"/>
          <a:ext cx="365760" cy="352926"/>
        </a:xfrm>
        <a:prstGeom prst="rect">
          <a:avLst/>
        </a:prstGeom>
      </xdr:spPr>
    </xdr:pic>
    <xdr:clientData/>
  </xdr:twoCellAnchor>
  <xdr:twoCellAnchor editAs="oneCell">
    <xdr:from>
      <xdr:col>12</xdr:col>
      <xdr:colOff>119010</xdr:colOff>
      <xdr:row>272</xdr:row>
      <xdr:rowOff>66675</xdr:rowOff>
    </xdr:from>
    <xdr:to>
      <xdr:col>13</xdr:col>
      <xdr:colOff>238125</xdr:colOff>
      <xdr:row>274</xdr:row>
      <xdr:rowOff>158936</xdr:rowOff>
    </xdr:to>
    <xdr:pic>
      <xdr:nvPicPr>
        <xdr:cNvPr id="11" name="10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86260" y="36099750"/>
          <a:ext cx="909690" cy="473261"/>
        </a:xfrm>
        <a:prstGeom prst="rect">
          <a:avLst/>
        </a:prstGeom>
      </xdr:spPr>
    </xdr:pic>
    <xdr:clientData/>
  </xdr:twoCellAnchor>
  <xdr:twoCellAnchor editAs="oneCell">
    <xdr:from>
      <xdr:col>12</xdr:col>
      <xdr:colOff>0</xdr:colOff>
      <xdr:row>366</xdr:row>
      <xdr:rowOff>19049</xdr:rowOff>
    </xdr:from>
    <xdr:to>
      <xdr:col>13</xdr:col>
      <xdr:colOff>271329</xdr:colOff>
      <xdr:row>368</xdr:row>
      <xdr:rowOff>171450</xdr:rowOff>
    </xdr:to>
    <xdr:pic>
      <xdr:nvPicPr>
        <xdr:cNvPr id="12" name="11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67250" y="54006749"/>
          <a:ext cx="1061904" cy="533401"/>
        </a:xfrm>
        <a:prstGeom prst="rect">
          <a:avLst/>
        </a:prstGeom>
      </xdr:spPr>
    </xdr:pic>
    <xdr:clientData/>
  </xdr:twoCellAnchor>
  <xdr:twoCellAnchor editAs="oneCell">
    <xdr:from>
      <xdr:col>11</xdr:col>
      <xdr:colOff>285750</xdr:colOff>
      <xdr:row>0</xdr:row>
      <xdr:rowOff>19050</xdr:rowOff>
    </xdr:from>
    <xdr:to>
      <xdr:col>13</xdr:col>
      <xdr:colOff>233229</xdr:colOff>
      <xdr:row>3</xdr:row>
      <xdr:rowOff>0</xdr:rowOff>
    </xdr:to>
    <xdr:pic>
      <xdr:nvPicPr>
        <xdr:cNvPr id="13" name="12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9150" y="19050"/>
          <a:ext cx="1061904" cy="552450"/>
        </a:xfrm>
        <a:prstGeom prst="rect">
          <a:avLst/>
        </a:prstGeom>
      </xdr:spPr>
    </xdr:pic>
    <xdr:clientData/>
  </xdr:twoCellAnchor>
  <xdr:twoCellAnchor editAs="oneCell">
    <xdr:from>
      <xdr:col>12</xdr:col>
      <xdr:colOff>0</xdr:colOff>
      <xdr:row>458</xdr:row>
      <xdr:rowOff>38100</xdr:rowOff>
    </xdr:from>
    <xdr:to>
      <xdr:col>13</xdr:col>
      <xdr:colOff>38100</xdr:colOff>
      <xdr:row>459</xdr:row>
      <xdr:rowOff>161925</xdr:rowOff>
    </xdr:to>
    <xdr:pic>
      <xdr:nvPicPr>
        <xdr:cNvPr id="14" name="13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67250" y="71551800"/>
          <a:ext cx="828675" cy="3143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4"/>
  <sheetViews>
    <sheetView showGridLines="0" showRowColHeaders="0" tabSelected="1" zoomScaleNormal="100" zoomScalePageLayoutView="60" workbookViewId="0">
      <selection activeCell="Q278" sqref="Q278"/>
    </sheetView>
  </sheetViews>
  <sheetFormatPr baseColWidth="10" defaultRowHeight="15" outlineLevelRow="7"/>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5">
      <c r="A1" s="357" t="s">
        <v>539</v>
      </c>
      <c r="B1" s="1086" t="s">
        <v>71</v>
      </c>
      <c r="C1" s="1086"/>
      <c r="D1" s="1086"/>
      <c r="E1" s="1086"/>
      <c r="F1" s="1086"/>
      <c r="G1" s="1086"/>
      <c r="H1" s="1086"/>
      <c r="I1" s="357"/>
      <c r="J1" s="357"/>
      <c r="K1" s="357"/>
      <c r="L1" s="357"/>
      <c r="M1" s="357"/>
      <c r="N1" s="357"/>
      <c r="O1" s="541"/>
      <c r="P1" s="541"/>
      <c r="Q1" s="541"/>
      <c r="R1" s="541"/>
      <c r="S1" s="541"/>
      <c r="T1" s="542"/>
      <c r="U1" s="542"/>
      <c r="V1" s="542"/>
      <c r="W1" s="535"/>
      <c r="X1" s="535"/>
      <c r="Y1" s="535"/>
    </row>
    <row r="2" spans="1:25">
      <c r="A2" s="357" t="s">
        <v>540</v>
      </c>
      <c r="B2" s="1086" t="s">
        <v>547</v>
      </c>
      <c r="C2" s="1086"/>
      <c r="D2" s="1086"/>
      <c r="E2" s="1086"/>
      <c r="F2" s="1086"/>
      <c r="G2" s="1086"/>
      <c r="H2" s="1086"/>
      <c r="I2" s="357"/>
      <c r="J2" s="357"/>
      <c r="K2" s="357"/>
      <c r="L2" s="357"/>
      <c r="M2" s="357"/>
      <c r="N2" s="357"/>
      <c r="O2" s="541"/>
      <c r="P2" s="541"/>
      <c r="Q2" s="541"/>
      <c r="R2" s="541"/>
      <c r="S2" s="541"/>
      <c r="T2" s="542"/>
      <c r="U2" s="542"/>
      <c r="V2" s="542"/>
      <c r="W2" s="535"/>
      <c r="X2" s="535"/>
      <c r="Y2" s="535"/>
    </row>
    <row r="3" spans="1:25">
      <c r="A3" s="500"/>
      <c r="B3" s="1087" t="s">
        <v>1</v>
      </c>
      <c r="C3" s="1087"/>
      <c r="D3" s="1087"/>
      <c r="E3" s="1087"/>
      <c r="F3" s="1087"/>
      <c r="G3" s="1087"/>
      <c r="H3" s="1087"/>
      <c r="I3" s="1087"/>
      <c r="J3" s="1087"/>
      <c r="K3" s="500"/>
      <c r="L3" s="500"/>
      <c r="M3" s="500"/>
      <c r="N3" s="500"/>
      <c r="O3" s="541"/>
      <c r="P3" s="541"/>
      <c r="Q3" s="541"/>
      <c r="R3" s="541"/>
      <c r="S3" s="541"/>
      <c r="T3" s="542"/>
      <c r="U3" s="542"/>
      <c r="V3" s="542"/>
      <c r="W3" s="535"/>
      <c r="X3" s="535"/>
      <c r="Y3" s="535"/>
    </row>
    <row r="4" spans="1:25">
      <c r="A4" s="379" t="s">
        <v>2</v>
      </c>
      <c r="B4" s="1170" t="s">
        <v>650</v>
      </c>
      <c r="C4" s="1171"/>
      <c r="D4" s="1171"/>
      <c r="E4" s="1171"/>
      <c r="F4" s="1171"/>
      <c r="G4" s="1171"/>
      <c r="H4" s="1171"/>
      <c r="I4" s="1171"/>
      <c r="J4" s="358"/>
      <c r="K4" s="1172" t="s">
        <v>291</v>
      </c>
      <c r="L4" s="1172"/>
      <c r="M4" s="1175"/>
      <c r="N4" s="1176"/>
      <c r="O4" s="541"/>
      <c r="P4" s="541"/>
      <c r="Q4" s="541"/>
      <c r="R4" s="541"/>
      <c r="S4" s="541"/>
      <c r="T4" s="542"/>
      <c r="U4" s="542"/>
      <c r="V4" s="542"/>
      <c r="W4" s="535"/>
      <c r="X4" s="535"/>
      <c r="Y4" s="535"/>
    </row>
    <row r="5" spans="1:25">
      <c r="A5" s="380" t="s">
        <v>3</v>
      </c>
      <c r="B5" s="1183">
        <f ca="1">TODAY()</f>
        <v>43208</v>
      </c>
      <c r="C5" s="1183"/>
      <c r="D5" s="599"/>
      <c r="E5" s="599"/>
      <c r="F5" s="599"/>
      <c r="G5" s="599"/>
      <c r="H5" s="599"/>
      <c r="I5" s="599"/>
      <c r="J5" s="79"/>
      <c r="K5" s="599"/>
      <c r="L5" s="599"/>
      <c r="M5" s="78"/>
      <c r="N5" s="359"/>
      <c r="O5" s="541"/>
      <c r="P5" s="541"/>
      <c r="Q5" s="541"/>
      <c r="R5" s="541"/>
      <c r="S5" s="541"/>
      <c r="T5" s="542"/>
      <c r="U5" s="542"/>
      <c r="V5" s="542"/>
      <c r="W5" s="535"/>
      <c r="X5" s="535"/>
      <c r="Y5" s="535"/>
    </row>
    <row r="6" spans="1:25">
      <c r="A6" s="380" t="s">
        <v>234</v>
      </c>
      <c r="B6" s="599"/>
      <c r="C6" s="599"/>
      <c r="D6" s="1184">
        <v>24511</v>
      </c>
      <c r="E6" s="1183"/>
      <c r="F6" s="599"/>
      <c r="G6" s="1118" t="str">
        <f ca="1">DATEDIF(D6,TODAY(),"y")&amp;"_años_"&amp;DATEDIF(D6,TODAY(),"ym")&amp;"_meses_"&amp;DATEDIF(D6,TODAY(),"md")&amp;"_dias_"</f>
        <v>51_años_2_meses_10_dias_</v>
      </c>
      <c r="H6" s="1118"/>
      <c r="I6" s="1118"/>
      <c r="J6" s="1118"/>
      <c r="K6" s="1118"/>
      <c r="L6" s="599"/>
      <c r="M6" s="599"/>
      <c r="N6" s="360"/>
      <c r="O6" s="543"/>
      <c r="P6" s="541"/>
      <c r="Q6" s="541"/>
      <c r="R6" s="541"/>
      <c r="S6" s="541"/>
      <c r="T6" s="542"/>
      <c r="U6" s="542"/>
      <c r="V6" s="542"/>
      <c r="W6" s="535"/>
      <c r="X6" s="535"/>
      <c r="Y6" s="535"/>
    </row>
    <row r="7" spans="1:25">
      <c r="A7" s="380"/>
      <c r="B7" s="599"/>
      <c r="C7" s="599"/>
      <c r="D7" s="599"/>
      <c r="E7" s="599"/>
      <c r="F7" s="599"/>
      <c r="G7" s="599"/>
      <c r="H7" s="599"/>
      <c r="I7" s="599"/>
      <c r="J7" s="79"/>
      <c r="K7" s="599"/>
      <c r="L7" s="599"/>
      <c r="M7" s="78"/>
      <c r="N7" s="359"/>
      <c r="O7" s="541"/>
      <c r="P7" s="541"/>
      <c r="Q7" s="541"/>
      <c r="R7" s="541"/>
      <c r="S7" s="541"/>
      <c r="T7" s="542"/>
      <c r="U7" s="542"/>
      <c r="V7" s="542"/>
      <c r="W7" s="535"/>
      <c r="X7" s="535"/>
      <c r="Y7" s="535"/>
    </row>
    <row r="8" spans="1:25" ht="16.5" customHeight="1">
      <c r="A8" s="380" t="s">
        <v>73</v>
      </c>
      <c r="B8" s="79"/>
      <c r="C8" s="79"/>
      <c r="D8" s="1173" t="s">
        <v>569</v>
      </c>
      <c r="E8" s="1173"/>
      <c r="F8" s="169"/>
      <c r="G8" s="79"/>
      <c r="H8" s="1173" t="s">
        <v>396</v>
      </c>
      <c r="I8" s="1173"/>
      <c r="J8" s="169"/>
      <c r="K8" s="171" t="s">
        <v>402</v>
      </c>
      <c r="L8" s="600"/>
      <c r="M8" s="361"/>
      <c r="N8" s="360"/>
      <c r="O8" s="541"/>
      <c r="P8" s="541"/>
      <c r="Q8" s="541"/>
      <c r="R8" s="541"/>
      <c r="S8" s="541"/>
      <c r="T8" s="542"/>
      <c r="U8" s="542"/>
      <c r="V8" s="542"/>
      <c r="W8" s="535"/>
      <c r="X8" s="535"/>
      <c r="Y8" s="535"/>
    </row>
    <row r="9" spans="1:25" ht="15.75">
      <c r="A9" s="380" t="s">
        <v>4</v>
      </c>
      <c r="B9" s="79"/>
      <c r="C9" s="79"/>
      <c r="D9" s="139">
        <v>80</v>
      </c>
      <c r="E9" s="79" t="s">
        <v>5</v>
      </c>
      <c r="F9" s="169"/>
      <c r="G9" s="79"/>
      <c r="H9" s="1185">
        <f ca="1">B5</f>
        <v>43208</v>
      </c>
      <c r="I9" s="1185"/>
      <c r="J9" s="598">
        <v>1</v>
      </c>
      <c r="K9" s="501">
        <f>D10</f>
        <v>79</v>
      </c>
      <c r="L9" s="598"/>
      <c r="M9" s="79"/>
      <c r="N9" s="360"/>
      <c r="O9" s="541"/>
      <c r="P9" s="541"/>
      <c r="Q9" s="541"/>
      <c r="R9" s="541"/>
      <c r="S9" s="541"/>
      <c r="T9" s="542"/>
      <c r="U9" s="542"/>
      <c r="V9" s="542"/>
      <c r="W9" s="535"/>
      <c r="X9" s="535"/>
      <c r="Y9" s="535"/>
    </row>
    <row r="10" spans="1:25" ht="15.75">
      <c r="A10" s="380" t="s">
        <v>6</v>
      </c>
      <c r="B10" s="79"/>
      <c r="C10" s="79"/>
      <c r="D10" s="139">
        <v>79</v>
      </c>
      <c r="E10" s="79" t="s">
        <v>7</v>
      </c>
      <c r="F10" s="79"/>
      <c r="G10" s="79"/>
      <c r="H10" s="1173"/>
      <c r="I10" s="1173"/>
      <c r="J10" s="598">
        <v>2</v>
      </c>
      <c r="K10" s="501">
        <v>0</v>
      </c>
      <c r="L10" s="1173"/>
      <c r="M10" s="1173"/>
      <c r="N10" s="1174"/>
      <c r="O10" s="541"/>
      <c r="P10" s="541"/>
      <c r="Q10" s="541"/>
      <c r="R10" s="541"/>
      <c r="S10" s="541"/>
      <c r="T10" s="542"/>
      <c r="U10" s="542"/>
      <c r="V10" s="542"/>
      <c r="W10" s="535"/>
      <c r="X10" s="535"/>
      <c r="Y10" s="535"/>
    </row>
    <row r="11" spans="1:25" ht="15.75">
      <c r="A11" s="380" t="s">
        <v>568</v>
      </c>
      <c r="B11" s="79"/>
      <c r="C11" s="79"/>
      <c r="D11" s="139">
        <v>79</v>
      </c>
      <c r="E11" s="79" t="s">
        <v>7</v>
      </c>
      <c r="F11" s="79"/>
      <c r="G11" s="79"/>
      <c r="H11" s="598"/>
      <c r="I11" s="598"/>
      <c r="J11" s="598">
        <v>3</v>
      </c>
      <c r="K11" s="501">
        <v>0</v>
      </c>
      <c r="L11" s="598"/>
      <c r="M11" s="598"/>
      <c r="N11" s="601"/>
      <c r="O11" s="541"/>
      <c r="P11" s="541"/>
      <c r="Q11" s="541"/>
      <c r="R11" s="544"/>
      <c r="S11" s="541"/>
      <c r="T11" s="542"/>
      <c r="U11" s="542"/>
      <c r="V11" s="542"/>
      <c r="W11" s="535"/>
      <c r="X11" s="535"/>
      <c r="Y11" s="535"/>
    </row>
    <row r="12" spans="1:25" ht="15.75" outlineLevel="7">
      <c r="A12" s="1177" t="s">
        <v>541</v>
      </c>
      <c r="B12" s="1178"/>
      <c r="C12" s="1178"/>
      <c r="D12" s="604">
        <f>21.5*(D17*D17)</f>
        <v>56.424600000000012</v>
      </c>
      <c r="E12" s="79" t="s">
        <v>7</v>
      </c>
      <c r="F12" s="959" t="s">
        <v>571</v>
      </c>
      <c r="G12" s="79"/>
      <c r="H12" s="1173"/>
      <c r="I12" s="1173"/>
      <c r="J12" s="598">
        <v>4</v>
      </c>
      <c r="K12" s="502">
        <v>0</v>
      </c>
      <c r="L12" s="79"/>
      <c r="M12" s="361"/>
      <c r="N12" s="363"/>
      <c r="O12" s="541"/>
      <c r="P12" s="541"/>
      <c r="Q12" s="541"/>
      <c r="R12" s="541"/>
      <c r="S12" s="541"/>
      <c r="T12" s="542"/>
      <c r="U12" s="542"/>
      <c r="V12" s="542"/>
      <c r="W12" s="535"/>
      <c r="X12" s="535"/>
      <c r="Y12" s="535"/>
    </row>
    <row r="13" spans="1:25" ht="15.75" outlineLevel="7">
      <c r="A13" s="380" t="s">
        <v>9</v>
      </c>
      <c r="B13" s="79"/>
      <c r="C13" s="79"/>
      <c r="D13" s="604">
        <f>18.5*(D17*D17)</f>
        <v>48.551400000000008</v>
      </c>
      <c r="E13" s="79" t="s">
        <v>7</v>
      </c>
      <c r="F13" s="959" t="s">
        <v>572</v>
      </c>
      <c r="G13" s="79"/>
      <c r="H13" s="1173"/>
      <c r="I13" s="1173"/>
      <c r="J13" s="598">
        <v>5</v>
      </c>
      <c r="K13" s="501">
        <v>0</v>
      </c>
      <c r="L13" s="79"/>
      <c r="M13" s="79"/>
      <c r="N13" s="360"/>
      <c r="O13" s="541"/>
      <c r="P13" s="541"/>
      <c r="Q13" s="541"/>
      <c r="R13" s="541"/>
      <c r="S13" s="541"/>
      <c r="T13" s="542"/>
      <c r="U13" s="542"/>
      <c r="V13" s="542"/>
      <c r="W13" s="535"/>
      <c r="X13" s="535"/>
      <c r="Y13" s="535"/>
    </row>
    <row r="14" spans="1:25" ht="15.75">
      <c r="A14" s="380" t="s">
        <v>10</v>
      </c>
      <c r="B14" s="79"/>
      <c r="C14" s="79"/>
      <c r="D14" s="604">
        <f>24.9*(D17*D17)</f>
        <v>65.347560000000016</v>
      </c>
      <c r="E14" s="79" t="s">
        <v>7</v>
      </c>
      <c r="F14" s="959" t="s">
        <v>573</v>
      </c>
      <c r="G14" s="79"/>
      <c r="H14" s="1173"/>
      <c r="I14" s="1173"/>
      <c r="J14" s="598">
        <v>6</v>
      </c>
      <c r="K14" s="501">
        <v>0</v>
      </c>
      <c r="L14" s="79"/>
      <c r="M14" s="79"/>
      <c r="N14" s="360"/>
      <c r="O14" s="541"/>
      <c r="P14" s="541"/>
      <c r="Q14" s="541"/>
      <c r="R14" s="541"/>
      <c r="S14" s="541"/>
      <c r="T14" s="542"/>
      <c r="U14" s="542"/>
      <c r="V14" s="542"/>
      <c r="W14" s="535"/>
      <c r="X14" s="535"/>
      <c r="Y14" s="535"/>
    </row>
    <row r="15" spans="1:25" ht="15.75">
      <c r="A15" s="380" t="s">
        <v>566</v>
      </c>
      <c r="B15" s="79"/>
      <c r="C15" s="79"/>
      <c r="D15" s="604">
        <f>(D10/D12)*100</f>
        <v>140.00985385806896</v>
      </c>
      <c r="E15" s="79" t="s">
        <v>52</v>
      </c>
      <c r="F15" s="1179" t="str">
        <f>IF(D15&lt;=89.9,"BAJO PESO",IF(D15=90,"PESO ACEPTABLE",IF(D15&lt;120,"PESO ACEPTABLE",IF(D15&gt;120.1,"EXCESO O SOBREPESO"))))</f>
        <v>EXCESO O SOBREPESO</v>
      </c>
      <c r="G15" s="1179"/>
      <c r="H15" s="1179"/>
      <c r="I15" s="1179"/>
      <c r="J15" s="958" t="s">
        <v>654</v>
      </c>
      <c r="K15" s="608"/>
      <c r="L15" s="79"/>
      <c r="M15" s="79"/>
      <c r="N15" s="360"/>
      <c r="O15" s="541"/>
      <c r="P15" s="541"/>
      <c r="Q15" s="541"/>
      <c r="R15" s="541"/>
      <c r="S15" s="541"/>
      <c r="T15" s="542"/>
      <c r="U15" s="542"/>
      <c r="V15" s="542"/>
      <c r="W15" s="535"/>
      <c r="X15" s="535"/>
      <c r="Y15" s="535"/>
    </row>
    <row r="16" spans="1:25" s="81" customFormat="1" ht="15.75">
      <c r="A16" s="380" t="s">
        <v>567</v>
      </c>
      <c r="B16" s="79"/>
      <c r="C16" s="79"/>
      <c r="D16" s="604">
        <f>(D10/D11)*100</f>
        <v>100</v>
      </c>
      <c r="E16" s="79" t="s">
        <v>52</v>
      </c>
      <c r="F16" s="607" t="str">
        <f>IF(D16&lt;=48,"PESO MINIMO DE SOBREVIVENCIA",IF(D16&lt;54.9,"PESO MINIMO DE SOBREVIVENCIA",IF(D16=75,"DESNUTRICION SEVERA 3er GRADO",IF(D16&lt;=84.9,"DESNUTRICION MODERADA 2do GRADO",IF(D16=85,"DESNUTRICION LEVE 1er GRADO",IF(D16&lt;=90,"DESNUTRICION LEVE 1er GRAD0",IF(D16&gt;90.1,"SIN PROBLEMAS DE DESNUTRICION")))))))</f>
        <v>SIN PROBLEMAS DE DESNUTRICION</v>
      </c>
      <c r="G16" s="607"/>
      <c r="H16" s="607"/>
      <c r="I16" s="607"/>
      <c r="J16" s="598"/>
      <c r="K16" s="609"/>
      <c r="L16" s="79"/>
      <c r="M16" s="959" t="s">
        <v>655</v>
      </c>
      <c r="N16" s="360"/>
      <c r="O16" s="541"/>
      <c r="P16" s="541"/>
      <c r="Q16" s="541"/>
      <c r="R16" s="541"/>
      <c r="S16" s="541"/>
      <c r="T16" s="542"/>
      <c r="U16" s="542"/>
      <c r="V16" s="542"/>
      <c r="W16" s="535"/>
      <c r="X16" s="535"/>
      <c r="Y16" s="535"/>
    </row>
    <row r="17" spans="1:25" ht="15.75">
      <c r="A17" s="1177" t="s">
        <v>76</v>
      </c>
      <c r="B17" s="1178"/>
      <c r="C17" s="1178"/>
      <c r="D17" s="139">
        <v>1.62</v>
      </c>
      <c r="E17" s="79" t="s">
        <v>12</v>
      </c>
      <c r="F17" s="79"/>
      <c r="G17" s="491">
        <f>D17*100</f>
        <v>162</v>
      </c>
      <c r="H17" s="1173"/>
      <c r="I17" s="1173"/>
      <c r="J17" s="598"/>
      <c r="K17" s="608"/>
      <c r="L17" s="79"/>
      <c r="M17" s="79"/>
      <c r="N17" s="360"/>
      <c r="O17" s="541"/>
      <c r="P17" s="541"/>
      <c r="Q17" s="541"/>
      <c r="R17" s="541"/>
      <c r="S17" s="541"/>
      <c r="T17" s="542"/>
      <c r="U17" s="542"/>
      <c r="V17" s="542"/>
      <c r="W17" s="535"/>
      <c r="X17" s="535"/>
      <c r="Y17" s="535"/>
    </row>
    <row r="18" spans="1:25" ht="15.75">
      <c r="A18" s="1177" t="s">
        <v>13</v>
      </c>
      <c r="B18" s="1178"/>
      <c r="C18" s="1178"/>
      <c r="D18" s="965">
        <f>D10/(D17*D17)</f>
        <v>30.102118579484827</v>
      </c>
      <c r="E18" s="364" t="s">
        <v>14</v>
      </c>
      <c r="F18" s="79"/>
      <c r="G18" s="966" t="s">
        <v>565</v>
      </c>
      <c r="H18" s="1173"/>
      <c r="I18" s="1173"/>
      <c r="J18" s="598"/>
      <c r="K18" s="608"/>
      <c r="L18" s="79"/>
      <c r="M18" s="79"/>
      <c r="N18" s="360"/>
      <c r="O18" s="541"/>
      <c r="P18" s="541"/>
      <c r="Q18" s="541"/>
      <c r="R18" s="541"/>
      <c r="S18" s="541"/>
      <c r="T18" s="542"/>
      <c r="U18" s="542"/>
      <c r="V18" s="542"/>
      <c r="W18" s="535"/>
      <c r="X18" s="535"/>
      <c r="Y18" s="535"/>
    </row>
    <row r="19" spans="1:25" s="80" customFormat="1" ht="18.75">
      <c r="A19" s="380" t="s">
        <v>15</v>
      </c>
      <c r="B19" s="79"/>
      <c r="C19" s="960"/>
      <c r="D19" s="1186" t="s">
        <v>656</v>
      </c>
      <c r="E19" s="1186"/>
      <c r="F19" s="1186"/>
      <c r="G19" s="1186"/>
      <c r="H19" s="1186"/>
      <c r="I19" s="1186"/>
      <c r="J19" s="1186"/>
      <c r="K19" s="1186"/>
      <c r="L19" s="79"/>
      <c r="M19" s="79"/>
      <c r="N19" s="360"/>
      <c r="O19" s="541"/>
      <c r="P19" s="541"/>
      <c r="Q19" s="703" t="s">
        <v>595</v>
      </c>
      <c r="R19" s="541"/>
      <c r="S19" s="541"/>
      <c r="T19" s="542"/>
      <c r="U19" s="542"/>
      <c r="V19" s="542"/>
      <c r="W19" s="535"/>
      <c r="X19" s="535"/>
      <c r="Y19" s="535"/>
    </row>
    <row r="20" spans="1:25" ht="15.75">
      <c r="A20" s="1177" t="s">
        <v>16</v>
      </c>
      <c r="B20" s="1178"/>
      <c r="C20" s="1178"/>
      <c r="D20" s="139">
        <v>90</v>
      </c>
      <c r="E20" s="79" t="s">
        <v>17</v>
      </c>
      <c r="F20" s="79"/>
      <c r="G20" s="79"/>
      <c r="H20" s="79"/>
      <c r="I20" s="79"/>
      <c r="J20" s="79"/>
      <c r="K20" s="79"/>
      <c r="L20" s="79"/>
      <c r="M20" s="79"/>
      <c r="N20" s="360"/>
      <c r="O20" s="541"/>
      <c r="P20" s="541"/>
      <c r="Q20" s="703" t="s">
        <v>596</v>
      </c>
      <c r="R20" s="541"/>
      <c r="S20" s="541"/>
      <c r="T20" s="542"/>
      <c r="U20" s="542"/>
      <c r="V20" s="542"/>
      <c r="W20" s="535"/>
      <c r="X20" s="535"/>
      <c r="Y20" s="535"/>
    </row>
    <row r="21" spans="1:25" ht="15.75">
      <c r="A21" s="1177" t="s">
        <v>18</v>
      </c>
      <c r="B21" s="1178"/>
      <c r="C21" s="1178"/>
      <c r="D21" s="139">
        <v>90</v>
      </c>
      <c r="E21" s="79" t="s">
        <v>17</v>
      </c>
      <c r="F21" s="79"/>
      <c r="G21" s="79"/>
      <c r="H21" s="79"/>
      <c r="I21" s="79"/>
      <c r="J21" s="79"/>
      <c r="K21" s="79"/>
      <c r="L21" s="79"/>
      <c r="M21" s="79"/>
      <c r="N21" s="360"/>
      <c r="O21" s="541"/>
      <c r="P21" s="541"/>
      <c r="Q21" s="703" t="s">
        <v>597</v>
      </c>
      <c r="R21" s="541"/>
      <c r="S21" s="541"/>
      <c r="T21" s="542"/>
      <c r="U21" s="542"/>
      <c r="V21" s="542"/>
      <c r="W21" s="535"/>
      <c r="X21" s="535"/>
      <c r="Y21" s="535"/>
    </row>
    <row r="22" spans="1:25" ht="15.75">
      <c r="A22" s="1180" t="s">
        <v>19</v>
      </c>
      <c r="B22" s="1181"/>
      <c r="C22" s="1181"/>
      <c r="D22" s="612">
        <f>D20/D21</f>
        <v>1</v>
      </c>
      <c r="E22" s="1182" t="str">
        <f>IF(D22&gt;=0.8,"MUJER  CON DISTRIBUCION DE GRASA ANDROIDE",IF(D22&lt;=0.79,"MUJER CON DISTRIBUCION DE GRASA GINECOIDE"))</f>
        <v>MUJER  CON DISTRIBUCION DE GRASA ANDROIDE</v>
      </c>
      <c r="F22" s="1182"/>
      <c r="G22" s="1182"/>
      <c r="H22" s="1182"/>
      <c r="I22" s="1182"/>
      <c r="J22" s="1182"/>
      <c r="K22" s="1182"/>
      <c r="L22" s="1182"/>
      <c r="M22" s="1182"/>
      <c r="N22" s="964" t="s">
        <v>657</v>
      </c>
      <c r="O22" s="541"/>
      <c r="P22" s="541"/>
      <c r="Q22" s="703" t="s">
        <v>598</v>
      </c>
      <c r="R22" s="541"/>
      <c r="S22" s="541"/>
      <c r="T22" s="542"/>
      <c r="U22" s="542"/>
      <c r="V22" s="542"/>
      <c r="W22" s="535"/>
      <c r="X22" s="535"/>
      <c r="Y22" s="535"/>
    </row>
    <row r="23" spans="1:25" ht="15.75">
      <c r="A23" s="1150" t="s">
        <v>542</v>
      </c>
      <c r="B23" s="1151"/>
      <c r="C23" s="1151"/>
      <c r="D23" s="139">
        <v>110</v>
      </c>
      <c r="E23" s="1166" t="str">
        <f>IF(D23&gt;=88,"MEDICION DE RIESGO SUSTANCIALMENTE INCREMENTADO",IF(D23&lt;=87.9," MEDICION DE RIESGO INCREMENTADO",IF(D23&gt;=80," MEDICION DE RIESGO  INCREMENTADO")))</f>
        <v>MEDICION DE RIESGO SUSTANCIALMENTE INCREMENTADO</v>
      </c>
      <c r="F23" s="1167"/>
      <c r="G23" s="1167"/>
      <c r="H23" s="1167"/>
      <c r="I23" s="1167"/>
      <c r="J23" s="1167"/>
      <c r="K23" s="1167"/>
      <c r="L23" s="1167"/>
      <c r="M23" s="1168"/>
      <c r="N23" s="962" t="s">
        <v>658</v>
      </c>
      <c r="O23" s="541"/>
      <c r="P23" s="541"/>
      <c r="Q23" s="703" t="s">
        <v>599</v>
      </c>
      <c r="R23" s="541"/>
      <c r="S23" s="541"/>
      <c r="T23" s="542"/>
      <c r="U23" s="542"/>
      <c r="V23" s="542"/>
      <c r="W23" s="535"/>
      <c r="X23" s="535"/>
      <c r="Y23" s="535"/>
    </row>
    <row r="24" spans="1:25" ht="16.5" thickBot="1">
      <c r="A24" s="1152" t="s">
        <v>543</v>
      </c>
      <c r="B24" s="1153"/>
      <c r="C24" s="1153"/>
      <c r="D24" s="967">
        <v>40</v>
      </c>
      <c r="E24" s="491">
        <f>(D17*100)/D24</f>
        <v>4.05</v>
      </c>
      <c r="F24" s="1154" t="str">
        <f>IF(E24&gt;=10.9,"COMPLEXION PEQUEÑA",IF(E24&gt;=9.9,"COMPLEXION MEDIANA",IF(E24&lt;=9.8,"COMPLEXION GRANDE")))</f>
        <v>COMPLEXION GRANDE</v>
      </c>
      <c r="G24" s="1154"/>
      <c r="H24" s="1154"/>
      <c r="I24" s="1154"/>
      <c r="J24" s="79"/>
      <c r="K24" s="79"/>
      <c r="L24" s="79"/>
      <c r="M24" s="79"/>
      <c r="N24" s="962" t="s">
        <v>659</v>
      </c>
      <c r="O24" s="541"/>
      <c r="P24" s="541"/>
      <c r="Q24" s="541"/>
      <c r="R24" s="541"/>
      <c r="S24" s="541"/>
      <c r="T24" s="542"/>
      <c r="U24" s="542"/>
      <c r="V24" s="542"/>
      <c r="W24" s="535"/>
      <c r="X24" s="535"/>
      <c r="Y24" s="535"/>
    </row>
    <row r="25" spans="1:25" ht="15.75" thickBot="1">
      <c r="A25" s="1157" t="s">
        <v>594</v>
      </c>
      <c r="B25" s="1158"/>
      <c r="C25" s="1158"/>
      <c r="D25" s="1159"/>
      <c r="E25" s="1163" t="s">
        <v>596</v>
      </c>
      <c r="F25" s="1164"/>
      <c r="G25" s="1164"/>
      <c r="H25" s="1164"/>
      <c r="I25" s="1164"/>
      <c r="J25" s="1165"/>
      <c r="K25" s="699"/>
      <c r="L25" s="699"/>
      <c r="M25" s="699"/>
      <c r="N25" s="963"/>
      <c r="O25" s="541"/>
      <c r="P25" s="541" t="s">
        <v>662</v>
      </c>
      <c r="Q25" s="541"/>
      <c r="R25" s="541"/>
      <c r="S25" s="541"/>
      <c r="T25" s="542"/>
      <c r="U25" s="542"/>
      <c r="V25" s="542"/>
      <c r="W25" s="535"/>
      <c r="X25" s="535"/>
      <c r="Y25" s="535"/>
    </row>
    <row r="26" spans="1:25" ht="16.5" thickBot="1">
      <c r="A26" s="1160" t="s">
        <v>593</v>
      </c>
      <c r="B26" s="1161"/>
      <c r="C26" s="1161"/>
      <c r="D26" s="1162"/>
      <c r="E26" s="1163">
        <f>(100-P27)/100*(D10)</f>
        <v>77.182999999999993</v>
      </c>
      <c r="F26" s="1165"/>
      <c r="G26" s="701" t="s">
        <v>7</v>
      </c>
      <c r="H26" s="701"/>
      <c r="I26" s="701"/>
      <c r="J26" s="701"/>
      <c r="K26" s="701"/>
      <c r="L26" s="701"/>
      <c r="M26" s="701"/>
      <c r="N26" s="702"/>
      <c r="O26" s="541"/>
      <c r="P26" s="541"/>
      <c r="Q26" s="541"/>
      <c r="R26" s="541"/>
      <c r="S26" s="541"/>
      <c r="T26" s="542"/>
      <c r="U26" s="542"/>
      <c r="V26" s="542"/>
      <c r="W26" s="535"/>
      <c r="X26" s="535"/>
      <c r="Y26" s="535"/>
    </row>
    <row r="27" spans="1:25">
      <c r="A27" s="381"/>
      <c r="B27" s="370"/>
      <c r="C27" s="370"/>
      <c r="D27" s="602" t="s">
        <v>323</v>
      </c>
      <c r="E27" s="602"/>
      <c r="F27" s="1155"/>
      <c r="G27" s="1155"/>
      <c r="H27" s="370"/>
      <c r="I27" s="602" t="s">
        <v>328</v>
      </c>
      <c r="J27" s="602"/>
      <c r="K27" s="1156" t="s">
        <v>332</v>
      </c>
      <c r="L27" s="1156"/>
      <c r="M27" s="1156"/>
      <c r="N27" s="371"/>
      <c r="O27" s="541"/>
      <c r="P27" s="961" t="str">
        <f>LEFT(E25,3)</f>
        <v>2.3</v>
      </c>
      <c r="Q27" s="541"/>
      <c r="R27" s="541"/>
      <c r="S27" s="541"/>
      <c r="T27" s="542"/>
      <c r="U27" s="542"/>
      <c r="V27" s="542"/>
      <c r="W27" s="535"/>
      <c r="X27" s="535"/>
      <c r="Y27" s="535"/>
    </row>
    <row r="28" spans="1:25">
      <c r="A28" s="381" t="s">
        <v>335</v>
      </c>
      <c r="B28" s="370"/>
      <c r="C28" s="372" t="s">
        <v>400</v>
      </c>
      <c r="D28" s="492">
        <v>3</v>
      </c>
      <c r="E28" s="1079" t="s">
        <v>401</v>
      </c>
      <c r="F28" s="1079"/>
      <c r="G28" s="493"/>
      <c r="H28" s="370"/>
      <c r="I28" s="370"/>
      <c r="J28" s="370"/>
      <c r="K28" s="370"/>
      <c r="L28" s="370"/>
      <c r="M28" s="370"/>
      <c r="N28" s="970" t="s">
        <v>660</v>
      </c>
      <c r="O28" s="541"/>
      <c r="P28" s="541"/>
      <c r="Q28" s="541"/>
      <c r="R28" s="541"/>
      <c r="S28" s="541"/>
      <c r="T28" s="542"/>
      <c r="U28" s="542"/>
      <c r="V28" s="542"/>
      <c r="W28" s="535"/>
      <c r="X28" s="535"/>
      <c r="Y28" s="535"/>
    </row>
    <row r="29" spans="1:25">
      <c r="A29" s="381"/>
      <c r="B29" s="370"/>
      <c r="C29" s="370"/>
      <c r="D29" s="370"/>
      <c r="E29" s="370"/>
      <c r="F29" s="370"/>
      <c r="G29" s="370"/>
      <c r="H29" s="370"/>
      <c r="I29" s="370"/>
      <c r="J29" s="370"/>
      <c r="K29" s="370"/>
      <c r="L29" s="370"/>
      <c r="M29" s="370"/>
      <c r="N29" s="371"/>
      <c r="O29" s="541"/>
      <c r="P29" s="541"/>
      <c r="Q29" s="541"/>
      <c r="R29" s="541"/>
      <c r="S29" s="541"/>
      <c r="T29" s="542"/>
      <c r="U29" s="542"/>
      <c r="V29" s="542"/>
      <c r="W29" s="535"/>
      <c r="X29" s="535"/>
      <c r="Y29" s="535"/>
    </row>
    <row r="30" spans="1:25">
      <c r="A30" s="381"/>
      <c r="B30" s="370"/>
      <c r="C30" s="370"/>
      <c r="D30" s="370"/>
      <c r="E30" s="370"/>
      <c r="F30" s="370"/>
      <c r="G30" s="370"/>
      <c r="H30" s="370"/>
      <c r="I30" s="370"/>
      <c r="J30" s="370"/>
      <c r="K30" s="370"/>
      <c r="L30" s="370"/>
      <c r="M30" s="370"/>
      <c r="N30" s="371"/>
      <c r="O30" s="541"/>
      <c r="P30" s="541"/>
      <c r="Q30" s="541"/>
      <c r="R30" s="541"/>
      <c r="S30" s="541"/>
      <c r="T30" s="542"/>
      <c r="U30" s="542"/>
      <c r="V30" s="542"/>
      <c r="W30" s="535"/>
      <c r="X30" s="535"/>
      <c r="Y30" s="535"/>
    </row>
    <row r="31" spans="1:25">
      <c r="A31" s="381" t="s">
        <v>338</v>
      </c>
      <c r="B31" s="370"/>
      <c r="C31" s="370"/>
      <c r="D31" s="370"/>
      <c r="E31" s="370"/>
      <c r="F31" s="374"/>
      <c r="G31" s="370"/>
      <c r="H31" s="370"/>
      <c r="I31" s="370"/>
      <c r="J31" s="370"/>
      <c r="K31" s="370"/>
      <c r="L31" s="370"/>
      <c r="M31" s="370"/>
      <c r="N31" s="371"/>
      <c r="O31" s="541"/>
      <c r="P31" s="541"/>
      <c r="Q31" s="541"/>
      <c r="R31" s="541"/>
      <c r="S31" s="541"/>
      <c r="T31" s="542"/>
      <c r="U31" s="542"/>
      <c r="V31" s="542"/>
      <c r="W31" s="535"/>
      <c r="X31" s="535"/>
      <c r="Y31" s="535"/>
    </row>
    <row r="32" spans="1:25">
      <c r="A32" s="1084" t="s">
        <v>339</v>
      </c>
      <c r="B32" s="1147"/>
      <c r="C32" s="496" t="s">
        <v>340</v>
      </c>
      <c r="D32" s="370"/>
      <c r="E32" s="370"/>
      <c r="F32" s="370"/>
      <c r="G32" s="370"/>
      <c r="H32" s="370"/>
      <c r="I32" s="370"/>
      <c r="J32" s="370"/>
      <c r="K32" s="370"/>
      <c r="L32" s="370"/>
      <c r="M32" s="370"/>
      <c r="N32" s="371"/>
      <c r="O32" s="541"/>
      <c r="P32" s="541"/>
      <c r="Q32" s="541"/>
      <c r="R32" s="541"/>
      <c r="S32" s="541"/>
      <c r="T32" s="542"/>
      <c r="U32" s="542"/>
      <c r="V32" s="542"/>
      <c r="W32" s="535"/>
      <c r="X32" s="535"/>
      <c r="Y32" s="535"/>
    </row>
    <row r="33" spans="1:25">
      <c r="A33" s="381"/>
      <c r="B33" s="370"/>
      <c r="C33" s="370"/>
      <c r="D33" s="370"/>
      <c r="E33" s="370"/>
      <c r="F33" s="370"/>
      <c r="G33" s="370"/>
      <c r="H33" s="370"/>
      <c r="I33" s="370"/>
      <c r="J33" s="370"/>
      <c r="K33" s="370"/>
      <c r="L33" s="370"/>
      <c r="M33" s="370"/>
      <c r="N33" s="371"/>
      <c r="O33" s="541"/>
      <c r="P33" s="541"/>
      <c r="Q33" s="541"/>
      <c r="R33" s="541"/>
      <c r="S33" s="541"/>
      <c r="T33" s="542"/>
      <c r="U33" s="542"/>
      <c r="V33" s="542"/>
      <c r="W33" s="535"/>
      <c r="X33" s="535"/>
      <c r="Y33" s="535"/>
    </row>
    <row r="34" spans="1:25">
      <c r="A34" s="1078" t="s">
        <v>342</v>
      </c>
      <c r="B34" s="1079"/>
      <c r="C34" s="370"/>
      <c r="D34" s="370"/>
      <c r="E34" s="370"/>
      <c r="F34" s="370"/>
      <c r="G34" s="370"/>
      <c r="H34" s="370"/>
      <c r="I34" s="370"/>
      <c r="J34" s="370"/>
      <c r="K34" s="370"/>
      <c r="L34" s="370"/>
      <c r="M34" s="370"/>
      <c r="N34" s="371"/>
      <c r="O34" s="541"/>
      <c r="P34" s="541"/>
      <c r="Q34" s="541"/>
      <c r="R34" s="541"/>
      <c r="S34" s="541"/>
      <c r="T34" s="542"/>
      <c r="U34" s="542"/>
      <c r="V34" s="542"/>
      <c r="W34" s="535"/>
      <c r="X34" s="535"/>
      <c r="Y34" s="535"/>
    </row>
    <row r="35" spans="1:25" ht="15.75">
      <c r="A35" s="1080" t="s">
        <v>343</v>
      </c>
      <c r="B35" s="1081"/>
      <c r="C35" s="370"/>
      <c r="D35" s="971" t="s">
        <v>348</v>
      </c>
      <c r="E35" s="971"/>
      <c r="F35" s="973" t="s">
        <v>661</v>
      </c>
      <c r="G35" s="376"/>
      <c r="H35" s="971" t="s">
        <v>353</v>
      </c>
      <c r="I35" s="971"/>
      <c r="J35" s="972" t="s">
        <v>208</v>
      </c>
      <c r="K35" s="370"/>
      <c r="L35" s="1076" t="s">
        <v>357</v>
      </c>
      <c r="M35" s="1076"/>
      <c r="N35" s="371"/>
      <c r="O35" s="541"/>
      <c r="P35" s="541"/>
      <c r="Q35" s="541"/>
      <c r="R35" s="541"/>
      <c r="S35" s="541"/>
      <c r="T35" s="542"/>
      <c r="U35" s="542"/>
      <c r="V35" s="542"/>
      <c r="W35" s="535"/>
      <c r="X35" s="535"/>
      <c r="Y35" s="535"/>
    </row>
    <row r="36" spans="1:25">
      <c r="A36" s="1074" t="s">
        <v>344</v>
      </c>
      <c r="B36" s="1075"/>
      <c r="C36" s="494"/>
      <c r="D36" s="370" t="s">
        <v>349</v>
      </c>
      <c r="E36" s="370"/>
      <c r="F36" s="370"/>
      <c r="G36" s="494"/>
      <c r="H36" s="370" t="s">
        <v>354</v>
      </c>
      <c r="I36" s="370"/>
      <c r="J36" s="494" t="s">
        <v>405</v>
      </c>
      <c r="K36" s="370"/>
      <c r="L36" s="370" t="s">
        <v>358</v>
      </c>
      <c r="M36" s="370"/>
      <c r="N36" s="494"/>
      <c r="O36" s="541"/>
      <c r="P36" s="541"/>
      <c r="Q36" s="541"/>
      <c r="R36" s="541"/>
      <c r="S36" s="541"/>
      <c r="T36" s="542"/>
      <c r="U36" s="542"/>
      <c r="V36" s="542"/>
      <c r="W36" s="535"/>
      <c r="X36" s="535"/>
      <c r="Y36" s="535"/>
    </row>
    <row r="37" spans="1:25">
      <c r="A37" s="1074" t="s">
        <v>345</v>
      </c>
      <c r="B37" s="1075"/>
      <c r="C37" s="494" t="s">
        <v>403</v>
      </c>
      <c r="D37" s="370" t="s">
        <v>350</v>
      </c>
      <c r="E37" s="370"/>
      <c r="F37" s="370"/>
      <c r="G37" s="494" t="s">
        <v>403</v>
      </c>
      <c r="H37" s="370" t="s">
        <v>355</v>
      </c>
      <c r="I37" s="370"/>
      <c r="J37" s="494"/>
      <c r="K37" s="370"/>
      <c r="L37" s="370" t="s">
        <v>359</v>
      </c>
      <c r="M37" s="370"/>
      <c r="N37" s="494"/>
      <c r="O37" s="541"/>
      <c r="P37" s="541"/>
      <c r="Q37" s="541"/>
      <c r="R37" s="541"/>
      <c r="S37" s="541"/>
      <c r="T37" s="542"/>
      <c r="U37" s="542"/>
      <c r="V37" s="542"/>
      <c r="W37" s="535"/>
      <c r="X37" s="535"/>
      <c r="Y37" s="535"/>
    </row>
    <row r="38" spans="1:25">
      <c r="A38" s="1074" t="s">
        <v>346</v>
      </c>
      <c r="B38" s="1075"/>
      <c r="C38" s="494" t="s">
        <v>403</v>
      </c>
      <c r="D38" s="370" t="s">
        <v>351</v>
      </c>
      <c r="E38" s="370"/>
      <c r="F38" s="370"/>
      <c r="G38" s="494"/>
      <c r="H38" s="370" t="s">
        <v>356</v>
      </c>
      <c r="I38" s="370"/>
      <c r="J38" s="494"/>
      <c r="K38" s="370"/>
      <c r="L38" s="1076" t="s">
        <v>360</v>
      </c>
      <c r="M38" s="1076"/>
      <c r="N38" s="377"/>
      <c r="O38" s="1141"/>
      <c r="P38" s="1142"/>
      <c r="Q38" s="1142"/>
      <c r="R38" s="1142"/>
      <c r="S38" s="1142"/>
      <c r="T38" s="1142"/>
      <c r="U38" s="542"/>
      <c r="V38" s="542"/>
      <c r="W38" s="535"/>
      <c r="X38" s="535"/>
      <c r="Y38" s="535"/>
    </row>
    <row r="39" spans="1:25">
      <c r="A39" s="1074" t="s">
        <v>347</v>
      </c>
      <c r="B39" s="1075"/>
      <c r="C39" s="494"/>
      <c r="D39" s="370" t="s">
        <v>352</v>
      </c>
      <c r="E39" s="370"/>
      <c r="F39" s="370"/>
      <c r="G39" s="494"/>
      <c r="H39" s="370"/>
      <c r="I39" s="370"/>
      <c r="J39" s="495"/>
      <c r="K39" s="370"/>
      <c r="L39" s="1075" t="s">
        <v>362</v>
      </c>
      <c r="M39" s="1075"/>
      <c r="N39" s="494"/>
      <c r="O39" s="1143"/>
      <c r="P39" s="1141"/>
      <c r="Q39" s="1141"/>
      <c r="R39" s="1141"/>
      <c r="S39" s="1141"/>
      <c r="T39" s="1141"/>
      <c r="U39" s="542"/>
      <c r="V39" s="542"/>
      <c r="W39" s="535"/>
      <c r="X39" s="535"/>
      <c r="Y39" s="535"/>
    </row>
    <row r="40" spans="1:25" ht="16.5" thickBot="1">
      <c r="A40" s="382"/>
      <c r="B40" s="212"/>
      <c r="C40" s="212"/>
      <c r="D40" s="378"/>
      <c r="E40" s="86"/>
      <c r="F40" s="86"/>
      <c r="G40" s="86"/>
      <c r="H40" s="86"/>
      <c r="I40" s="86"/>
      <c r="J40" s="86"/>
      <c r="K40" s="86"/>
      <c r="L40" s="86"/>
      <c r="M40" s="86"/>
      <c r="N40" s="325"/>
      <c r="O40" s="1143"/>
      <c r="P40" s="1142"/>
      <c r="Q40" s="1142"/>
      <c r="R40" s="1142"/>
      <c r="S40" s="1142"/>
      <c r="T40" s="542"/>
      <c r="U40" s="542"/>
      <c r="V40" s="542"/>
      <c r="W40" s="535"/>
      <c r="X40" s="535"/>
      <c r="Y40" s="535"/>
    </row>
    <row r="41" spans="1:25" ht="15.75" thickBot="1">
      <c r="A41" s="1048" t="s">
        <v>404</v>
      </c>
      <c r="B41" s="1030"/>
      <c r="C41" s="1144"/>
      <c r="D41" s="1145"/>
      <c r="E41" s="1145"/>
      <c r="F41" s="1145"/>
      <c r="G41" s="1145"/>
      <c r="H41" s="1145"/>
      <c r="I41" s="1145"/>
      <c r="J41" s="1145"/>
      <c r="K41" s="1145"/>
      <c r="L41" s="1145"/>
      <c r="M41" s="1145"/>
      <c r="N41" s="1146"/>
      <c r="O41" s="1143"/>
      <c r="P41" s="1142"/>
      <c r="Q41" s="1142"/>
      <c r="R41" s="1142"/>
      <c r="S41" s="1142"/>
      <c r="T41" s="542"/>
      <c r="U41" s="542"/>
      <c r="V41" s="542"/>
      <c r="W41" s="535"/>
      <c r="X41" s="535"/>
      <c r="Y41" s="535"/>
    </row>
    <row r="42" spans="1:25" ht="15.75">
      <c r="A42" s="382"/>
      <c r="B42" s="212"/>
      <c r="C42" s="212"/>
      <c r="D42" s="378"/>
      <c r="E42" s="86"/>
      <c r="F42" s="86"/>
      <c r="G42" s="86"/>
      <c r="H42" s="86"/>
      <c r="I42" s="86"/>
      <c r="J42" s="86"/>
      <c r="K42" s="86"/>
      <c r="L42" s="86"/>
      <c r="M42" s="86"/>
      <c r="N42" s="325"/>
      <c r="O42" s="541"/>
      <c r="P42" s="541"/>
      <c r="Q42" s="541"/>
      <c r="R42" s="541"/>
      <c r="S42" s="541"/>
      <c r="T42" s="542"/>
      <c r="U42" s="542"/>
      <c r="V42" s="542"/>
      <c r="W42" s="535"/>
      <c r="X42" s="535"/>
      <c r="Y42" s="535"/>
    </row>
    <row r="43" spans="1:25" ht="15.75">
      <c r="A43" s="382"/>
      <c r="B43" s="212"/>
      <c r="C43" s="212"/>
      <c r="D43" s="378"/>
      <c r="E43" s="86"/>
      <c r="F43" s="86"/>
      <c r="G43" s="86"/>
      <c r="H43" s="86"/>
      <c r="I43" s="86"/>
      <c r="J43" s="86"/>
      <c r="K43" s="86"/>
      <c r="L43" s="86"/>
      <c r="M43" s="86"/>
      <c r="N43" s="325"/>
      <c r="O43" s="541"/>
      <c r="P43" s="541"/>
      <c r="Q43" s="541"/>
      <c r="R43" s="541"/>
      <c r="S43" s="541"/>
      <c r="T43" s="542"/>
      <c r="U43" s="542"/>
      <c r="V43" s="542"/>
      <c r="W43" s="535"/>
      <c r="X43" s="535"/>
      <c r="Y43" s="535"/>
    </row>
    <row r="44" spans="1:25" ht="15.75">
      <c r="A44" s="383"/>
      <c r="B44" s="384"/>
      <c r="C44" s="384"/>
      <c r="D44" s="385"/>
      <c r="E44" s="335"/>
      <c r="F44" s="335"/>
      <c r="G44" s="335"/>
      <c r="H44" s="335"/>
      <c r="I44" s="335"/>
      <c r="J44" s="335"/>
      <c r="K44" s="335"/>
      <c r="L44" s="335"/>
      <c r="M44" s="335"/>
      <c r="N44" s="352"/>
      <c r="O44" s="541"/>
      <c r="P44" s="541"/>
      <c r="Q44" s="541"/>
      <c r="R44" s="541"/>
      <c r="S44" s="541"/>
      <c r="T44" s="542"/>
      <c r="U44" s="542"/>
      <c r="V44" s="542"/>
      <c r="W44" s="535"/>
      <c r="X44" s="535"/>
      <c r="Y44" s="535"/>
    </row>
    <row r="45" spans="1:25" ht="15.75">
      <c r="A45" s="212"/>
      <c r="B45" s="212"/>
      <c r="C45" s="212"/>
      <c r="D45" s="378"/>
      <c r="E45" s="86"/>
      <c r="F45" s="86"/>
      <c r="G45" s="86"/>
      <c r="H45" s="86"/>
      <c r="I45" s="86"/>
      <c r="J45" s="86"/>
      <c r="K45" s="86"/>
      <c r="L45" s="86"/>
      <c r="M45" s="86"/>
      <c r="N45" s="86"/>
      <c r="O45" s="541"/>
      <c r="P45" s="541"/>
      <c r="Q45" s="541"/>
      <c r="R45" s="541"/>
      <c r="S45" s="541"/>
      <c r="T45" s="542"/>
      <c r="U45" s="542"/>
      <c r="V45" s="542"/>
      <c r="W45" s="535"/>
      <c r="X45" s="535"/>
      <c r="Y45" s="535"/>
    </row>
    <row r="46" spans="1:25">
      <c r="C46" s="562" t="s">
        <v>211</v>
      </c>
      <c r="D46" s="562" t="s">
        <v>217</v>
      </c>
      <c r="E46" s="36"/>
      <c r="F46" s="36"/>
      <c r="G46" s="36"/>
      <c r="H46" s="36"/>
      <c r="O46" s="541"/>
      <c r="P46" s="541"/>
      <c r="Q46" s="541"/>
      <c r="R46" s="541"/>
      <c r="S46" s="541"/>
      <c r="T46" s="542"/>
      <c r="U46" s="542"/>
      <c r="V46" s="542"/>
      <c r="W46" s="535"/>
      <c r="X46" s="535"/>
      <c r="Y46" s="535"/>
    </row>
    <row r="47" spans="1:25">
      <c r="A47" s="43" t="s">
        <v>213</v>
      </c>
      <c r="B47" s="43"/>
      <c r="C47" s="41"/>
      <c r="D47" s="41" t="s">
        <v>218</v>
      </c>
      <c r="E47" s="140"/>
      <c r="G47" s="141"/>
      <c r="I47" s="141"/>
      <c r="K47" s="141"/>
      <c r="M47" s="142"/>
      <c r="O47" s="541"/>
      <c r="P47" s="541"/>
      <c r="Q47" s="541"/>
      <c r="R47" s="541"/>
      <c r="S47" s="541"/>
      <c r="T47" s="542"/>
      <c r="U47" s="542"/>
      <c r="V47" s="542"/>
      <c r="W47" s="535"/>
      <c r="X47" s="535"/>
      <c r="Y47" s="535"/>
    </row>
    <row r="48" spans="1:25">
      <c r="A48" s="43" t="s">
        <v>214</v>
      </c>
      <c r="B48" s="43"/>
      <c r="C48" s="41"/>
      <c r="D48" s="41" t="s">
        <v>218</v>
      </c>
      <c r="E48" s="140"/>
      <c r="G48" s="141"/>
      <c r="I48" s="141"/>
      <c r="K48" s="141"/>
      <c r="M48" s="142"/>
      <c r="O48" s="541"/>
      <c r="P48" s="541"/>
      <c r="Q48" s="541"/>
      <c r="R48" s="541"/>
      <c r="S48" s="541"/>
      <c r="T48" s="542"/>
      <c r="U48" s="542"/>
      <c r="V48" s="542"/>
      <c r="W48" s="535"/>
      <c r="X48" s="535"/>
      <c r="Y48" s="535"/>
    </row>
    <row r="49" spans="1:25">
      <c r="A49" s="43" t="s">
        <v>215</v>
      </c>
      <c r="B49" s="43"/>
      <c r="C49" s="41"/>
      <c r="D49" s="41" t="s">
        <v>218</v>
      </c>
      <c r="E49" s="140"/>
      <c r="G49" s="141"/>
      <c r="I49" s="141"/>
      <c r="K49" s="141"/>
      <c r="M49" s="142"/>
      <c r="O49" s="541"/>
      <c r="P49" s="541"/>
      <c r="Q49" s="541"/>
      <c r="R49" s="541"/>
      <c r="S49" s="541"/>
      <c r="T49" s="542"/>
      <c r="U49" s="542"/>
      <c r="V49" s="542"/>
      <c r="W49" s="535"/>
      <c r="X49" s="535"/>
      <c r="Y49" s="535"/>
    </row>
    <row r="50" spans="1:25">
      <c r="A50" s="43" t="s">
        <v>216</v>
      </c>
      <c r="B50" s="43"/>
      <c r="C50" s="41"/>
      <c r="D50" s="41" t="s">
        <v>218</v>
      </c>
      <c r="E50" s="140"/>
      <c r="G50" s="141"/>
      <c r="I50" s="141"/>
      <c r="K50" s="141"/>
      <c r="M50" s="142"/>
      <c r="O50" s="541"/>
      <c r="P50" s="541"/>
      <c r="Q50" s="541"/>
      <c r="R50" s="541"/>
      <c r="S50" s="541"/>
      <c r="T50" s="542"/>
      <c r="U50" s="542"/>
      <c r="V50" s="542"/>
      <c r="W50" s="535"/>
      <c r="X50" s="535"/>
      <c r="Y50" s="535"/>
    </row>
    <row r="51" spans="1:25">
      <c r="A51" s="43"/>
      <c r="B51" s="43"/>
      <c r="C51" s="974"/>
      <c r="D51" s="974"/>
      <c r="E51" s="975"/>
      <c r="F51" s="84"/>
      <c r="G51" s="85"/>
      <c r="H51" s="84"/>
      <c r="I51" s="85"/>
      <c r="J51" s="84"/>
      <c r="K51" s="85"/>
      <c r="L51" s="84"/>
      <c r="M51" s="976"/>
      <c r="N51" s="84"/>
      <c r="O51" s="541"/>
      <c r="P51" s="541"/>
      <c r="Q51" s="541"/>
      <c r="R51" s="541"/>
      <c r="S51" s="541"/>
      <c r="T51" s="542"/>
      <c r="U51" s="542"/>
      <c r="V51" s="542"/>
      <c r="W51" s="535"/>
      <c r="X51" s="535"/>
      <c r="Y51" s="535"/>
    </row>
    <row r="52" spans="1:25">
      <c r="A52" s="1169" t="s">
        <v>663</v>
      </c>
      <c r="B52" s="1169"/>
      <c r="C52" s="1169"/>
      <c r="D52" s="1169"/>
      <c r="E52" s="1169"/>
      <c r="F52" s="1169"/>
      <c r="G52" s="1169"/>
      <c r="H52" s="1169"/>
      <c r="I52" s="1169"/>
      <c r="J52" s="1169"/>
      <c r="K52" s="1169"/>
      <c r="L52" s="1169"/>
      <c r="M52" s="1169"/>
      <c r="N52" s="1169"/>
      <c r="O52" s="541"/>
      <c r="P52" s="541"/>
      <c r="Q52" s="541"/>
      <c r="R52" s="541"/>
      <c r="S52" s="541"/>
      <c r="T52" s="542"/>
      <c r="U52" s="542"/>
      <c r="V52" s="542"/>
      <c r="W52" s="535"/>
      <c r="X52" s="535"/>
      <c r="Y52" s="535"/>
    </row>
    <row r="53" spans="1:25">
      <c r="A53" s="1148" t="s">
        <v>20</v>
      </c>
      <c r="B53" s="1148"/>
      <c r="C53" s="1148"/>
      <c r="D53" s="1148"/>
      <c r="E53" s="31"/>
      <c r="O53" s="541"/>
      <c r="P53" s="541"/>
      <c r="Q53" s="541"/>
      <c r="R53" s="541"/>
      <c r="S53" s="541"/>
      <c r="T53" s="542"/>
      <c r="U53" s="542"/>
      <c r="V53" s="542"/>
      <c r="W53" s="535"/>
      <c r="X53" s="535"/>
      <c r="Y53" s="535"/>
    </row>
    <row r="54" spans="1:25">
      <c r="A54" s="1149" t="s">
        <v>21</v>
      </c>
      <c r="B54" s="1149"/>
      <c r="C54" s="1149"/>
      <c r="D54" s="4"/>
      <c r="O54" s="541"/>
      <c r="P54" s="541"/>
      <c r="Q54" s="541"/>
      <c r="R54" s="541"/>
      <c r="S54" s="541"/>
      <c r="T54" s="542"/>
      <c r="U54" s="542"/>
      <c r="V54" s="542"/>
      <c r="W54" s="535"/>
      <c r="X54" s="535"/>
      <c r="Y54" s="535"/>
    </row>
    <row r="55" spans="1:25">
      <c r="A55" s="1135" t="s">
        <v>22</v>
      </c>
      <c r="B55" s="1135"/>
      <c r="C55" s="48" t="s">
        <v>226</v>
      </c>
      <c r="D55" s="44" t="s">
        <v>219</v>
      </c>
      <c r="E55" s="141">
        <v>11</v>
      </c>
      <c r="F55" s="1" t="str">
        <f>IF(E55=0,"ND",IF(E55&lt;12,"BAJO",IF(E55=11.9,"BAJO",IF(E55=12,"NORMAL",IF(E55&lt;=16,"NORMAL",IF(E55&gt;=16.1,"ALTO"))))))</f>
        <v>BAJO</v>
      </c>
      <c r="G55" s="141">
        <v>0</v>
      </c>
      <c r="H55" s="1" t="str">
        <f>IF(G55=0,"ND",IF(G55&lt;12,"BAJO",IF(G55=11.9,"BAJO",IF(G55=12,"NORMAL",IF(G55&lt;=16,"NORMAL",IF(G55&gt;=16.1,"ALTO"))))))</f>
        <v>ND</v>
      </c>
      <c r="I55" s="141">
        <v>0</v>
      </c>
      <c r="J55" s="1" t="str">
        <f>IF(I55=0,"ND",IF(I55&lt;12,"BAJO",IF(I55=11.9,"BAJO",IF(I55=12,"NORMAL",IF(I55&lt;=16,"NORMAL",IF(I55&gt;=16.1,"ALTO"))))))</f>
        <v>ND</v>
      </c>
      <c r="K55" s="141">
        <v>0</v>
      </c>
      <c r="L55" s="1" t="str">
        <f>IF(K55=0,"ND",IF(K55&lt;12,"BAJO",IF(K55=11.9,"BAJO",IF(K55=12,"NORMAL",IF(K55&lt;=16,"NORMAL",IF(K55&gt;=16.1,"ALTO"))))))</f>
        <v>ND</v>
      </c>
      <c r="M55" s="141">
        <v>0</v>
      </c>
      <c r="N55" s="1" t="str">
        <f>IF(M55=0,"ND",IF(M55&lt;12,"BAJO",IF(M55=11.9,"BAJO",IF(M55=12,"NORMAL",IF(M55&lt;=16,"NORMAL",IF(M55&gt;=16.1,"ALTO"))))))</f>
        <v>ND</v>
      </c>
      <c r="O55" s="541"/>
      <c r="P55" s="541"/>
      <c r="Q55" s="541"/>
      <c r="R55" s="541"/>
      <c r="S55" s="541"/>
      <c r="T55" s="542"/>
      <c r="U55" s="542"/>
      <c r="V55" s="542"/>
      <c r="W55" s="535"/>
      <c r="X55" s="535"/>
      <c r="Y55" s="535"/>
    </row>
    <row r="56" spans="1:25" s="62" customFormat="1">
      <c r="A56" s="59"/>
      <c r="B56" s="59"/>
      <c r="C56" s="66"/>
      <c r="D56" s="67">
        <v>0</v>
      </c>
      <c r="E56" s="62">
        <v>0</v>
      </c>
      <c r="O56" s="540"/>
      <c r="P56" s="540"/>
      <c r="Q56" s="540"/>
      <c r="R56" s="540"/>
      <c r="S56" s="540"/>
      <c r="T56" s="540"/>
      <c r="U56" s="540"/>
      <c r="V56" s="540"/>
      <c r="W56" s="536"/>
      <c r="X56" s="536"/>
      <c r="Y56" s="536"/>
    </row>
    <row r="57" spans="1:25">
      <c r="A57" s="1135" t="s">
        <v>23</v>
      </c>
      <c r="B57" s="1135"/>
      <c r="C57" s="46" t="s">
        <v>227</v>
      </c>
      <c r="D57" s="42" t="s">
        <v>52</v>
      </c>
      <c r="E57" s="141">
        <v>32</v>
      </c>
      <c r="F57" s="1" t="str">
        <f>IF(E57=0,"ND",IF(E57&lt;36,"BAJO",IF(E57=35.9,"BAJO",IF(E57=36,"NORMAL",IF(E57&lt;=47,"NORMAL",IF(E57&gt;=47.1,"ALTO"))))))</f>
        <v>BAJO</v>
      </c>
      <c r="G57" s="141">
        <v>0</v>
      </c>
      <c r="H57" s="1" t="str">
        <f>IF(G57=0,"ND",IF(G57&lt;36,"BAJO",IF(G57=35.9,"BAJO",IF(G57=36,"NORMAL",IF(G57&lt;=47,"NORMAL",IF(G57&gt;=47.1,"ALTO"))))))</f>
        <v>ND</v>
      </c>
      <c r="I57" s="141">
        <v>0</v>
      </c>
      <c r="J57" s="1" t="str">
        <f>IF(I57=0,"ND",IF(I57&lt;36,"BAJO",IF(I57=35.9,"BAJO",IF(I57=36,"NORMAL",IF(I57&lt;=47,"NORMAL",IF(I57&gt;=47.1,"ALTO"))))))</f>
        <v>ND</v>
      </c>
      <c r="K57" s="141">
        <v>0</v>
      </c>
      <c r="L57" s="1" t="str">
        <f>IF(K57=0,"ND",IF(K57&lt;36,"BAJO",IF(K57=35.9,"BAJO",IF(K57=36,"NORMAL",IF(K57&lt;=47,"NORMAL",IF(K57&gt;=47.1,"ALTO"))))))</f>
        <v>ND</v>
      </c>
      <c r="M57" s="141">
        <v>0</v>
      </c>
      <c r="N57" s="1" t="str">
        <f>IF(M57=0,"ND",IF(M57&lt;36,"BAJO",IF(M57=35.9,"BAJO",IF(M57=36,"NORMAL",IF(M57&lt;=47,"NORMAL",IF(M57&gt;=47.1,"ALTO"))))))</f>
        <v>ND</v>
      </c>
      <c r="O57" s="542"/>
      <c r="P57" s="542"/>
      <c r="Q57" s="542"/>
      <c r="R57" s="542"/>
      <c r="S57" s="542"/>
      <c r="T57" s="542"/>
      <c r="U57" s="542"/>
      <c r="V57" s="542"/>
      <c r="W57" s="535"/>
      <c r="X57" s="535"/>
      <c r="Y57" s="535"/>
    </row>
    <row r="58" spans="1:25" s="62" customFormat="1">
      <c r="A58" s="59"/>
      <c r="B58" s="59"/>
      <c r="C58" s="60"/>
      <c r="D58" s="61"/>
      <c r="O58" s="540"/>
      <c r="P58" s="540"/>
      <c r="Q58" s="540"/>
      <c r="R58" s="540"/>
      <c r="S58" s="540"/>
      <c r="T58" s="540"/>
      <c r="U58" s="540"/>
      <c r="V58" s="540"/>
      <c r="W58" s="536"/>
      <c r="X58" s="536"/>
      <c r="Y58" s="536"/>
    </row>
    <row r="59" spans="1:25">
      <c r="A59" s="1135" t="s">
        <v>24</v>
      </c>
      <c r="B59" s="1135"/>
      <c r="C59" s="46" t="s">
        <v>228</v>
      </c>
      <c r="D59" s="42" t="s">
        <v>220</v>
      </c>
      <c r="E59" s="141">
        <v>12.7</v>
      </c>
      <c r="F59" s="1" t="str">
        <f>IF(E59=0,"ND",IF(E59&lt;4000,"BAJO",IF(E59=4000,"NORMAL",IF(E59&lt;=11000,"NORMAL",IF(E59&gt;=11001,"ALTO")))))</f>
        <v>BAJO</v>
      </c>
      <c r="G59" s="141"/>
      <c r="H59" s="1" t="str">
        <f>IF(G59=0,"ND",IF(G59&lt;4000,"BAJO",IF(G59=4000,"NORMAL",IF(G59&lt;=11000,"NORMAL",IF(G59&gt;=11001,"ALTO")))))</f>
        <v>ND</v>
      </c>
      <c r="I59" s="143"/>
      <c r="J59" s="1" t="str">
        <f>IF(I59=0,"ND",IF(I59&lt;4000,"BAJO",IF(I59=4000,"NORMAL",IF(I59&lt;=11000,"NORMAL",IF(I59&gt;=11001,"ALTO")))))</f>
        <v>ND</v>
      </c>
      <c r="K59" s="143">
        <v>0</v>
      </c>
      <c r="L59" s="1" t="str">
        <f>IF(K59=0,"ND",IF(K59&lt;4000,"BAJO",IF(K59=4000,"NORMAL",IF(K59&lt;=11000,"NORMAL",IF(K59&gt;=11001,"ALTO")))))</f>
        <v>ND</v>
      </c>
      <c r="M59" s="143">
        <v>0</v>
      </c>
      <c r="N59" s="1" t="str">
        <f>IF(M59=0,"ND",IF(M59&lt;4000,"BAJO",IF(M59=4000,"NORMAL",IF(M59&lt;=11000,"NORMAL",IF(M59&gt;=11001,"ALTO")))))</f>
        <v>ND</v>
      </c>
      <c r="O59" s="542"/>
      <c r="P59" s="542"/>
      <c r="Q59" s="542"/>
      <c r="R59" s="542"/>
      <c r="S59" s="542"/>
      <c r="T59" s="542"/>
      <c r="U59" s="542"/>
      <c r="V59" s="542"/>
      <c r="W59" s="535"/>
      <c r="X59" s="535"/>
      <c r="Y59" s="535"/>
    </row>
    <row r="60" spans="1:25">
      <c r="A60" s="984"/>
      <c r="B60" s="984"/>
      <c r="C60" s="984"/>
      <c r="D60" s="4"/>
      <c r="O60" s="542"/>
      <c r="P60" s="542"/>
      <c r="Q60" s="542"/>
      <c r="R60" s="542"/>
      <c r="S60" s="542"/>
      <c r="T60" s="542"/>
      <c r="U60" s="542"/>
      <c r="V60" s="542"/>
      <c r="W60" s="535"/>
      <c r="X60" s="535"/>
      <c r="Y60" s="535"/>
    </row>
    <row r="61" spans="1:25">
      <c r="A61" s="1138" t="s">
        <v>20</v>
      </c>
      <c r="B61" s="1138"/>
      <c r="C61" s="1138"/>
      <c r="D61" s="4"/>
      <c r="O61" s="542"/>
      <c r="P61" s="542"/>
      <c r="Q61" s="542"/>
      <c r="R61" s="542"/>
      <c r="S61" s="542"/>
      <c r="T61" s="542"/>
      <c r="U61" s="542"/>
      <c r="V61" s="542"/>
      <c r="W61" s="535"/>
      <c r="X61" s="535"/>
      <c r="Y61" s="535"/>
    </row>
    <row r="62" spans="1:25">
      <c r="A62" s="1135" t="s">
        <v>25</v>
      </c>
      <c r="B62" s="1135"/>
      <c r="C62" s="56" t="s">
        <v>229</v>
      </c>
      <c r="D62" s="57" t="s">
        <v>221</v>
      </c>
      <c r="E62" s="144">
        <v>109</v>
      </c>
      <c r="F62" s="1" t="str">
        <f>IF(E62=0,"ND",IF(E62&lt;65,"BAJO",IF(E62=64.9,"BAJO",IF(E62=65,"NORMAL",IF(E62&lt;=110,"NORMAL",IF(E62&gt;=110.1,"ALTO"))))))</f>
        <v>NORMAL</v>
      </c>
      <c r="G62" s="144"/>
      <c r="H62" s="1" t="str">
        <f>IF(G62=0,"ND",IF(G62&lt;65,"BAJO",IF(G62=64.9,"BAJO",IF(G62=65,"NORMAL",IF(G62&lt;=110,"NORMAL",IF(G62&gt;=110.1,"ALTO"))))))</f>
        <v>ND</v>
      </c>
      <c r="I62" s="144"/>
      <c r="J62" s="1" t="str">
        <f>IF(I62=0,"ND",IF(I62&lt;65,"BAJO",IF(I62=64.9,"BAJO",IF(I62=65,"NORMAL",IF(I62&lt;=110,"NORMAL",IF(I62&gt;=110.1,"ALTO"))))))</f>
        <v>ND</v>
      </c>
      <c r="K62" s="144"/>
      <c r="L62" s="1" t="str">
        <f>IF(K62=0,"ND",IF(K62&lt;65,"BAJO",IF(K62=64.9,"BAJO",IF(K62=65,"NORMAL",IF(K62&lt;=110,"NORMAL",IF(K62&gt;=110.1,"ALTO"))))))</f>
        <v>ND</v>
      </c>
      <c r="M62" s="144"/>
      <c r="N62" s="1" t="str">
        <f>IF(M62=0,"ND",IF(M62&lt;65,"BAJO",IF(M62=64.9,"BAJO",IF(M62=65,"NORMAL",IF(M62&lt;=110,"NORMAL",IF(M62&gt;=110.1,"ALTO"))))))</f>
        <v>ND</v>
      </c>
      <c r="O62" s="542"/>
      <c r="P62" s="542"/>
      <c r="Q62" s="542"/>
      <c r="R62" s="542"/>
      <c r="S62" s="542"/>
      <c r="T62" s="542"/>
      <c r="U62" s="542"/>
      <c r="V62" s="542"/>
      <c r="W62" s="535"/>
      <c r="X62" s="535"/>
      <c r="Y62" s="535"/>
    </row>
    <row r="63" spans="1:25" s="62" customFormat="1">
      <c r="A63" s="59"/>
      <c r="B63" s="59"/>
      <c r="C63" s="60"/>
      <c r="D63" s="61"/>
      <c r="O63" s="540"/>
      <c r="P63" s="540"/>
      <c r="Q63" s="540"/>
      <c r="R63" s="540"/>
      <c r="S63" s="540"/>
      <c r="T63" s="540"/>
      <c r="U63" s="540"/>
      <c r="V63" s="540"/>
      <c r="W63" s="536"/>
      <c r="X63" s="536"/>
      <c r="Y63" s="536"/>
    </row>
    <row r="64" spans="1:25">
      <c r="A64" s="1135" t="s">
        <v>26</v>
      </c>
      <c r="B64" s="1135"/>
      <c r="C64" s="70" t="s">
        <v>230</v>
      </c>
      <c r="D64" s="69" t="s">
        <v>221</v>
      </c>
      <c r="E64" s="145">
        <v>41</v>
      </c>
      <c r="F64" s="1" t="str">
        <f>IF(E64=0,"ND",IF(E64&lt;14,"BAJO",IF(E64=13.9,"BAJO",IF(E64=14,"NORMAL",IF(E64&lt;=44,"NORMAL",IF(E64&gt;=44.1,"ALTO"))))))</f>
        <v>NORMAL</v>
      </c>
      <c r="G64" s="145"/>
      <c r="H64" s="1" t="str">
        <f>IF(G64=0,"ND",IF(G64&lt;14,"BAJO",IF(G64=13.9,"BAJO",IF(G64=14,"NORMAL",IF(G64&lt;=44,"NORMAL",IF(G64&gt;=44.1,"ALTO"))))))</f>
        <v>ND</v>
      </c>
      <c r="I64" s="145"/>
      <c r="J64" s="1" t="str">
        <f>IF(I64=0,"ND",IF(I64&lt;14,"BAJO",IF(I64=13.9,"BAJO",IF(I64=14,"NORMAL",IF(I64&lt;=44,"NORMAL",IF(I64&gt;=44.1,"ALTO"))))))</f>
        <v>ND</v>
      </c>
      <c r="K64" s="145"/>
      <c r="L64" s="1" t="str">
        <f>IF(K64=0,"ND",IF(K64&lt;14,"BAJO",IF(K64=13.9,"BAJO",IF(K64=14,"NORMAL",IF(K64&lt;=44,"NORMAL",IF(K64&gt;=44.1,"ALTO"))))))</f>
        <v>ND</v>
      </c>
      <c r="M64" s="145"/>
      <c r="N64" s="1" t="str">
        <f>IF(M64=0,"ND",IF(M64&lt;14,"BAJO",IF(M64=13.9,"BAJO",IF(M64=14,"NORMAL",IF(M64&lt;=44,"NORMAL",IF(M64&gt;=44.1,"ALTO"))))))</f>
        <v>ND</v>
      </c>
      <c r="O64" s="542"/>
      <c r="P64" s="542"/>
      <c r="Q64" s="542"/>
      <c r="R64" s="542"/>
      <c r="S64" s="542"/>
      <c r="T64" s="542"/>
      <c r="U64" s="542"/>
      <c r="V64" s="542"/>
      <c r="W64" s="535"/>
      <c r="X64" s="535"/>
      <c r="Y64" s="535"/>
    </row>
    <row r="65" spans="1:25" s="62" customFormat="1">
      <c r="A65" s="59"/>
      <c r="B65" s="59"/>
      <c r="C65" s="71"/>
      <c r="D65" s="61"/>
      <c r="O65" s="540"/>
      <c r="P65" s="540"/>
      <c r="Q65" s="540"/>
      <c r="R65" s="540"/>
      <c r="S65" s="540"/>
      <c r="T65" s="540"/>
      <c r="U65" s="540"/>
      <c r="V65" s="540"/>
      <c r="W65" s="536"/>
      <c r="X65" s="536"/>
      <c r="Y65" s="536"/>
    </row>
    <row r="66" spans="1:25">
      <c r="A66" s="1135" t="s">
        <v>27</v>
      </c>
      <c r="B66" s="1135"/>
      <c r="C66" s="68" t="s">
        <v>225</v>
      </c>
      <c r="D66" s="69" t="s">
        <v>221</v>
      </c>
      <c r="E66" s="145">
        <v>0</v>
      </c>
      <c r="F66" s="1" t="str">
        <f>IF(E66=0,"ND",IF(E66&lt;3.4,"BAJO",IF(E66&lt;=3.39,"BAJO",IF(E66=3.4,"NORMAL",IF(E66&lt;=7,"NORMAL",IF(E66&gt;=7.1,"ALTO"))))))</f>
        <v>ND</v>
      </c>
      <c r="G66" s="145"/>
      <c r="H66" s="1" t="str">
        <f>IF(G66=0,"ND",IF(G66&lt;3.4,"BAJO",IF(G66&lt;=3.39,"BAJO",IF(G66=3.4,"NORMAL",IF(G66&lt;=7,"NORMAL",IF(G66&gt;=7.1,"ALTO"))))))</f>
        <v>ND</v>
      </c>
      <c r="I66" s="145"/>
      <c r="J66" s="1" t="str">
        <f>IF(I66=0,"ND",IF(I66&lt;3.4,"BAJO",IF(I66&lt;=3.39,"BAJO",IF(I66=3.4,"NORMAL",IF(I66&lt;=7,"NORMAL",IF(I66&gt;=7.1,"ALTO"))))))</f>
        <v>ND</v>
      </c>
      <c r="K66" s="145"/>
      <c r="L66" s="1" t="str">
        <f>IF(K66=0,"ND",IF(K66&lt;3.4,"BAJO",IF(K66&lt;=3.39,"BAJO",IF(K66=3.4,"NORMAL",IF(K66&lt;=7,"NORMAL",IF(K66&gt;=7.1,"ALTO"))))))</f>
        <v>ND</v>
      </c>
      <c r="M66" s="145"/>
      <c r="N66" s="1" t="str">
        <f>IF(M66=0,"ND",IF(M66&lt;3.4,"BAJO",IF(M66&lt;=3.39,"BAJO",IF(M66=3.4,"NORMAL",IF(M66&lt;=7,"NORMAL",IF(M66&gt;=7.1,"ALTO"))))))</f>
        <v>ND</v>
      </c>
      <c r="O66" s="542"/>
      <c r="P66" s="542"/>
      <c r="Q66" s="542"/>
      <c r="R66" s="542"/>
      <c r="S66" s="542"/>
      <c r="T66" s="542"/>
      <c r="U66" s="542"/>
      <c r="V66" s="542"/>
      <c r="W66" s="535"/>
      <c r="X66" s="535"/>
      <c r="Y66" s="535"/>
    </row>
    <row r="67" spans="1:25" s="62" customFormat="1">
      <c r="A67" s="59"/>
      <c r="B67" s="59"/>
      <c r="C67" s="60"/>
      <c r="D67" s="61"/>
      <c r="O67" s="540"/>
      <c r="P67" s="540"/>
      <c r="Q67" s="540"/>
      <c r="R67" s="540"/>
      <c r="S67" s="540"/>
      <c r="T67" s="540"/>
      <c r="U67" s="540"/>
      <c r="V67" s="540"/>
      <c r="W67" s="536"/>
      <c r="X67" s="536"/>
      <c r="Y67" s="536"/>
    </row>
    <row r="68" spans="1:25">
      <c r="A68" s="1135" t="s">
        <v>28</v>
      </c>
      <c r="B68" s="1135"/>
      <c r="C68" s="64" t="s">
        <v>231</v>
      </c>
      <c r="D68" s="58" t="s">
        <v>221</v>
      </c>
      <c r="E68" s="143"/>
      <c r="F68" s="1" t="str">
        <f>IF(E68=0,"ND",IF(E68&lt;0.5,"BAJO",IF(E68=0.49,"BAJO",IF(E68=0.5,"NORMAL",IF(E68&lt;=1.6,"NORMAL",IF(E68&gt;=1.61,"ALTO"))))))</f>
        <v>ND</v>
      </c>
      <c r="G68" s="143"/>
      <c r="H68" s="1" t="str">
        <f>IF(G68=0,"ND",IF(G68&lt;0.5,"BAJO",IF(G68=0.49,"BAJO",IF(G68=0.5,"NORMAL",IF(G68&lt;=1.6,"NORMAL",IF(G68&gt;=1.61,"ALTO"))))))</f>
        <v>ND</v>
      </c>
      <c r="I68" s="143"/>
      <c r="J68" s="1" t="str">
        <f>IF(I68=0,"ND",IF(I68&lt;0.5,"BAJO",IF(I68=0.49,"BAJO",IF(I68=0.5,"NORMAL",IF(I68&lt;=1.6,"NORMAL",IF(I68&gt;=1.61,"ALTO"))))))</f>
        <v>ND</v>
      </c>
      <c r="K68" s="143"/>
      <c r="L68" s="1" t="str">
        <f>IF(K68=0,"ND",IF(K68&lt;0.5,"BAJO",IF(K68=0.49,"BAJO",IF(K68=0.5,"NORMAL",IF(K68&lt;=1.6,"NORMAL",IF(K68&gt;=1.61,"ALTO"))))))</f>
        <v>ND</v>
      </c>
      <c r="M68" s="143"/>
      <c r="N68" s="1" t="str">
        <f>IF(M68=0,"ND",IF(M68&lt;0.5,"BAJO",IF(M68=0.49,"BAJO",IF(M68=0.5,"NORMAL",IF(M68&lt;=1.6,"NORMAL",IF(M68&gt;=1.61,"ALTO"))))))</f>
        <v>ND</v>
      </c>
      <c r="O68" s="542"/>
      <c r="P68" s="542"/>
      <c r="Q68" s="542"/>
      <c r="R68" s="542"/>
      <c r="S68" s="542"/>
      <c r="T68" s="542"/>
      <c r="U68" s="542"/>
      <c r="V68" s="542"/>
      <c r="W68" s="535"/>
      <c r="X68" s="535"/>
      <c r="Y68" s="535"/>
    </row>
    <row r="69" spans="1:25">
      <c r="A69" s="984"/>
      <c r="B69" s="984"/>
      <c r="C69" s="984"/>
      <c r="D69" s="4"/>
      <c r="O69" s="542"/>
      <c r="P69" s="542"/>
      <c r="Q69" s="542"/>
      <c r="R69" s="542"/>
      <c r="S69" s="542"/>
      <c r="T69" s="542"/>
      <c r="U69" s="542"/>
      <c r="V69" s="542"/>
      <c r="W69" s="535"/>
      <c r="X69" s="535"/>
      <c r="Y69" s="535"/>
    </row>
    <row r="70" spans="1:25">
      <c r="A70" s="1138" t="s">
        <v>29</v>
      </c>
      <c r="B70" s="1138"/>
      <c r="C70" s="1138"/>
      <c r="D70" s="4"/>
      <c r="O70" s="542"/>
      <c r="P70" s="542"/>
      <c r="Q70" s="542"/>
      <c r="R70" s="542"/>
      <c r="S70" s="542"/>
      <c r="T70" s="542"/>
      <c r="U70" s="542"/>
      <c r="V70" s="542"/>
      <c r="W70" s="535"/>
      <c r="X70" s="535"/>
      <c r="Y70" s="535"/>
    </row>
    <row r="71" spans="1:25">
      <c r="A71" s="562" t="s">
        <v>30</v>
      </c>
      <c r="B71" s="562"/>
      <c r="C71" s="56" t="s">
        <v>224</v>
      </c>
      <c r="D71" s="57" t="s">
        <v>219</v>
      </c>
      <c r="E71" s="144">
        <v>0</v>
      </c>
      <c r="F71" s="1" t="str">
        <f>IF(E71=0,"ND",IF(E71&lt;6.4,"BAJO",IF(E71=6.39,"BAJO",IF(E71=6.4,"NORMAL",IF(E71&lt;=8.3,"NORMAL",IF(E71&gt;=8.31,"ALTO"))))))</f>
        <v>ND</v>
      </c>
      <c r="G71" s="144"/>
      <c r="H71" s="1" t="str">
        <f>IF(G71=0,"ND",IF(G71&lt;6.4,"BAJO",IF(G71=6.39,"BAJO",IF(G71=6.4,"NORMAL",IF(G71&lt;=8.3,"NORMAL",IF(G71&gt;=8.31,"ALTO"))))))</f>
        <v>ND</v>
      </c>
      <c r="I71" s="144"/>
      <c r="J71" s="1" t="str">
        <f>IF(I71=0,"ND",IF(I71&lt;6.4,"BAJO",IF(I71=6.39,"BAJO",IF(I71=6.4,"NORMAL",IF(I71&lt;=8.3,"NORMAL",IF(I71&gt;=8.31,"ALTO"))))))</f>
        <v>ND</v>
      </c>
      <c r="K71" s="144"/>
      <c r="L71" s="1" t="str">
        <f>IF(K71=0,"ND",IF(K71&lt;6.4,"BAJO",IF(K71=6.39,"BAJO",IF(K71=6.4,"NORMAL",IF(K71&lt;=8.3,"NORMAL",IF(K71&gt;=8.31,"ALTO"))))))</f>
        <v>ND</v>
      </c>
      <c r="M71" s="144"/>
      <c r="N71" s="1" t="str">
        <f>IF(M71=0,"ND",IF(M71&lt;6.4,"BAJO",IF(M71=6.39,"BAJO",IF(M71=6.4,"NORMAL",IF(M71&lt;=8.3,"NORMAL",IF(M71&gt;=8.31,"ALTO"))))))</f>
        <v>ND</v>
      </c>
      <c r="O71" s="542"/>
      <c r="P71" s="542"/>
      <c r="Q71" s="542"/>
      <c r="R71" s="542"/>
      <c r="S71" s="542"/>
      <c r="T71" s="542"/>
      <c r="U71" s="542"/>
      <c r="V71" s="542"/>
      <c r="W71" s="535"/>
      <c r="X71" s="535"/>
      <c r="Y71" s="535"/>
    </row>
    <row r="72" spans="1:25" s="62" customFormat="1">
      <c r="A72" s="65"/>
      <c r="B72" s="65"/>
      <c r="C72" s="60"/>
      <c r="D72" s="61"/>
      <c r="O72" s="540"/>
      <c r="P72" s="540"/>
      <c r="Q72" s="540"/>
      <c r="R72" s="540"/>
      <c r="S72" s="540"/>
      <c r="T72" s="540"/>
      <c r="U72" s="540"/>
      <c r="V72" s="540"/>
      <c r="W72" s="536"/>
      <c r="X72" s="536"/>
      <c r="Y72" s="536"/>
    </row>
    <row r="73" spans="1:25">
      <c r="A73" s="1139" t="s">
        <v>31</v>
      </c>
      <c r="B73" s="1139"/>
      <c r="C73" s="64" t="s">
        <v>212</v>
      </c>
      <c r="D73" s="58" t="s">
        <v>219</v>
      </c>
      <c r="E73" s="143">
        <v>0</v>
      </c>
      <c r="F73" s="1" t="str">
        <f>IF(E73=0,"ND",IF(E73&lt;3.4,"BAJO",IF(E73=3.39,"BAJO",IF(E73=3.4,"NORMAL",IF(E73&lt;=5,"NORMAL",IF(E73&gt;=5.01,"ALTO"))))))</f>
        <v>ND</v>
      </c>
      <c r="G73" s="143"/>
      <c r="H73" s="1" t="str">
        <f>IF(G73=0,"ND",IF(G73&lt;3.4,"BAJO",IF(G73=3.39,"BAJO",IF(G73=3.4,"NORMAL",IF(G73&lt;=5,"NORMAL",IF(G73&gt;=5.01,"ALTO"))))))</f>
        <v>ND</v>
      </c>
      <c r="I73" s="143"/>
      <c r="J73" s="1" t="str">
        <f>IF(I73=0,"ND",IF(I73&lt;3.4,"BAJO",IF(I73=3.39,"BAJO",IF(I73=3.4,"NORMAL",IF(I73&lt;=5,"NORMAL",IF(I73&gt;=5.01,"ALTO"))))))</f>
        <v>ND</v>
      </c>
      <c r="K73" s="143"/>
      <c r="L73" s="1" t="str">
        <f>IF(K73=0,"ND",IF(K73&lt;3.4,"BAJO",IF(K73=3.39,"BAJO",IF(K73=3.4,"NORMAL",IF(K73&lt;=5,"NORMAL",IF(K73&gt;=5.01,"ALTO"))))))</f>
        <v>ND</v>
      </c>
      <c r="M73" s="143"/>
      <c r="N73" s="1" t="str">
        <f>IF(M73=0,"ND",IF(M73&lt;3.4,"BAJO",IF(M73=3.39,"BAJO",IF(M73=3.4,"NORMAL",IF(M73&lt;=5,"NORMAL",IF(M73&gt;=5.01,"ALTO"))))))</f>
        <v>ND</v>
      </c>
      <c r="O73" s="542"/>
      <c r="P73" s="542"/>
      <c r="Q73" s="542"/>
      <c r="R73" s="542"/>
      <c r="S73" s="542"/>
      <c r="T73" s="542"/>
      <c r="U73" s="542"/>
      <c r="V73" s="542"/>
      <c r="W73" s="535"/>
      <c r="X73" s="535"/>
      <c r="Y73" s="535"/>
    </row>
    <row r="74" spans="1:25">
      <c r="A74" s="5"/>
      <c r="B74" s="5"/>
      <c r="C74" s="5"/>
      <c r="D74" s="4"/>
      <c r="O74" s="542"/>
      <c r="P74" s="542"/>
      <c r="Q74" s="542"/>
      <c r="R74" s="542"/>
      <c r="S74" s="542"/>
      <c r="T74" s="542"/>
      <c r="U74" s="542"/>
      <c r="V74" s="542"/>
      <c r="W74" s="535"/>
      <c r="X74" s="535"/>
      <c r="Y74" s="535"/>
    </row>
    <row r="75" spans="1:25">
      <c r="A75" s="1138" t="s">
        <v>32</v>
      </c>
      <c r="B75" s="1138"/>
      <c r="C75" s="1138"/>
      <c r="D75" s="4"/>
      <c r="O75" s="542"/>
      <c r="P75" s="542"/>
      <c r="Q75" s="542"/>
      <c r="R75" s="542"/>
      <c r="S75" s="542"/>
      <c r="T75" s="542"/>
      <c r="U75" s="542"/>
      <c r="V75" s="542"/>
      <c r="W75" s="535"/>
      <c r="X75" s="535"/>
      <c r="Y75" s="535"/>
    </row>
    <row r="76" spans="1:25">
      <c r="A76" s="560" t="s">
        <v>33</v>
      </c>
      <c r="B76" s="560"/>
      <c r="C76" s="46" t="s">
        <v>232</v>
      </c>
      <c r="D76" s="42" t="s">
        <v>221</v>
      </c>
      <c r="E76" s="141">
        <v>0</v>
      </c>
      <c r="F76" s="1" t="str">
        <f>IF(E76=0,"ND",IF(E76&lt;140,"BAJO",IF(E76=139.9,"BAJO",IF(E76=140,"NORMAL",IF(E76&lt;=200,"NORMAL",IF(E76&gt;=200.1,"ALTO"))))))</f>
        <v>ND</v>
      </c>
      <c r="G76" s="141"/>
      <c r="H76" s="1" t="str">
        <f>IF(G76=0,"ND",IF(G76&lt;140,"BAJO",IF(G76=139.9,"BAJO",IF(G76=140,"NORMAL",IF(G76&lt;=200,"NORMAL",IF(G76&gt;=200.1,"ALTO"))))))</f>
        <v>ND</v>
      </c>
      <c r="I76" s="141"/>
      <c r="J76" s="1" t="str">
        <f>IF(I76=0,"ND",IF(I76&lt;140,"BAJO",IF(I76=139.9,"BAJO",IF(I76=140,"NORMAL",IF(I76&lt;=200,"NORMAL",IF(I76&gt;=200.1,"ALTO"))))))</f>
        <v>ND</v>
      </c>
      <c r="K76" s="141"/>
      <c r="L76" s="1" t="str">
        <f>IF(K76=0,"ND",IF(K76&lt;140,"BAJO",IF(K76=139.9,"BAJO",IF(K76=140,"NORMAL",IF(K76&lt;=200,"NORMAL",IF(K76&gt;=200.1,"ALTO"))))))</f>
        <v>ND</v>
      </c>
      <c r="M76" s="141"/>
      <c r="N76" s="1" t="str">
        <f>IF(M76=0,"ND",IF(M76&lt;140,"BAJO",IF(M76=139.9,"BAJO",IF(M76=140,"NORMAL",IF(M76&lt;=200,"NORMAL",IF(M76&gt;=200.1,"ALTO"))))))</f>
        <v>ND</v>
      </c>
      <c r="O76" s="542"/>
      <c r="P76" s="542"/>
      <c r="Q76" s="542"/>
      <c r="R76" s="542"/>
      <c r="S76" s="542"/>
      <c r="T76" s="542"/>
      <c r="U76" s="542"/>
      <c r="V76" s="542"/>
      <c r="W76" s="535"/>
      <c r="X76" s="535"/>
      <c r="Y76" s="535"/>
    </row>
    <row r="77" spans="1:25" s="63" customFormat="1">
      <c r="A77" s="59"/>
      <c r="B77" s="59"/>
      <c r="C77" s="60"/>
      <c r="D77" s="61"/>
      <c r="E77" s="62"/>
      <c r="F77" s="62"/>
      <c r="G77" s="62"/>
      <c r="H77" s="62"/>
      <c r="I77" s="62"/>
      <c r="J77" s="62"/>
      <c r="K77" s="62"/>
      <c r="L77" s="62"/>
      <c r="M77" s="62"/>
      <c r="O77" s="542"/>
      <c r="P77" s="542"/>
      <c r="Q77" s="542"/>
      <c r="R77" s="542"/>
      <c r="S77" s="542"/>
      <c r="T77" s="542"/>
      <c r="U77" s="542"/>
      <c r="V77" s="542"/>
      <c r="W77" s="535"/>
      <c r="X77" s="535"/>
      <c r="Y77" s="535"/>
    </row>
    <row r="78" spans="1:25">
      <c r="A78" s="1135" t="s">
        <v>34</v>
      </c>
      <c r="B78" s="1135"/>
      <c r="C78" s="47" t="s">
        <v>233</v>
      </c>
      <c r="D78" s="42" t="s">
        <v>221</v>
      </c>
      <c r="E78" s="141">
        <v>0</v>
      </c>
      <c r="F78" s="1" t="str">
        <f>IF(E78=0,"ND",IF(E78&lt;40,"BAJO",IF(E78=39.9,"BAJO",IF(E78=40,"NORMAL",IF(E78&lt;=160,"NORMAL",IF(E78&gt;=160.1,"ALTO",IF(E78=0,"ND")))))))</f>
        <v>ND</v>
      </c>
      <c r="G78" s="141"/>
      <c r="H78" s="84" t="str">
        <f>IF(G78=0,"ND",IF(G78&lt;40,"BAJO",IF(G78=39.9,"BAJO",IF(G78=40,"NORMAL",IF(G78&lt;=160,"NORMAL",IF(G78&gt;=160.1,"ALTO"))))))</f>
        <v>ND</v>
      </c>
      <c r="I78" s="141"/>
      <c r="J78" s="1" t="str">
        <f>IF(I78=0,"ND",IF(I78&lt;40,"BAJO",IF(I78=39.9,"BAJO",IF(I78=40,"NORMAL",IF(I78&lt;=160,"NORMAL",IF(I78&gt;=160.1,"ALTO"))))))</f>
        <v>ND</v>
      </c>
      <c r="K78" s="141"/>
      <c r="L78" s="1" t="str">
        <f>IF(K78=0,"ND",IF(K78&lt;40,"BAJO",IF(K78=39.9,"BAJO",IF(K78=40,"NORMAL",IF(K78&lt;=160,"NORMAL",IF(K78&gt;=160.1,"ALTO"))))))</f>
        <v>ND</v>
      </c>
      <c r="M78" s="141"/>
      <c r="N78" s="1" t="str">
        <f>IF(M78=0,"ND",IF(M78&lt;40,"BAJO",IF(M78=39.9,"BAJO",IF(M78=40,"NORMAL",IF(M78&lt;=160,"NORMAL",IF(M78&gt;=160.1,"ALTO"))))))</f>
        <v>ND</v>
      </c>
      <c r="O78" s="542"/>
      <c r="P78" s="542"/>
      <c r="Q78" s="542"/>
      <c r="R78" s="542"/>
      <c r="S78" s="542"/>
      <c r="T78" s="542"/>
      <c r="U78" s="542"/>
      <c r="V78" s="542"/>
      <c r="W78" s="535"/>
      <c r="X78" s="535"/>
      <c r="Y78" s="535"/>
    </row>
    <row r="79" spans="1:25" s="63" customFormat="1">
      <c r="A79" s="59" t="s">
        <v>237</v>
      </c>
      <c r="B79" s="59"/>
      <c r="C79" s="1140"/>
      <c r="D79" s="1140"/>
      <c r="E79" s="1140"/>
      <c r="F79" s="1140"/>
      <c r="G79" s="62"/>
      <c r="I79" s="62"/>
      <c r="K79" s="62"/>
      <c r="M79" s="62"/>
      <c r="O79" s="542"/>
      <c r="P79" s="542"/>
      <c r="Q79" s="542"/>
      <c r="R79" s="542"/>
      <c r="S79" s="542"/>
      <c r="T79" s="542"/>
      <c r="U79" s="542"/>
      <c r="V79" s="542"/>
      <c r="W79" s="535"/>
      <c r="X79" s="535"/>
      <c r="Y79" s="535"/>
    </row>
    <row r="80" spans="1:25">
      <c r="A80" s="1138" t="s">
        <v>35</v>
      </c>
      <c r="B80" s="1138"/>
      <c r="C80" s="1138"/>
      <c r="D80" s="4"/>
      <c r="E80" s="45"/>
      <c r="O80" s="542"/>
      <c r="P80" s="542"/>
      <c r="Q80" s="542"/>
      <c r="R80" s="542"/>
      <c r="S80" s="542"/>
      <c r="T80" s="542"/>
      <c r="U80" s="542"/>
      <c r="V80" s="542"/>
      <c r="W80" s="535"/>
      <c r="X80" s="535"/>
      <c r="Y80" s="535"/>
    </row>
    <row r="81" spans="1:25">
      <c r="A81" s="561"/>
      <c r="B81" s="561"/>
      <c r="C81" s="561"/>
      <c r="D81" s="4"/>
      <c r="E81" s="45"/>
      <c r="O81" s="542"/>
      <c r="P81" s="542"/>
      <c r="Q81" s="542"/>
      <c r="R81" s="542"/>
      <c r="S81" s="542"/>
      <c r="T81" s="542"/>
      <c r="U81" s="542"/>
      <c r="V81" s="542"/>
      <c r="W81" s="535"/>
      <c r="X81" s="535"/>
      <c r="Y81" s="535"/>
    </row>
    <row r="82" spans="1:25">
      <c r="A82" s="561"/>
      <c r="B82" s="561"/>
      <c r="C82" s="561"/>
      <c r="D82" s="4"/>
      <c r="E82" s="45"/>
      <c r="O82" s="542"/>
      <c r="P82" s="542"/>
      <c r="Q82" s="542"/>
      <c r="R82" s="542"/>
      <c r="S82" s="542"/>
      <c r="T82" s="542"/>
      <c r="U82" s="542"/>
      <c r="V82" s="542"/>
      <c r="W82" s="535"/>
      <c r="X82" s="535"/>
      <c r="Y82" s="535"/>
    </row>
    <row r="83" spans="1:25">
      <c r="A83" s="1135" t="s">
        <v>222</v>
      </c>
      <c r="B83" s="1136"/>
      <c r="C83" s="49" t="s">
        <v>223</v>
      </c>
      <c r="D83" s="42" t="s">
        <v>221</v>
      </c>
      <c r="E83" s="141">
        <v>0</v>
      </c>
      <c r="F83" s="1" t="str">
        <f>IF(E83=0,"ND",IF(E83&lt;9,"BAJO",IF(E83=8.9,"BAJO",IF(E83=9,"NORMAL",IF(E83&lt;=20,"NORMAL",IF(E83&gt;=20.1,"ALTO"))))))</f>
        <v>ND</v>
      </c>
      <c r="G83" s="141">
        <v>0</v>
      </c>
      <c r="H83" s="1" t="str">
        <f>IF(G83=0,"ND",IF(G83&lt;9,"BAJO",IF(G83=8.9,"BAJO",IF(G83=9,"NORMAL",IF(G83&lt;=20,"NORMAL",IF(G83&gt;=20.1,"ALTO"))))))</f>
        <v>ND</v>
      </c>
      <c r="I83" s="141"/>
      <c r="J83" s="1" t="str">
        <f>IF(I83=0,"ND",IF(I83&lt;9,"BAJO",IF(I83=8.9,"BAJO",IF(I83=9,"NORMAL",IF(I83&lt;=20,"NORMAL",IF(I83&gt;=20.1,"ALTO"))))))</f>
        <v>ND</v>
      </c>
      <c r="K83" s="141"/>
      <c r="L83" s="1" t="str">
        <f>IF(K83=0,"ND",IF(K83&lt;9,"BAJO",IF(K83=8.9,"BAJO",IF(K83=9,"NORMAL",IF(K83&lt;=20,"NORMAL",IF(K83&gt;=20.1,"ALTO"))))))</f>
        <v>ND</v>
      </c>
      <c r="M83" s="141"/>
      <c r="N83" s="1" t="str">
        <f>IF(M83=0,"ND",IF(M83&lt;9,"BAJO",IF(M83=8.9,"BAJO",IF(M83=9,"NORMAL",IF(M83&lt;=20,"NORMAL",IF(M83&gt;=20.1,"ALTO"))))))</f>
        <v>ND</v>
      </c>
      <c r="O83" s="542"/>
      <c r="P83" s="542"/>
      <c r="Q83" s="542"/>
      <c r="R83" s="542"/>
      <c r="S83" s="542"/>
      <c r="T83" s="542"/>
      <c r="U83" s="542"/>
      <c r="V83" s="542"/>
      <c r="W83" s="535"/>
      <c r="X83" s="535"/>
      <c r="Y83" s="535"/>
    </row>
    <row r="84" spans="1:25">
      <c r="A84" s="560"/>
      <c r="B84" s="560"/>
      <c r="C84" s="117"/>
      <c r="D84" s="118"/>
      <c r="E84" s="85"/>
      <c r="F84" s="84"/>
      <c r="G84" s="85"/>
      <c r="H84" s="84"/>
      <c r="I84" s="85"/>
      <c r="J84" s="84"/>
      <c r="K84" s="85"/>
      <c r="L84" s="84"/>
      <c r="M84" s="85"/>
      <c r="O84" s="542"/>
      <c r="P84" s="542"/>
      <c r="Q84" s="542"/>
      <c r="R84" s="542"/>
      <c r="S84" s="542"/>
      <c r="T84" s="542"/>
      <c r="U84" s="542"/>
      <c r="V84" s="542"/>
      <c r="W84" s="535"/>
      <c r="X84" s="535"/>
      <c r="Y84" s="535"/>
    </row>
    <row r="85" spans="1:25">
      <c r="A85" s="560"/>
      <c r="B85" s="560"/>
      <c r="C85" s="117"/>
      <c r="D85" s="118"/>
      <c r="E85" s="85"/>
      <c r="F85" s="84"/>
      <c r="G85" s="85"/>
      <c r="H85" s="84"/>
      <c r="I85" s="85"/>
      <c r="J85" s="84"/>
      <c r="K85" s="85"/>
      <c r="L85" s="84"/>
      <c r="M85" s="85"/>
      <c r="O85" s="542"/>
      <c r="P85" s="542"/>
      <c r="Q85" s="542"/>
      <c r="R85" s="542"/>
      <c r="S85" s="542"/>
      <c r="T85" s="542"/>
      <c r="U85" s="542"/>
      <c r="V85" s="542"/>
      <c r="W85" s="535"/>
      <c r="X85" s="535"/>
      <c r="Y85" s="535"/>
    </row>
    <row r="86" spans="1:25">
      <c r="A86" s="560"/>
      <c r="B86" s="560"/>
      <c r="C86" s="117"/>
      <c r="D86" s="118"/>
      <c r="E86" s="85"/>
      <c r="F86" s="84"/>
      <c r="G86" s="85"/>
      <c r="H86" s="84"/>
      <c r="I86" s="85"/>
      <c r="J86" s="84"/>
      <c r="K86" s="85"/>
      <c r="L86" s="84"/>
      <c r="M86" s="85"/>
      <c r="O86" s="542"/>
      <c r="P86" s="542"/>
      <c r="Q86" s="542"/>
      <c r="R86" s="542"/>
      <c r="S86" s="542"/>
      <c r="T86" s="542"/>
      <c r="U86" s="542"/>
      <c r="V86" s="542"/>
      <c r="W86" s="535"/>
      <c r="X86" s="535"/>
      <c r="Y86" s="535"/>
    </row>
    <row r="87" spans="1:25">
      <c r="A87" s="560"/>
      <c r="B87" s="560"/>
      <c r="C87" s="117"/>
      <c r="D87" s="118"/>
      <c r="E87" s="85"/>
      <c r="F87" s="84"/>
      <c r="G87" s="85"/>
      <c r="H87" s="84"/>
      <c r="I87" s="85"/>
      <c r="J87" s="84"/>
      <c r="K87" s="85"/>
      <c r="L87" s="84"/>
      <c r="M87" s="85"/>
      <c r="O87" s="542"/>
      <c r="P87" s="542"/>
      <c r="Q87" s="542"/>
      <c r="R87" s="542"/>
      <c r="S87" s="542"/>
      <c r="T87" s="542"/>
      <c r="U87" s="542"/>
      <c r="V87" s="542"/>
      <c r="W87" s="535"/>
      <c r="X87" s="535"/>
      <c r="Y87" s="535"/>
    </row>
    <row r="88" spans="1:25">
      <c r="A88" s="560"/>
      <c r="B88" s="560"/>
      <c r="C88" s="117"/>
      <c r="D88" s="118"/>
      <c r="E88" s="85"/>
      <c r="F88" s="84"/>
      <c r="G88" s="85"/>
      <c r="H88" s="84"/>
      <c r="I88" s="85"/>
      <c r="J88" s="84"/>
      <c r="K88" s="85"/>
      <c r="L88" s="84"/>
      <c r="M88" s="85"/>
      <c r="O88" s="542"/>
      <c r="P88" s="542"/>
      <c r="Q88" s="542"/>
      <c r="R88" s="542"/>
      <c r="S88" s="542"/>
      <c r="T88" s="542"/>
      <c r="U88" s="542"/>
      <c r="V88" s="542"/>
      <c r="W88" s="535"/>
      <c r="X88" s="535"/>
      <c r="Y88" s="535"/>
    </row>
    <row r="89" spans="1:25">
      <c r="A89" s="560"/>
      <c r="B89" s="560"/>
      <c r="C89" s="117"/>
      <c r="D89" s="118"/>
      <c r="E89" s="85"/>
      <c r="F89" s="84"/>
      <c r="G89" s="85"/>
      <c r="H89" s="84"/>
      <c r="I89" s="85"/>
      <c r="J89" s="84"/>
      <c r="K89" s="85"/>
      <c r="L89" s="84"/>
      <c r="M89" s="85"/>
      <c r="O89" s="542"/>
      <c r="P89" s="542"/>
      <c r="Q89" s="542"/>
      <c r="R89" s="542"/>
      <c r="S89" s="542"/>
      <c r="T89" s="542"/>
      <c r="U89" s="542"/>
      <c r="V89" s="542"/>
      <c r="W89" s="535"/>
      <c r="X89" s="535"/>
      <c r="Y89" s="535"/>
    </row>
    <row r="90" spans="1:25">
      <c r="A90" s="532"/>
      <c r="B90" s="532"/>
      <c r="C90" s="117"/>
      <c r="D90" s="118"/>
      <c r="E90" s="85"/>
      <c r="F90" s="84"/>
      <c r="G90" s="85"/>
      <c r="H90" s="84"/>
      <c r="I90" s="85"/>
      <c r="J90" s="84"/>
      <c r="K90" s="85"/>
      <c r="L90" s="84"/>
      <c r="M90" s="85"/>
      <c r="N90" s="84"/>
      <c r="O90" s="542"/>
      <c r="P90" s="542"/>
      <c r="Q90" s="542"/>
      <c r="R90" s="542"/>
      <c r="S90" s="542"/>
      <c r="T90" s="542"/>
      <c r="U90" s="542"/>
      <c r="V90" s="542"/>
      <c r="W90" s="535"/>
      <c r="X90" s="535"/>
      <c r="Y90" s="535"/>
    </row>
    <row r="91" spans="1:25">
      <c r="A91" s="532"/>
      <c r="B91" s="532"/>
      <c r="C91" s="117"/>
      <c r="D91" s="118"/>
      <c r="E91" s="85"/>
      <c r="F91" s="84"/>
      <c r="G91" s="85"/>
      <c r="H91" s="84"/>
      <c r="I91" s="85"/>
      <c r="J91" s="84"/>
      <c r="K91" s="85"/>
      <c r="L91" s="84"/>
      <c r="M91" s="85"/>
      <c r="N91" s="84"/>
      <c r="O91" s="542"/>
      <c r="P91" s="542"/>
      <c r="Q91" s="542"/>
      <c r="R91" s="542"/>
      <c r="S91" s="542"/>
      <c r="T91" s="542"/>
      <c r="U91" s="542"/>
      <c r="V91" s="542"/>
      <c r="W91" s="535"/>
      <c r="X91" s="535"/>
      <c r="Y91" s="535"/>
    </row>
    <row r="92" spans="1:25">
      <c r="A92" s="532"/>
      <c r="B92" s="532"/>
      <c r="C92" s="117"/>
      <c r="D92" s="118"/>
      <c r="E92" s="85"/>
      <c r="F92" s="84"/>
      <c r="G92" s="85"/>
      <c r="H92" s="84"/>
      <c r="I92" s="85"/>
      <c r="J92" s="84"/>
      <c r="K92" s="85"/>
      <c r="L92" s="84"/>
      <c r="M92" s="85"/>
      <c r="N92" s="84"/>
      <c r="O92" s="542"/>
      <c r="P92" s="542"/>
      <c r="Q92" s="542"/>
      <c r="R92" s="542"/>
      <c r="S92" s="542"/>
      <c r="T92" s="542"/>
      <c r="U92" s="542"/>
      <c r="V92" s="542"/>
      <c r="W92" s="535"/>
      <c r="X92" s="535"/>
      <c r="Y92" s="535"/>
    </row>
    <row r="93" spans="1:25">
      <c r="A93" s="984"/>
      <c r="B93" s="984"/>
      <c r="C93" s="984"/>
      <c r="D93" s="4"/>
      <c r="F93" s="1137" t="s">
        <v>37</v>
      </c>
      <c r="G93" s="1137"/>
      <c r="H93" s="1137"/>
      <c r="I93" s="1137"/>
      <c r="J93" s="1137"/>
      <c r="N93" s="577" t="s">
        <v>664</v>
      </c>
      <c r="O93" s="542"/>
      <c r="P93" s="542"/>
      <c r="Q93" s="542"/>
      <c r="R93" s="542"/>
      <c r="S93" s="542"/>
      <c r="T93" s="542"/>
      <c r="U93" s="542"/>
      <c r="V93" s="542"/>
      <c r="W93" s="535"/>
      <c r="X93" s="535"/>
      <c r="Y93" s="535"/>
    </row>
    <row r="94" spans="1:25">
      <c r="A94" s="1131" t="s">
        <v>82</v>
      </c>
      <c r="B94" s="1131"/>
      <c r="C94" s="1131"/>
      <c r="D94" s="1131"/>
      <c r="E94" s="1131"/>
      <c r="F94" s="1131"/>
      <c r="G94" s="2"/>
      <c r="H94" s="2"/>
      <c r="I94" s="2"/>
      <c r="O94" s="542"/>
      <c r="P94" s="542"/>
      <c r="Q94" s="542"/>
      <c r="R94" s="542"/>
      <c r="S94" s="542"/>
      <c r="T94" s="542"/>
      <c r="U94" s="542"/>
      <c r="V94" s="542"/>
      <c r="W94" s="535"/>
      <c r="X94" s="535"/>
      <c r="Y94" s="535"/>
    </row>
    <row r="95" spans="1:25">
      <c r="A95" s="4"/>
      <c r="B95" s="4" t="s">
        <v>39</v>
      </c>
      <c r="C95" s="53" t="s">
        <v>40</v>
      </c>
      <c r="D95" s="54" t="s">
        <v>41</v>
      </c>
      <c r="E95" s="55" t="s">
        <v>42</v>
      </c>
      <c r="F95" s="4" t="s">
        <v>43</v>
      </c>
      <c r="G95" s="2"/>
      <c r="H95" s="2"/>
      <c r="I95" s="2"/>
      <c r="O95" s="542"/>
      <c r="P95" s="542"/>
      <c r="Q95" s="542"/>
      <c r="R95" s="542"/>
      <c r="S95" s="542"/>
      <c r="T95" s="542"/>
      <c r="U95" s="542"/>
      <c r="V95" s="542"/>
      <c r="W95" s="535"/>
      <c r="X95" s="535"/>
      <c r="Y95" s="535"/>
    </row>
    <row r="96" spans="1:25">
      <c r="A96" s="4" t="s">
        <v>44</v>
      </c>
      <c r="B96" s="146">
        <v>1</v>
      </c>
      <c r="C96" s="50">
        <f>B96*12</f>
        <v>12</v>
      </c>
      <c r="D96" s="51">
        <f>B96*9</f>
        <v>9</v>
      </c>
      <c r="E96" s="52">
        <f>B96*5</f>
        <v>5</v>
      </c>
      <c r="F96" s="9">
        <f t="shared" ref="F96:F103" si="0">(C96*4)+(D96*4)+(E96*9)</f>
        <v>129</v>
      </c>
      <c r="G96" s="2"/>
      <c r="H96" s="2"/>
      <c r="I96" s="2"/>
      <c r="O96" s="542"/>
      <c r="P96" s="542"/>
      <c r="Q96" s="542"/>
      <c r="R96" s="542"/>
      <c r="S96" s="542"/>
      <c r="T96" s="542"/>
      <c r="U96" s="542"/>
      <c r="V96" s="542"/>
      <c r="W96" s="535"/>
      <c r="X96" s="535"/>
      <c r="Y96" s="535"/>
    </row>
    <row r="97" spans="1:25">
      <c r="A97" s="4" t="s">
        <v>45</v>
      </c>
      <c r="B97" s="146">
        <v>3</v>
      </c>
      <c r="C97" s="6">
        <v>0</v>
      </c>
      <c r="D97" s="7">
        <f>B97*7</f>
        <v>21</v>
      </c>
      <c r="E97" s="8">
        <f>B97*4</f>
        <v>12</v>
      </c>
      <c r="F97" s="9">
        <f t="shared" si="0"/>
        <v>192</v>
      </c>
      <c r="G97" s="2"/>
      <c r="H97" s="2"/>
      <c r="I97" s="2"/>
      <c r="O97" s="542"/>
      <c r="P97" s="542"/>
      <c r="Q97" s="542"/>
      <c r="R97" s="542"/>
      <c r="S97" s="542"/>
      <c r="T97" s="542"/>
      <c r="U97" s="542"/>
      <c r="V97" s="542"/>
      <c r="W97" s="535"/>
      <c r="X97" s="535"/>
      <c r="Y97" s="535"/>
    </row>
    <row r="98" spans="1:25">
      <c r="A98" s="4" t="s">
        <v>46</v>
      </c>
      <c r="B98" s="146">
        <v>2</v>
      </c>
      <c r="C98" s="6">
        <f>B98*15</f>
        <v>30</v>
      </c>
      <c r="D98" s="7">
        <f>B98*0</f>
        <v>0</v>
      </c>
      <c r="E98" s="8">
        <f>B98*0</f>
        <v>0</v>
      </c>
      <c r="F98" s="9">
        <f t="shared" si="0"/>
        <v>120</v>
      </c>
      <c r="G98" s="2"/>
      <c r="H98" s="2"/>
      <c r="I98" s="2"/>
      <c r="O98" s="542"/>
      <c r="P98" s="542"/>
      <c r="Q98" s="542"/>
      <c r="R98" s="542"/>
      <c r="S98" s="542"/>
      <c r="T98" s="542"/>
      <c r="U98" s="542"/>
      <c r="V98" s="542"/>
      <c r="W98" s="535"/>
      <c r="X98" s="535"/>
      <c r="Y98" s="535"/>
    </row>
    <row r="99" spans="1:25">
      <c r="A99" s="4" t="s">
        <v>47</v>
      </c>
      <c r="B99" s="146">
        <v>2</v>
      </c>
      <c r="C99" s="6">
        <f>B99*4</f>
        <v>8</v>
      </c>
      <c r="D99" s="7">
        <f>B99*2</f>
        <v>4</v>
      </c>
      <c r="E99" s="8"/>
      <c r="F99" s="9">
        <f t="shared" si="0"/>
        <v>48</v>
      </c>
      <c r="G99" s="2"/>
      <c r="H99" s="2"/>
      <c r="I99" s="2"/>
      <c r="O99" s="542"/>
      <c r="P99" s="542"/>
      <c r="Q99" s="542"/>
      <c r="R99" s="542"/>
      <c r="S99" s="542"/>
      <c r="T99" s="542"/>
      <c r="U99" s="542"/>
      <c r="V99" s="542"/>
      <c r="W99" s="535"/>
      <c r="X99" s="535"/>
      <c r="Y99" s="535"/>
    </row>
    <row r="100" spans="1:25">
      <c r="A100" s="4" t="s">
        <v>48</v>
      </c>
      <c r="B100" s="146">
        <v>3</v>
      </c>
      <c r="C100" s="6">
        <f>B100*15</f>
        <v>45</v>
      </c>
      <c r="D100" s="7">
        <f>B100*2</f>
        <v>6</v>
      </c>
      <c r="E100" s="8">
        <f>B100*0</f>
        <v>0</v>
      </c>
      <c r="F100" s="9">
        <f t="shared" si="0"/>
        <v>204</v>
      </c>
      <c r="G100" s="2"/>
      <c r="H100" s="2"/>
      <c r="I100" s="2"/>
      <c r="O100" s="542"/>
      <c r="P100" s="542"/>
      <c r="Q100" s="542"/>
      <c r="R100" s="542"/>
      <c r="S100" s="542"/>
      <c r="T100" s="542"/>
      <c r="U100" s="542"/>
      <c r="V100" s="542"/>
      <c r="W100" s="535"/>
      <c r="X100" s="535"/>
      <c r="Y100" s="535"/>
    </row>
    <row r="101" spans="1:25">
      <c r="A101" s="4" t="s">
        <v>49</v>
      </c>
      <c r="B101" s="146">
        <v>0</v>
      </c>
      <c r="C101" s="6">
        <f>B101*20</f>
        <v>0</v>
      </c>
      <c r="D101" s="7">
        <f>B101*8</f>
        <v>0</v>
      </c>
      <c r="E101" s="8">
        <f>B101*1</f>
        <v>0</v>
      </c>
      <c r="F101" s="9">
        <f t="shared" si="0"/>
        <v>0</v>
      </c>
      <c r="G101" s="2"/>
      <c r="H101" s="2"/>
      <c r="I101" s="2"/>
      <c r="O101" s="542"/>
      <c r="P101" s="542"/>
      <c r="Q101" s="542"/>
      <c r="R101" s="542"/>
      <c r="S101" s="542"/>
      <c r="T101" s="542"/>
      <c r="U101" s="542"/>
      <c r="V101" s="542"/>
      <c r="W101" s="535"/>
      <c r="X101" s="535"/>
      <c r="Y101" s="535"/>
    </row>
    <row r="102" spans="1:25">
      <c r="A102" s="4" t="s">
        <v>50</v>
      </c>
      <c r="B102" s="146">
        <v>1</v>
      </c>
      <c r="C102" s="6">
        <f>B102*0</f>
        <v>0</v>
      </c>
      <c r="D102" s="7">
        <f>B102*0</f>
        <v>0</v>
      </c>
      <c r="E102" s="8">
        <f>B102*5</f>
        <v>5</v>
      </c>
      <c r="F102" s="9">
        <f t="shared" si="0"/>
        <v>45</v>
      </c>
      <c r="G102" s="2"/>
      <c r="H102" s="2"/>
      <c r="I102" s="2"/>
      <c r="O102" s="542"/>
      <c r="P102" s="542"/>
      <c r="Q102" s="542"/>
      <c r="R102" s="542"/>
      <c r="S102" s="542"/>
      <c r="T102" s="542"/>
      <c r="U102" s="542"/>
      <c r="V102" s="542"/>
      <c r="W102" s="535"/>
      <c r="X102" s="535"/>
      <c r="Y102" s="535"/>
    </row>
    <row r="103" spans="1:25">
      <c r="A103" s="4" t="s">
        <v>51</v>
      </c>
      <c r="B103" s="146">
        <v>1</v>
      </c>
      <c r="C103" s="6">
        <f>B103*10</f>
        <v>10</v>
      </c>
      <c r="D103" s="7">
        <f>B103*0</f>
        <v>0</v>
      </c>
      <c r="E103" s="10">
        <f>B103*0</f>
        <v>0</v>
      </c>
      <c r="F103" s="11">
        <f t="shared" si="0"/>
        <v>40</v>
      </c>
      <c r="O103" s="542"/>
      <c r="P103" s="542"/>
      <c r="Q103" s="542"/>
      <c r="R103" s="542"/>
      <c r="S103" s="542"/>
      <c r="T103" s="542"/>
      <c r="U103" s="542"/>
      <c r="V103" s="542"/>
      <c r="W103" s="535"/>
      <c r="X103" s="535"/>
      <c r="Y103" s="535"/>
    </row>
    <row r="104" spans="1:25">
      <c r="A104" s="4"/>
      <c r="B104" s="12"/>
      <c r="C104" s="6">
        <f>SUM(C96:C103)</f>
        <v>105</v>
      </c>
      <c r="D104" s="7">
        <f>SUM(D96:D103)</f>
        <v>40</v>
      </c>
      <c r="E104" s="10">
        <f>SUM(E96:E103)</f>
        <v>22</v>
      </c>
      <c r="F104" s="11">
        <f>SUM(F96:F103)</f>
        <v>778</v>
      </c>
      <c r="O104" s="542"/>
      <c r="P104" s="542"/>
      <c r="Q104" s="542"/>
      <c r="R104" s="542"/>
      <c r="S104" s="542"/>
      <c r="T104" s="542"/>
      <c r="U104" s="542"/>
      <c r="V104" s="542"/>
      <c r="W104" s="535"/>
      <c r="X104" s="535"/>
      <c r="Y104" s="535"/>
    </row>
    <row r="105" spans="1:25">
      <c r="B105" s="1" t="s">
        <v>52</v>
      </c>
      <c r="C105" s="1" t="s">
        <v>53</v>
      </c>
      <c r="D105" s="1" t="s">
        <v>54</v>
      </c>
      <c r="O105" s="542"/>
      <c r="P105" s="542"/>
      <c r="Q105" s="542"/>
      <c r="R105" s="542"/>
      <c r="S105" s="542"/>
      <c r="T105" s="542"/>
      <c r="U105" s="542"/>
      <c r="V105" s="542"/>
      <c r="W105" s="535"/>
      <c r="X105" s="535"/>
      <c r="Y105" s="535"/>
    </row>
    <row r="106" spans="1:25">
      <c r="A106" s="13" t="s">
        <v>55</v>
      </c>
      <c r="B106" s="14">
        <f>(D106*100)/F104</f>
        <v>53.984575835475582</v>
      </c>
      <c r="C106" s="1">
        <f>C104</f>
        <v>105</v>
      </c>
      <c r="D106" s="1130">
        <f>C106*4</f>
        <v>420</v>
      </c>
      <c r="E106" s="1130"/>
      <c r="O106" s="542"/>
      <c r="P106" s="542"/>
      <c r="Q106" s="542"/>
      <c r="R106" s="542"/>
      <c r="S106" s="542"/>
      <c r="T106" s="542"/>
      <c r="U106" s="542"/>
      <c r="V106" s="542"/>
      <c r="W106" s="535"/>
      <c r="X106" s="535"/>
      <c r="Y106" s="535"/>
    </row>
    <row r="107" spans="1:25">
      <c r="A107" s="15" t="s">
        <v>29</v>
      </c>
      <c r="B107" s="16">
        <f>(D107*100)/F104</f>
        <v>20.565552699228792</v>
      </c>
      <c r="C107" s="1">
        <f>D104</f>
        <v>40</v>
      </c>
      <c r="D107" s="1130">
        <f>C107*4</f>
        <v>160</v>
      </c>
      <c r="E107" s="1130"/>
      <c r="O107" s="542"/>
      <c r="P107" s="542"/>
      <c r="Q107" s="542"/>
      <c r="R107" s="542" t="s">
        <v>665</v>
      </c>
      <c r="S107" s="542"/>
      <c r="T107" s="542"/>
      <c r="U107" s="542"/>
      <c r="V107" s="542"/>
      <c r="W107" s="535"/>
      <c r="X107" s="535"/>
      <c r="Y107" s="535"/>
    </row>
    <row r="108" spans="1:25">
      <c r="A108" s="17" t="s">
        <v>56</v>
      </c>
      <c r="B108" s="18">
        <f>(D108*100)/F104</f>
        <v>25.449871465295629</v>
      </c>
      <c r="C108" s="1">
        <f>E104</f>
        <v>22</v>
      </c>
      <c r="D108" s="1130">
        <f>C108*9</f>
        <v>198</v>
      </c>
      <c r="E108" s="1130"/>
      <c r="O108" s="542"/>
      <c r="P108" s="542"/>
      <c r="Q108" s="542"/>
      <c r="R108" s="542"/>
      <c r="S108" s="542"/>
      <c r="T108" s="542"/>
      <c r="U108" s="542"/>
      <c r="V108" s="542"/>
      <c r="W108" s="535"/>
      <c r="X108" s="535"/>
      <c r="Y108" s="535"/>
    </row>
    <row r="109" spans="1:25">
      <c r="A109" s="1131" t="s">
        <v>84</v>
      </c>
      <c r="B109" s="1131"/>
      <c r="C109" s="1131"/>
      <c r="D109" s="1131"/>
      <c r="E109" s="1131"/>
      <c r="F109" s="1131"/>
      <c r="O109" s="542"/>
      <c r="P109" s="542"/>
      <c r="Q109" s="542"/>
      <c r="R109" s="542"/>
      <c r="S109" s="542"/>
      <c r="T109" s="542"/>
      <c r="U109" s="542"/>
      <c r="V109" s="542"/>
      <c r="W109" s="535"/>
      <c r="X109" s="535"/>
      <c r="Y109" s="535"/>
    </row>
    <row r="110" spans="1:25">
      <c r="A110" s="4"/>
      <c r="B110" s="4" t="s">
        <v>39</v>
      </c>
      <c r="C110" s="53" t="s">
        <v>40</v>
      </c>
      <c r="D110" s="54" t="s">
        <v>41</v>
      </c>
      <c r="E110" s="55" t="s">
        <v>42</v>
      </c>
      <c r="F110" s="4" t="s">
        <v>43</v>
      </c>
      <c r="O110" s="542"/>
      <c r="P110" s="542"/>
      <c r="Q110" s="542"/>
      <c r="R110" s="542"/>
      <c r="S110" s="542"/>
      <c r="T110" s="542"/>
      <c r="U110" s="542"/>
      <c r="V110" s="542"/>
      <c r="W110" s="535"/>
      <c r="X110" s="535"/>
      <c r="Y110" s="535"/>
    </row>
    <row r="111" spans="1:25">
      <c r="A111" s="4" t="s">
        <v>44</v>
      </c>
      <c r="B111" s="146">
        <v>0</v>
      </c>
      <c r="C111" s="50">
        <f>B111*12</f>
        <v>0</v>
      </c>
      <c r="D111" s="51">
        <f>B111*9</f>
        <v>0</v>
      </c>
      <c r="E111" s="52">
        <f>B111*5</f>
        <v>0</v>
      </c>
      <c r="F111" s="9">
        <f t="shared" ref="F111:F118" si="1">(C111*4)+(D111*4)+(E111*9)</f>
        <v>0</v>
      </c>
      <c r="O111" s="542"/>
      <c r="P111" s="542"/>
      <c r="Q111" s="542"/>
      <c r="R111" s="542"/>
      <c r="S111" s="542"/>
      <c r="T111" s="542"/>
      <c r="U111" s="542"/>
      <c r="V111" s="542"/>
      <c r="W111" s="535"/>
      <c r="X111" s="535"/>
      <c r="Y111" s="535"/>
    </row>
    <row r="112" spans="1:25">
      <c r="A112" s="4" t="s">
        <v>45</v>
      </c>
      <c r="B112" s="146">
        <v>3</v>
      </c>
      <c r="C112" s="6">
        <v>0</v>
      </c>
      <c r="D112" s="7">
        <f>B112*7</f>
        <v>21</v>
      </c>
      <c r="E112" s="8">
        <f>B112*4</f>
        <v>12</v>
      </c>
      <c r="F112" s="9">
        <f t="shared" si="1"/>
        <v>192</v>
      </c>
      <c r="O112" s="542"/>
      <c r="P112" s="542"/>
      <c r="Q112" s="542"/>
      <c r="R112" s="542"/>
      <c r="S112" s="542"/>
      <c r="T112" s="542"/>
      <c r="U112" s="542"/>
      <c r="V112" s="542"/>
      <c r="W112" s="535"/>
      <c r="X112" s="535"/>
      <c r="Y112" s="535"/>
    </row>
    <row r="113" spans="1:25">
      <c r="A113" s="4" t="s">
        <v>46</v>
      </c>
      <c r="B113" s="146">
        <v>0</v>
      </c>
      <c r="C113" s="6">
        <f>B113*15</f>
        <v>0</v>
      </c>
      <c r="D113" s="7">
        <f>B113*0</f>
        <v>0</v>
      </c>
      <c r="E113" s="8">
        <f>B113*0</f>
        <v>0</v>
      </c>
      <c r="F113" s="9">
        <f t="shared" si="1"/>
        <v>0</v>
      </c>
      <c r="O113" s="542"/>
      <c r="P113" s="542"/>
      <c r="Q113" s="542"/>
      <c r="R113" s="542"/>
      <c r="S113" s="542"/>
      <c r="T113" s="542"/>
      <c r="U113" s="542"/>
      <c r="V113" s="542"/>
      <c r="W113" s="535"/>
      <c r="X113" s="535"/>
      <c r="Y113" s="535"/>
    </row>
    <row r="114" spans="1:25">
      <c r="A114" s="4" t="s">
        <v>47</v>
      </c>
      <c r="B114" s="146">
        <v>2</v>
      </c>
      <c r="C114" s="6">
        <f>B114*4</f>
        <v>8</v>
      </c>
      <c r="D114" s="7">
        <f>B114*2</f>
        <v>4</v>
      </c>
      <c r="E114" s="8"/>
      <c r="F114" s="9">
        <f t="shared" si="1"/>
        <v>48</v>
      </c>
      <c r="O114" s="542"/>
      <c r="P114" s="542"/>
      <c r="Q114" s="542"/>
      <c r="R114" s="542"/>
      <c r="S114" s="542"/>
      <c r="T114" s="542"/>
      <c r="U114" s="542"/>
      <c r="V114" s="542"/>
      <c r="W114" s="535"/>
      <c r="X114" s="535"/>
      <c r="Y114" s="535"/>
    </row>
    <row r="115" spans="1:25">
      <c r="A115" s="4" t="s">
        <v>48</v>
      </c>
      <c r="B115" s="146">
        <v>3</v>
      </c>
      <c r="C115" s="6">
        <f>B115*15</f>
        <v>45</v>
      </c>
      <c r="D115" s="7">
        <f>B115*2</f>
        <v>6</v>
      </c>
      <c r="E115" s="8">
        <f>B115*0</f>
        <v>0</v>
      </c>
      <c r="F115" s="9">
        <f t="shared" si="1"/>
        <v>204</v>
      </c>
      <c r="O115" s="542"/>
      <c r="P115" s="542"/>
      <c r="Q115" s="542"/>
      <c r="R115" s="542"/>
      <c r="S115" s="542"/>
      <c r="T115" s="542"/>
      <c r="U115" s="542"/>
      <c r="V115" s="542"/>
      <c r="W115" s="535"/>
      <c r="X115" s="535"/>
      <c r="Y115" s="535"/>
    </row>
    <row r="116" spans="1:25">
      <c r="A116" s="4" t="s">
        <v>49</v>
      </c>
      <c r="B116" s="146">
        <v>1</v>
      </c>
      <c r="C116" s="6">
        <f>B116*20</f>
        <v>20</v>
      </c>
      <c r="D116" s="7">
        <f>B116*8</f>
        <v>8</v>
      </c>
      <c r="E116" s="8">
        <f>B116*1</f>
        <v>1</v>
      </c>
      <c r="F116" s="9">
        <f t="shared" si="1"/>
        <v>121</v>
      </c>
      <c r="O116" s="542"/>
      <c r="P116" s="542"/>
      <c r="Q116" s="542"/>
      <c r="R116" s="542"/>
      <c r="S116" s="542"/>
      <c r="T116" s="542"/>
      <c r="U116" s="542"/>
      <c r="V116" s="542"/>
      <c r="W116" s="535"/>
      <c r="X116" s="535"/>
      <c r="Y116" s="535"/>
    </row>
    <row r="117" spans="1:25">
      <c r="A117" s="4" t="s">
        <v>50</v>
      </c>
      <c r="B117" s="146">
        <v>1</v>
      </c>
      <c r="C117" s="6">
        <f>B117*0</f>
        <v>0</v>
      </c>
      <c r="D117" s="7">
        <f>B117*0</f>
        <v>0</v>
      </c>
      <c r="E117" s="8">
        <f>B117*5</f>
        <v>5</v>
      </c>
      <c r="F117" s="9">
        <f t="shared" si="1"/>
        <v>45</v>
      </c>
      <c r="O117" s="542"/>
      <c r="P117" s="542"/>
      <c r="Q117" s="542"/>
      <c r="R117" s="542"/>
      <c r="S117" s="542"/>
      <c r="T117" s="542"/>
      <c r="U117" s="542"/>
      <c r="V117" s="542"/>
      <c r="W117" s="535"/>
      <c r="X117" s="535"/>
      <c r="Y117" s="535"/>
    </row>
    <row r="118" spans="1:25">
      <c r="A118" s="4" t="s">
        <v>51</v>
      </c>
      <c r="B118" s="146">
        <v>0</v>
      </c>
      <c r="C118" s="6">
        <f>B118*10</f>
        <v>0</v>
      </c>
      <c r="D118" s="7">
        <f>B118*0</f>
        <v>0</v>
      </c>
      <c r="E118" s="10">
        <f>B118*0</f>
        <v>0</v>
      </c>
      <c r="F118" s="11">
        <f t="shared" si="1"/>
        <v>0</v>
      </c>
      <c r="O118" s="542"/>
      <c r="P118" s="542"/>
      <c r="Q118" s="542"/>
      <c r="R118" s="542"/>
      <c r="S118" s="542"/>
      <c r="T118" s="542"/>
      <c r="U118" s="542"/>
      <c r="V118" s="542"/>
      <c r="W118" s="535"/>
      <c r="X118" s="535"/>
      <c r="Y118" s="535"/>
    </row>
    <row r="119" spans="1:25">
      <c r="A119" s="4"/>
      <c r="B119" s="12"/>
      <c r="C119" s="6">
        <f>SUM(C111:C118)</f>
        <v>73</v>
      </c>
      <c r="D119" s="7">
        <f>SUM(D111:D118)</f>
        <v>39</v>
      </c>
      <c r="E119" s="10">
        <f>SUM(E111:E118)</f>
        <v>18</v>
      </c>
      <c r="F119" s="11">
        <f>SUM(F111:F118)</f>
        <v>610</v>
      </c>
      <c r="O119" s="542"/>
      <c r="P119" s="542"/>
      <c r="Q119" s="542"/>
      <c r="R119" s="542"/>
      <c r="S119" s="542"/>
      <c r="T119" s="542"/>
      <c r="U119" s="542"/>
      <c r="V119" s="542"/>
      <c r="W119" s="535"/>
      <c r="X119" s="535"/>
      <c r="Y119" s="535"/>
    </row>
    <row r="120" spans="1:25">
      <c r="B120" s="1" t="s">
        <v>52</v>
      </c>
      <c r="C120" s="1" t="s">
        <v>53</v>
      </c>
      <c r="D120" s="1" t="s">
        <v>54</v>
      </c>
      <c r="O120" s="542"/>
      <c r="P120" s="542"/>
      <c r="Q120" s="542"/>
      <c r="R120" s="542"/>
      <c r="S120" s="542"/>
      <c r="T120" s="542"/>
      <c r="U120" s="542"/>
      <c r="V120" s="542"/>
      <c r="W120" s="535"/>
      <c r="X120" s="535"/>
      <c r="Y120" s="535"/>
    </row>
    <row r="121" spans="1:25">
      <c r="A121" s="13" t="s">
        <v>55</v>
      </c>
      <c r="B121" s="14">
        <f>(D121*100)/F119</f>
        <v>47.868852459016395</v>
      </c>
      <c r="C121" s="1">
        <f>C119</f>
        <v>73</v>
      </c>
      <c r="D121" s="1130">
        <f>C121*4</f>
        <v>292</v>
      </c>
      <c r="E121" s="1130"/>
      <c r="O121" s="542"/>
      <c r="P121" s="542"/>
      <c r="Q121" s="542"/>
      <c r="R121" s="542"/>
      <c r="S121" s="542"/>
      <c r="T121" s="542"/>
      <c r="U121" s="542"/>
      <c r="V121" s="542"/>
      <c r="W121" s="535"/>
      <c r="X121" s="535"/>
      <c r="Y121" s="535"/>
    </row>
    <row r="122" spans="1:25">
      <c r="A122" s="15" t="s">
        <v>29</v>
      </c>
      <c r="B122" s="16">
        <f>(D122*100)/F119</f>
        <v>25.57377049180328</v>
      </c>
      <c r="C122" s="1">
        <f>D119</f>
        <v>39</v>
      </c>
      <c r="D122" s="1130">
        <f>C122*4</f>
        <v>156</v>
      </c>
      <c r="E122" s="1130"/>
      <c r="O122" s="542"/>
      <c r="P122" s="542"/>
      <c r="Q122" s="542"/>
      <c r="R122" s="542"/>
      <c r="S122" s="542"/>
      <c r="T122" s="542"/>
      <c r="U122" s="542"/>
      <c r="V122" s="542"/>
      <c r="W122" s="535"/>
      <c r="X122" s="535"/>
      <c r="Y122" s="535"/>
    </row>
    <row r="123" spans="1:25">
      <c r="A123" s="17" t="s">
        <v>56</v>
      </c>
      <c r="B123" s="18">
        <f>(D123*100)/F119</f>
        <v>26.557377049180328</v>
      </c>
      <c r="C123" s="1">
        <f>E119</f>
        <v>18</v>
      </c>
      <c r="D123" s="1130">
        <f>C123*9</f>
        <v>162</v>
      </c>
      <c r="E123" s="1130"/>
      <c r="O123" s="542"/>
      <c r="P123" s="542"/>
      <c r="Q123" s="542"/>
      <c r="R123" s="542"/>
      <c r="S123" s="542"/>
      <c r="T123" s="542"/>
      <c r="U123" s="542"/>
      <c r="V123" s="542"/>
      <c r="W123" s="535"/>
      <c r="X123" s="535"/>
      <c r="Y123" s="535"/>
    </row>
    <row r="124" spans="1:25">
      <c r="A124" s="1131" t="s">
        <v>86</v>
      </c>
      <c r="B124" s="1131"/>
      <c r="C124" s="1131"/>
      <c r="D124" s="1131"/>
      <c r="E124" s="1131"/>
      <c r="F124" s="1131"/>
      <c r="O124" s="542"/>
      <c r="P124" s="542"/>
      <c r="Q124" s="542"/>
      <c r="R124" s="542"/>
      <c r="S124" s="542"/>
      <c r="T124" s="542"/>
      <c r="U124" s="542"/>
      <c r="V124" s="542"/>
      <c r="W124" s="535"/>
      <c r="X124" s="535"/>
      <c r="Y124" s="535"/>
    </row>
    <row r="125" spans="1:25">
      <c r="A125" s="4"/>
      <c r="B125" s="4" t="s">
        <v>39</v>
      </c>
      <c r="C125" s="53" t="s">
        <v>40</v>
      </c>
      <c r="D125" s="54" t="s">
        <v>41</v>
      </c>
      <c r="E125" s="55" t="s">
        <v>42</v>
      </c>
      <c r="F125" s="4" t="s">
        <v>43</v>
      </c>
      <c r="O125" s="542"/>
      <c r="P125" s="542"/>
      <c r="Q125" s="542"/>
      <c r="R125" s="542"/>
      <c r="S125" s="542"/>
      <c r="T125" s="542"/>
      <c r="U125" s="542"/>
      <c r="V125" s="542"/>
      <c r="W125" s="535"/>
      <c r="X125" s="535"/>
      <c r="Y125" s="535"/>
    </row>
    <row r="126" spans="1:25">
      <c r="A126" s="4" t="s">
        <v>44</v>
      </c>
      <c r="B126" s="146">
        <v>0</v>
      </c>
      <c r="C126" s="50">
        <f>B126*12</f>
        <v>0</v>
      </c>
      <c r="D126" s="51">
        <f>B126*9</f>
        <v>0</v>
      </c>
      <c r="E126" s="52">
        <f>B126*5</f>
        <v>0</v>
      </c>
      <c r="F126" s="9">
        <f t="shared" ref="F126:F133" si="2">(C126*4)+(D126*4)+(E126*9)</f>
        <v>0</v>
      </c>
      <c r="O126" s="542"/>
      <c r="P126" s="542"/>
      <c r="Q126" s="542"/>
      <c r="R126" s="542"/>
      <c r="S126" s="542"/>
      <c r="T126" s="542"/>
      <c r="U126" s="542"/>
      <c r="V126" s="542"/>
      <c r="W126" s="535"/>
      <c r="X126" s="535"/>
      <c r="Y126" s="535"/>
    </row>
    <row r="127" spans="1:25">
      <c r="A127" s="4" t="s">
        <v>45</v>
      </c>
      <c r="B127" s="146">
        <v>0</v>
      </c>
      <c r="C127" s="6">
        <v>0</v>
      </c>
      <c r="D127" s="7">
        <f>B127*7</f>
        <v>0</v>
      </c>
      <c r="E127" s="8">
        <f>B127*4</f>
        <v>0</v>
      </c>
      <c r="F127" s="9">
        <f t="shared" si="2"/>
        <v>0</v>
      </c>
      <c r="O127" s="542"/>
      <c r="P127" s="542"/>
      <c r="Q127" s="542"/>
      <c r="R127" s="542"/>
      <c r="S127" s="542"/>
      <c r="T127" s="542"/>
      <c r="U127" s="542"/>
      <c r="V127" s="542"/>
      <c r="W127" s="535"/>
      <c r="X127" s="535"/>
      <c r="Y127" s="535"/>
    </row>
    <row r="128" spans="1:25">
      <c r="A128" s="4" t="s">
        <v>46</v>
      </c>
      <c r="B128" s="146">
        <v>0</v>
      </c>
      <c r="C128" s="6">
        <f>B128*15</f>
        <v>0</v>
      </c>
      <c r="D128" s="7">
        <f>B128*0</f>
        <v>0</v>
      </c>
      <c r="E128" s="8">
        <f>B128*0</f>
        <v>0</v>
      </c>
      <c r="F128" s="9">
        <f t="shared" si="2"/>
        <v>0</v>
      </c>
      <c r="O128" s="542"/>
      <c r="P128" s="542"/>
      <c r="Q128" s="542"/>
      <c r="R128" s="542"/>
      <c r="S128" s="542"/>
      <c r="T128" s="542"/>
      <c r="U128" s="542"/>
      <c r="V128" s="542"/>
      <c r="W128" s="535"/>
      <c r="X128" s="535"/>
      <c r="Y128" s="535"/>
    </row>
    <row r="129" spans="1:25">
      <c r="A129" s="4" t="s">
        <v>47</v>
      </c>
      <c r="B129" s="146">
        <v>2</v>
      </c>
      <c r="C129" s="6">
        <f>B129*4</f>
        <v>8</v>
      </c>
      <c r="D129" s="7">
        <f>B129*2</f>
        <v>4</v>
      </c>
      <c r="E129" s="8"/>
      <c r="F129" s="9">
        <f t="shared" si="2"/>
        <v>48</v>
      </c>
      <c r="O129" s="542"/>
      <c r="P129" s="542"/>
      <c r="Q129" s="542"/>
      <c r="R129" s="542"/>
      <c r="S129" s="542"/>
      <c r="T129" s="542"/>
      <c r="U129" s="542"/>
      <c r="V129" s="542"/>
      <c r="W129" s="535"/>
      <c r="X129" s="535"/>
      <c r="Y129" s="535"/>
    </row>
    <row r="130" spans="1:25">
      <c r="A130" s="4" t="s">
        <v>48</v>
      </c>
      <c r="B130" s="146">
        <v>2</v>
      </c>
      <c r="C130" s="6">
        <f>B130*15</f>
        <v>30</v>
      </c>
      <c r="D130" s="7">
        <f>B130*2</f>
        <v>4</v>
      </c>
      <c r="E130" s="8">
        <f>B130*0</f>
        <v>0</v>
      </c>
      <c r="F130" s="9">
        <f t="shared" si="2"/>
        <v>136</v>
      </c>
      <c r="O130" s="542"/>
      <c r="P130" s="542"/>
      <c r="Q130" s="542"/>
      <c r="R130" s="542"/>
      <c r="S130" s="542"/>
      <c r="T130" s="542"/>
      <c r="U130" s="542"/>
      <c r="V130" s="542"/>
      <c r="W130" s="535"/>
      <c r="X130" s="535"/>
      <c r="Y130" s="535"/>
    </row>
    <row r="131" spans="1:25">
      <c r="A131" s="4" t="s">
        <v>49</v>
      </c>
      <c r="B131" s="146">
        <v>0</v>
      </c>
      <c r="C131" s="6">
        <f>B131*20</f>
        <v>0</v>
      </c>
      <c r="D131" s="7">
        <f>B131*8</f>
        <v>0</v>
      </c>
      <c r="E131" s="8">
        <f>B131*1</f>
        <v>0</v>
      </c>
      <c r="F131" s="9">
        <f t="shared" si="2"/>
        <v>0</v>
      </c>
      <c r="O131" s="542"/>
      <c r="P131" s="542"/>
      <c r="Q131" s="542"/>
      <c r="R131" s="542"/>
      <c r="S131" s="542"/>
      <c r="T131" s="542"/>
      <c r="U131" s="542"/>
      <c r="V131" s="542"/>
      <c r="W131" s="535"/>
      <c r="X131" s="535"/>
      <c r="Y131" s="535"/>
    </row>
    <row r="132" spans="1:25">
      <c r="A132" s="4" t="s">
        <v>50</v>
      </c>
      <c r="B132" s="146">
        <v>1</v>
      </c>
      <c r="C132" s="6">
        <f>B132*0</f>
        <v>0</v>
      </c>
      <c r="D132" s="7">
        <f>B132*0</f>
        <v>0</v>
      </c>
      <c r="E132" s="8">
        <f>B132*5</f>
        <v>5</v>
      </c>
      <c r="F132" s="9">
        <f t="shared" si="2"/>
        <v>45</v>
      </c>
      <c r="O132" s="542"/>
      <c r="P132" s="542"/>
      <c r="Q132" s="542"/>
      <c r="R132" s="542"/>
      <c r="S132" s="542"/>
      <c r="T132" s="542"/>
      <c r="U132" s="542"/>
      <c r="V132" s="542"/>
      <c r="W132" s="535"/>
      <c r="X132" s="535"/>
      <c r="Y132" s="535"/>
    </row>
    <row r="133" spans="1:25">
      <c r="A133" s="4" t="s">
        <v>51</v>
      </c>
      <c r="B133" s="146">
        <v>0</v>
      </c>
      <c r="C133" s="6">
        <f>B133*10</f>
        <v>0</v>
      </c>
      <c r="D133" s="7">
        <f>B133*0</f>
        <v>0</v>
      </c>
      <c r="E133" s="10">
        <f>B133*0</f>
        <v>0</v>
      </c>
      <c r="F133" s="11">
        <f t="shared" si="2"/>
        <v>0</v>
      </c>
      <c r="O133" s="542"/>
      <c r="P133" s="542"/>
      <c r="Q133" s="542"/>
      <c r="R133" s="542"/>
      <c r="S133" s="542"/>
      <c r="T133" s="542"/>
      <c r="U133" s="542"/>
      <c r="V133" s="542"/>
      <c r="W133" s="535"/>
      <c r="X133" s="535"/>
      <c r="Y133" s="535"/>
    </row>
    <row r="134" spans="1:25">
      <c r="A134" s="4"/>
      <c r="B134" s="12">
        <v>0</v>
      </c>
      <c r="C134" s="6">
        <f>SUM(C126:C133)</f>
        <v>38</v>
      </c>
      <c r="D134" s="7">
        <f>SUM(D126:D133)</f>
        <v>8</v>
      </c>
      <c r="E134" s="10">
        <f>SUM(E126:E133)</f>
        <v>5</v>
      </c>
      <c r="F134" s="11">
        <f>SUM(F126:F133)</f>
        <v>229</v>
      </c>
      <c r="O134" s="542"/>
      <c r="P134" s="542"/>
      <c r="Q134" s="542"/>
      <c r="R134" s="542"/>
      <c r="S134" s="542"/>
      <c r="T134" s="542"/>
      <c r="U134" s="542"/>
      <c r="V134" s="542"/>
      <c r="W134" s="535"/>
      <c r="X134" s="535"/>
      <c r="Y134" s="535"/>
    </row>
    <row r="135" spans="1:25">
      <c r="B135" s="1" t="s">
        <v>52</v>
      </c>
      <c r="C135" s="1" t="s">
        <v>53</v>
      </c>
      <c r="D135" s="1" t="s">
        <v>54</v>
      </c>
      <c r="O135" s="542"/>
      <c r="P135" s="542"/>
      <c r="Q135" s="542"/>
      <c r="R135" s="542"/>
      <c r="S135" s="542"/>
      <c r="T135" s="542"/>
      <c r="U135" s="542"/>
      <c r="V135" s="542"/>
      <c r="W135" s="535"/>
      <c r="X135" s="535"/>
      <c r="Y135" s="535"/>
    </row>
    <row r="136" spans="1:25">
      <c r="A136" s="13" t="s">
        <v>55</v>
      </c>
      <c r="B136" s="14">
        <f>(D136*100)/F134</f>
        <v>66.375545851528386</v>
      </c>
      <c r="C136" s="1">
        <f>C134</f>
        <v>38</v>
      </c>
      <c r="D136" s="1130">
        <f>C136*4</f>
        <v>152</v>
      </c>
      <c r="E136" s="1130"/>
      <c r="O136" s="542"/>
      <c r="P136" s="542"/>
      <c r="Q136" s="542"/>
      <c r="R136" s="542"/>
      <c r="S136" s="542"/>
      <c r="T136" s="542"/>
      <c r="U136" s="542"/>
      <c r="V136" s="542"/>
      <c r="W136" s="535"/>
      <c r="X136" s="535"/>
      <c r="Y136" s="535"/>
    </row>
    <row r="137" spans="1:25">
      <c r="A137" s="15" t="s">
        <v>29</v>
      </c>
      <c r="B137" s="16">
        <f>(D137*100)/F134</f>
        <v>13.973799126637555</v>
      </c>
      <c r="C137" s="1">
        <f>D134</f>
        <v>8</v>
      </c>
      <c r="D137" s="1130">
        <f>C137*4</f>
        <v>32</v>
      </c>
      <c r="E137" s="1130"/>
      <c r="O137" s="542"/>
      <c r="P137" s="542"/>
      <c r="Q137" s="542"/>
      <c r="R137" s="542"/>
      <c r="S137" s="542"/>
      <c r="T137" s="542"/>
      <c r="U137" s="542"/>
      <c r="V137" s="542"/>
      <c r="W137" s="535"/>
      <c r="X137" s="535"/>
      <c r="Y137" s="535"/>
    </row>
    <row r="138" spans="1:25">
      <c r="A138" s="17" t="s">
        <v>56</v>
      </c>
      <c r="B138" s="18">
        <f>(D138*100)/F134</f>
        <v>19.650655021834062</v>
      </c>
      <c r="C138" s="1">
        <f>E134</f>
        <v>5</v>
      </c>
      <c r="D138" s="1130">
        <f>C138*9</f>
        <v>45</v>
      </c>
      <c r="E138" s="1130"/>
      <c r="O138" s="542"/>
      <c r="P138" s="542"/>
      <c r="Q138" s="542"/>
      <c r="R138" s="542"/>
      <c r="S138" s="542"/>
      <c r="T138" s="542"/>
      <c r="U138" s="542"/>
      <c r="V138" s="542"/>
      <c r="W138" s="535"/>
      <c r="X138" s="535"/>
      <c r="Y138" s="535"/>
    </row>
    <row r="139" spans="1:25">
      <c r="O139" s="542"/>
      <c r="P139" s="542"/>
      <c r="Q139" s="542"/>
      <c r="R139" s="542"/>
      <c r="S139" s="542"/>
      <c r="T139" s="542"/>
      <c r="U139" s="542"/>
      <c r="V139" s="542"/>
      <c r="W139" s="535"/>
      <c r="X139" s="535"/>
      <c r="Y139" s="535"/>
    </row>
    <row r="140" spans="1:25">
      <c r="A140" s="1131" t="s">
        <v>207</v>
      </c>
      <c r="B140" s="1131"/>
      <c r="C140" s="1131"/>
      <c r="D140" s="1131"/>
      <c r="E140" s="1131"/>
      <c r="F140" s="1131"/>
      <c r="O140" s="542"/>
      <c r="P140" s="542"/>
      <c r="Q140" s="542"/>
      <c r="R140" s="542"/>
      <c r="S140" s="542"/>
      <c r="T140" s="542"/>
      <c r="U140" s="542"/>
      <c r="V140" s="542"/>
      <c r="W140" s="535"/>
      <c r="X140" s="535"/>
      <c r="Y140" s="535"/>
    </row>
    <row r="141" spans="1:25">
      <c r="A141" s="4"/>
      <c r="B141" s="4" t="s">
        <v>39</v>
      </c>
      <c r="C141" s="53" t="s">
        <v>40</v>
      </c>
      <c r="D141" s="54" t="s">
        <v>41</v>
      </c>
      <c r="E141" s="55" t="s">
        <v>42</v>
      </c>
      <c r="F141" s="4" t="s">
        <v>43</v>
      </c>
      <c r="O141" s="542"/>
      <c r="P141" s="542"/>
      <c r="Q141" s="542"/>
      <c r="R141" s="542"/>
      <c r="S141" s="542"/>
      <c r="T141" s="542"/>
      <c r="U141" s="542"/>
      <c r="V141" s="542"/>
      <c r="W141" s="535"/>
      <c r="X141" s="535"/>
      <c r="Y141" s="535"/>
    </row>
    <row r="142" spans="1:25">
      <c r="A142" s="4" t="s">
        <v>44</v>
      </c>
      <c r="B142" s="39">
        <v>1</v>
      </c>
      <c r="C142" s="50">
        <f>B142*12</f>
        <v>12</v>
      </c>
      <c r="D142" s="51">
        <f>B142*9</f>
        <v>9</v>
      </c>
      <c r="E142" s="52">
        <f>B142*5</f>
        <v>5</v>
      </c>
      <c r="F142" s="9">
        <f t="shared" ref="F142:F149" si="3">(C142*4)+(D142*4)+(E142*9)</f>
        <v>129</v>
      </c>
      <c r="O142" s="542"/>
      <c r="P142" s="542"/>
      <c r="Q142" s="542"/>
      <c r="R142" s="542"/>
      <c r="S142" s="542"/>
      <c r="T142" s="542"/>
      <c r="U142" s="542"/>
      <c r="V142" s="542"/>
      <c r="W142" s="535"/>
      <c r="X142" s="535"/>
      <c r="Y142" s="535"/>
    </row>
    <row r="143" spans="1:25">
      <c r="A143" s="4" t="s">
        <v>45</v>
      </c>
      <c r="B143" s="39">
        <v>1</v>
      </c>
      <c r="C143" s="6">
        <v>0</v>
      </c>
      <c r="D143" s="7">
        <f>B143*7</f>
        <v>7</v>
      </c>
      <c r="E143" s="8">
        <f>B143*4</f>
        <v>4</v>
      </c>
      <c r="F143" s="9">
        <f t="shared" si="3"/>
        <v>64</v>
      </c>
      <c r="O143" s="542"/>
      <c r="P143" s="542"/>
      <c r="Q143" s="542"/>
      <c r="R143" s="542"/>
      <c r="S143" s="542"/>
      <c r="T143" s="542"/>
      <c r="U143" s="542"/>
      <c r="V143" s="542"/>
      <c r="W143" s="535"/>
      <c r="X143" s="535"/>
      <c r="Y143" s="535"/>
    </row>
    <row r="144" spans="1:25">
      <c r="A144" s="4" t="s">
        <v>46</v>
      </c>
      <c r="B144" s="39">
        <v>1</v>
      </c>
      <c r="C144" s="6">
        <f>B144*15</f>
        <v>15</v>
      </c>
      <c r="D144" s="7">
        <f>B144*0</f>
        <v>0</v>
      </c>
      <c r="E144" s="8">
        <f>B144*0</f>
        <v>0</v>
      </c>
      <c r="F144" s="9">
        <f t="shared" si="3"/>
        <v>60</v>
      </c>
      <c r="O144" s="542"/>
      <c r="P144" s="542"/>
      <c r="Q144" s="542"/>
      <c r="R144" s="542"/>
      <c r="S144" s="542"/>
      <c r="T144" s="542"/>
      <c r="U144" s="542"/>
      <c r="V144" s="542"/>
      <c r="W144" s="535"/>
      <c r="X144" s="535"/>
      <c r="Y144" s="535"/>
    </row>
    <row r="145" spans="1:25">
      <c r="A145" s="4" t="s">
        <v>47</v>
      </c>
      <c r="B145" s="39">
        <v>1</v>
      </c>
      <c r="C145" s="6">
        <f>B145*4</f>
        <v>4</v>
      </c>
      <c r="D145" s="7">
        <f>B145*2</f>
        <v>2</v>
      </c>
      <c r="E145" s="8"/>
      <c r="F145" s="9">
        <f t="shared" si="3"/>
        <v>24</v>
      </c>
      <c r="O145" s="542"/>
      <c r="P145" s="542"/>
      <c r="Q145" s="542"/>
      <c r="R145" s="542"/>
      <c r="S145" s="542"/>
      <c r="T145" s="542"/>
      <c r="U145" s="542"/>
      <c r="V145" s="542"/>
      <c r="W145" s="535"/>
      <c r="X145" s="535"/>
      <c r="Y145" s="535"/>
    </row>
    <row r="146" spans="1:25">
      <c r="A146" s="4" t="s">
        <v>48</v>
      </c>
      <c r="B146" s="39">
        <v>1</v>
      </c>
      <c r="C146" s="6">
        <f>B146*15</f>
        <v>15</v>
      </c>
      <c r="D146" s="7">
        <f>B146*2</f>
        <v>2</v>
      </c>
      <c r="E146" s="8">
        <f>B146*0</f>
        <v>0</v>
      </c>
      <c r="F146" s="9">
        <f t="shared" si="3"/>
        <v>68</v>
      </c>
      <c r="O146" s="542"/>
      <c r="P146" s="542"/>
      <c r="Q146" s="542"/>
      <c r="R146" s="542"/>
      <c r="S146" s="542"/>
      <c r="T146" s="542"/>
      <c r="U146" s="542"/>
      <c r="V146" s="542"/>
      <c r="W146" s="535"/>
      <c r="X146" s="535"/>
      <c r="Y146" s="535"/>
    </row>
    <row r="147" spans="1:25">
      <c r="A147" s="4" t="s">
        <v>49</v>
      </c>
      <c r="B147" s="39">
        <v>1</v>
      </c>
      <c r="C147" s="6">
        <f>B147*20</f>
        <v>20</v>
      </c>
      <c r="D147" s="7">
        <f>B147*8</f>
        <v>8</v>
      </c>
      <c r="E147" s="8">
        <f>B147*1</f>
        <v>1</v>
      </c>
      <c r="F147" s="9">
        <f t="shared" si="3"/>
        <v>121</v>
      </c>
      <c r="O147" s="542"/>
      <c r="P147" s="542"/>
      <c r="Q147" s="542"/>
      <c r="R147" s="542" t="s">
        <v>558</v>
      </c>
      <c r="S147" s="542"/>
      <c r="T147" s="542"/>
      <c r="U147" s="542"/>
      <c r="V147" s="542"/>
      <c r="W147" s="535"/>
      <c r="X147" s="535"/>
      <c r="Y147" s="535"/>
    </row>
    <row r="148" spans="1:25">
      <c r="A148" s="4" t="s">
        <v>50</v>
      </c>
      <c r="B148" s="39">
        <v>1</v>
      </c>
      <c r="C148" s="6">
        <f>B148*0</f>
        <v>0</v>
      </c>
      <c r="D148" s="7">
        <f>B148*0</f>
        <v>0</v>
      </c>
      <c r="E148" s="8">
        <f>B148*5</f>
        <v>5</v>
      </c>
      <c r="F148" s="9">
        <f t="shared" si="3"/>
        <v>45</v>
      </c>
      <c r="O148" s="542"/>
      <c r="P148" s="580" t="s">
        <v>561</v>
      </c>
      <c r="Q148" s="580"/>
      <c r="R148" s="580"/>
      <c r="S148" s="580"/>
      <c r="T148" s="542"/>
      <c r="U148" s="542"/>
      <c r="V148" s="542"/>
      <c r="W148" s="535"/>
      <c r="X148" s="535"/>
      <c r="Y148" s="535"/>
    </row>
    <row r="149" spans="1:25">
      <c r="A149" s="4" t="s">
        <v>51</v>
      </c>
      <c r="B149" s="39">
        <v>1</v>
      </c>
      <c r="C149" s="6">
        <f>B149*10</f>
        <v>10</v>
      </c>
      <c r="D149" s="7">
        <f>B149*0</f>
        <v>0</v>
      </c>
      <c r="E149" s="10">
        <f>B149*0</f>
        <v>0</v>
      </c>
      <c r="F149" s="11">
        <f t="shared" si="3"/>
        <v>40</v>
      </c>
      <c r="O149" s="542"/>
      <c r="P149" s="580" t="s">
        <v>562</v>
      </c>
      <c r="Q149" s="580"/>
      <c r="R149" s="580"/>
      <c r="S149" s="580"/>
      <c r="T149" s="542"/>
      <c r="U149" s="542"/>
      <c r="V149" s="542"/>
      <c r="W149" s="535"/>
      <c r="X149" s="535"/>
      <c r="Y149" s="535"/>
    </row>
    <row r="150" spans="1:25">
      <c r="A150" s="4"/>
      <c r="B150" s="12"/>
      <c r="C150" s="6">
        <f>SUM(C142:C149)</f>
        <v>76</v>
      </c>
      <c r="D150" s="7">
        <f>SUM(D142:D149)</f>
        <v>28</v>
      </c>
      <c r="E150" s="10">
        <f>SUM(E142:E149)</f>
        <v>15</v>
      </c>
      <c r="F150" s="11">
        <f>SUM(F142:F149)</f>
        <v>551</v>
      </c>
      <c r="H150" s="534"/>
      <c r="I150" s="534"/>
      <c r="J150" s="534"/>
      <c r="K150" s="534"/>
      <c r="L150" s="534"/>
      <c r="M150" s="534"/>
      <c r="N150" s="534"/>
      <c r="O150" s="542"/>
      <c r="P150" s="580" t="s">
        <v>560</v>
      </c>
      <c r="Q150" s="580"/>
      <c r="R150" s="580"/>
      <c r="S150" s="580"/>
      <c r="T150" s="542"/>
      <c r="U150" s="542"/>
      <c r="V150" s="542"/>
      <c r="W150" s="535"/>
      <c r="X150" s="535"/>
      <c r="Y150" s="535"/>
    </row>
    <row r="151" spans="1:25" ht="15.75" thickBot="1">
      <c r="B151" s="1" t="s">
        <v>52</v>
      </c>
      <c r="C151" s="4" t="s">
        <v>53</v>
      </c>
      <c r="D151" s="75" t="s">
        <v>54</v>
      </c>
      <c r="E151" s="75"/>
      <c r="H151" s="84"/>
      <c r="I151" s="84"/>
      <c r="J151" s="84"/>
      <c r="K151" s="84"/>
      <c r="L151" s="84"/>
      <c r="M151" s="84"/>
      <c r="N151" s="1134" t="s">
        <v>398</v>
      </c>
      <c r="O151" s="542"/>
      <c r="P151" s="580" t="s">
        <v>563</v>
      </c>
      <c r="Q151" s="580"/>
      <c r="R151" s="580"/>
      <c r="S151" s="580"/>
      <c r="T151" s="542"/>
      <c r="U151" s="542"/>
      <c r="V151" s="542"/>
      <c r="W151" s="535"/>
      <c r="X151" s="535"/>
      <c r="Y151" s="535"/>
    </row>
    <row r="152" spans="1:25" ht="15.75" thickBot="1">
      <c r="A152" s="13" t="s">
        <v>55</v>
      </c>
      <c r="B152" s="14">
        <v>54</v>
      </c>
      <c r="C152" s="4">
        <f>C150</f>
        <v>76</v>
      </c>
      <c r="D152" s="74">
        <f>C152*4</f>
        <v>304</v>
      </c>
      <c r="E152" s="73"/>
      <c r="H152" s="581" t="s">
        <v>559</v>
      </c>
      <c r="I152" s="1132" t="s">
        <v>562</v>
      </c>
      <c r="J152" s="1133"/>
      <c r="K152" s="1133"/>
      <c r="L152" s="1133"/>
      <c r="M152" s="1133"/>
      <c r="N152" s="1134"/>
      <c r="O152" s="542"/>
      <c r="P152" s="580" t="s">
        <v>564</v>
      </c>
      <c r="Q152" s="580"/>
      <c r="R152" s="580"/>
      <c r="S152" s="580"/>
      <c r="T152" s="542"/>
      <c r="U152" s="542"/>
      <c r="V152" s="542"/>
      <c r="W152" s="535"/>
      <c r="X152" s="535"/>
      <c r="Y152" s="535"/>
    </row>
    <row r="153" spans="1:25">
      <c r="A153" s="15" t="s">
        <v>29</v>
      </c>
      <c r="B153" s="16">
        <v>18</v>
      </c>
      <c r="C153" s="4">
        <f>D150</f>
        <v>28</v>
      </c>
      <c r="D153" s="74">
        <f>C153*4</f>
        <v>112</v>
      </c>
      <c r="E153" s="73"/>
      <c r="H153" s="84"/>
      <c r="I153" s="84"/>
      <c r="J153" s="84"/>
      <c r="K153" s="84"/>
      <c r="L153" s="84"/>
      <c r="M153" s="84"/>
      <c r="N153" s="84"/>
      <c r="O153" s="542"/>
      <c r="P153" s="1126"/>
      <c r="Q153" s="1126"/>
      <c r="R153" s="1126"/>
      <c r="S153" s="1126"/>
      <c r="T153" s="542"/>
      <c r="U153" s="542"/>
      <c r="V153" s="542"/>
      <c r="W153" s="535"/>
      <c r="X153" s="535"/>
      <c r="Y153" s="535"/>
    </row>
    <row r="154" spans="1:25">
      <c r="A154" s="17" t="s">
        <v>56</v>
      </c>
      <c r="B154" s="18">
        <v>28</v>
      </c>
      <c r="C154" s="4">
        <f>E150</f>
        <v>15</v>
      </c>
      <c r="D154" s="74">
        <f>C154*9</f>
        <v>135</v>
      </c>
      <c r="E154" s="73"/>
      <c r="H154" s="84"/>
      <c r="I154" s="84"/>
      <c r="J154" s="84"/>
      <c r="K154" s="84"/>
      <c r="L154" s="84"/>
      <c r="M154" s="84"/>
      <c r="N154" s="84"/>
      <c r="O154" s="542"/>
      <c r="P154" s="1126"/>
      <c r="Q154" s="1126"/>
      <c r="R154" s="1126"/>
      <c r="S154" s="1126"/>
      <c r="T154" s="542"/>
      <c r="U154" s="542"/>
      <c r="V154" s="542"/>
      <c r="W154" s="535"/>
      <c r="X154" s="535"/>
      <c r="Y154" s="535"/>
    </row>
    <row r="155" spans="1:25" ht="15.75" thickBot="1">
      <c r="B155" s="76">
        <f>SUM(B152:B154)</f>
        <v>100</v>
      </c>
      <c r="C155" s="77"/>
      <c r="D155" s="76">
        <f>SUM(D152:D154)</f>
        <v>551</v>
      </c>
      <c r="H155" s="84"/>
      <c r="I155" s="84"/>
      <c r="J155" s="84"/>
      <c r="K155" s="84"/>
      <c r="L155" s="84"/>
      <c r="M155" s="84"/>
      <c r="N155" s="84"/>
      <c r="O155" s="542"/>
      <c r="P155" s="1126"/>
      <c r="Q155" s="1126"/>
      <c r="R155" s="1126"/>
      <c r="S155" s="1126"/>
      <c r="T155" s="542"/>
      <c r="U155" s="542"/>
      <c r="V155" s="542"/>
      <c r="W155" s="535"/>
      <c r="X155" s="535"/>
      <c r="Y155" s="535"/>
    </row>
    <row r="156" spans="1:25" ht="15.75" thickBot="1">
      <c r="A156" s="1127" t="s">
        <v>304</v>
      </c>
      <c r="B156" s="1128"/>
      <c r="C156" s="977" t="s">
        <v>668</v>
      </c>
      <c r="D156" s="1129" t="s">
        <v>321</v>
      </c>
      <c r="E156" s="1129"/>
      <c r="F156" s="978" t="s">
        <v>669</v>
      </c>
      <c r="G156" s="1129" t="s">
        <v>554</v>
      </c>
      <c r="H156" s="1129"/>
      <c r="I156" s="577" t="s">
        <v>670</v>
      </c>
      <c r="J156" s="1129" t="s">
        <v>546</v>
      </c>
      <c r="K156" s="1129"/>
      <c r="L156" s="577" t="s">
        <v>671</v>
      </c>
      <c r="M156" s="1129" t="s">
        <v>545</v>
      </c>
      <c r="N156" s="1129"/>
      <c r="O156" s="979" t="s">
        <v>672</v>
      </c>
      <c r="P156" s="542"/>
      <c r="Q156" s="542"/>
      <c r="R156" s="542"/>
      <c r="S156" s="542"/>
      <c r="T156" s="542"/>
      <c r="U156" s="542"/>
      <c r="V156" s="542"/>
      <c r="W156" s="535"/>
      <c r="X156" s="535"/>
      <c r="Y156" s="535"/>
    </row>
    <row r="157" spans="1:25" ht="15.75" thickBot="1">
      <c r="A157" s="596" t="s">
        <v>57</v>
      </c>
      <c r="B157" s="603">
        <f>IF(D9&lt;=3,(61*D11)-51,IF(D9&lt;=10,(22.5*D11)+499,IF(D9&lt;=18,(12.2*D11)+746,IF(D9&lt;=30,(14.7*D11)+496,IF(D9&lt;=60,(8.7*D11)+829,IF(D9&gt;60,(10.5*D11)+596))))))</f>
        <v>1425.5</v>
      </c>
      <c r="C157" s="215">
        <f>B157*1.1</f>
        <v>1568.0500000000002</v>
      </c>
      <c r="D157" s="596" t="s">
        <v>57</v>
      </c>
      <c r="E157" s="596">
        <f>665.1+(9.565*D11)+(1.85*G14)-(4.68*D9)</f>
        <v>1046.335</v>
      </c>
      <c r="F157" s="540"/>
      <c r="G157" s="596" t="s">
        <v>57</v>
      </c>
      <c r="H157" s="596">
        <f>795+(7.18*D11)</f>
        <v>1362.22</v>
      </c>
      <c r="I157" s="215"/>
      <c r="J157" s="596" t="s">
        <v>57</v>
      </c>
      <c r="K157" s="596">
        <f>IF(D9&lt;=30,(11.02*D11)+679,IF(D9&lt;=60,(10.92*D11)+677,IF(D9&gt;=61,(10.98*D11)+520)))</f>
        <v>1387.42</v>
      </c>
      <c r="L157" s="978" t="s">
        <v>666</v>
      </c>
      <c r="M157" s="596" t="s">
        <v>57</v>
      </c>
      <c r="N157" s="597">
        <f>(9.99*D11)+(6.25*G17)-(4.92*D9)-161</f>
        <v>1247.1100000000001</v>
      </c>
      <c r="O157" s="542"/>
      <c r="P157" s="542">
        <v>1.3</v>
      </c>
      <c r="Q157" s="542"/>
      <c r="R157" s="542"/>
      <c r="S157" s="542"/>
      <c r="T157" s="542"/>
      <c r="U157" s="542"/>
      <c r="V157" s="542"/>
      <c r="W157" s="535"/>
      <c r="X157" s="535"/>
      <c r="Y157" s="535"/>
    </row>
    <row r="158" spans="1:25" ht="15.75" thickBot="1">
      <c r="A158" s="582" t="s">
        <v>297</v>
      </c>
      <c r="B158" s="583" t="str">
        <f>LEFT(I152,3)</f>
        <v>1.3</v>
      </c>
      <c r="D158" s="83" t="s">
        <v>297</v>
      </c>
      <c r="E158" s="577" t="str">
        <f>LEFT(I152,3)</f>
        <v>1.3</v>
      </c>
      <c r="F158" s="85"/>
      <c r="G158" s="582" t="s">
        <v>297</v>
      </c>
      <c r="H158" s="584" t="str">
        <f>LEFT(I152,3)</f>
        <v>1.3</v>
      </c>
      <c r="J158" s="582" t="s">
        <v>297</v>
      </c>
      <c r="K158" s="584" t="str">
        <f>LEFT(I152,3)</f>
        <v>1.3</v>
      </c>
      <c r="M158" s="582" t="s">
        <v>297</v>
      </c>
      <c r="N158" s="584" t="str">
        <f>LEFT(I152,3)</f>
        <v>1.3</v>
      </c>
      <c r="O158" s="542"/>
      <c r="P158" s="542">
        <v>1.35</v>
      </c>
      <c r="Q158" s="542"/>
      <c r="R158" s="542"/>
      <c r="S158" s="542"/>
      <c r="T158" s="542"/>
      <c r="U158" s="542"/>
      <c r="V158" s="542"/>
      <c r="W158" s="535"/>
      <c r="X158" s="535"/>
      <c r="Y158" s="535"/>
    </row>
    <row r="159" spans="1:25">
      <c r="A159" s="533" t="s">
        <v>58</v>
      </c>
      <c r="B159" s="595">
        <f>(B157*1.1)*B158</f>
        <v>2038.4650000000004</v>
      </c>
      <c r="D159" s="533" t="s">
        <v>58</v>
      </c>
      <c r="E159" s="585">
        <f>(E157*1.1)*E158</f>
        <v>1496.2590500000003</v>
      </c>
      <c r="F159" s="85"/>
      <c r="G159" s="533" t="s">
        <v>58</v>
      </c>
      <c r="H159" s="585">
        <f>(H157*1.1)*H158</f>
        <v>1947.9746000000005</v>
      </c>
      <c r="J159" s="533" t="s">
        <v>58</v>
      </c>
      <c r="K159" s="585">
        <f>(K157*1.1)*K158</f>
        <v>1984.0106000000003</v>
      </c>
      <c r="L159" s="978" t="s">
        <v>667</v>
      </c>
      <c r="M159" s="533" t="s">
        <v>58</v>
      </c>
      <c r="N159" s="586">
        <f>(N157*1.1)*N158</f>
        <v>1783.3673000000003</v>
      </c>
      <c r="O159" s="542"/>
      <c r="P159" s="542">
        <v>1.6</v>
      </c>
      <c r="Q159" s="542">
        <v>1.45</v>
      </c>
      <c r="R159" s="542"/>
      <c r="S159" s="542"/>
      <c r="T159" s="542"/>
      <c r="U159" s="542"/>
      <c r="V159" s="542"/>
    </row>
    <row r="160" spans="1:25">
      <c r="A160" s="19"/>
      <c r="B160" s="519" t="s">
        <v>38</v>
      </c>
      <c r="C160" s="19"/>
      <c r="D160" s="19"/>
      <c r="E160" s="19"/>
      <c r="F160" s="19"/>
      <c r="O160" s="542"/>
      <c r="P160" s="542">
        <v>2.1</v>
      </c>
      <c r="Q160" s="542"/>
      <c r="R160" s="542"/>
      <c r="S160" s="542"/>
      <c r="T160" s="542"/>
      <c r="U160" s="542"/>
      <c r="V160" s="542"/>
    </row>
    <row r="161" spans="1:22" ht="45">
      <c r="A161" s="20"/>
      <c r="B161" s="21"/>
      <c r="C161" s="21" t="s">
        <v>60</v>
      </c>
      <c r="D161" s="21" t="s">
        <v>41</v>
      </c>
      <c r="E161" s="21" t="s">
        <v>42</v>
      </c>
      <c r="F161" s="21" t="s">
        <v>43</v>
      </c>
      <c r="G161" s="21" t="s">
        <v>59</v>
      </c>
      <c r="H161" s="21" t="s">
        <v>61</v>
      </c>
      <c r="I161" s="21" t="s">
        <v>62</v>
      </c>
      <c r="J161" s="21" t="s">
        <v>63</v>
      </c>
      <c r="K161" s="21" t="s">
        <v>64</v>
      </c>
      <c r="L161" s="21" t="s">
        <v>65</v>
      </c>
      <c r="M161" s="980" t="s">
        <v>673</v>
      </c>
      <c r="O161" s="542"/>
      <c r="P161" s="542"/>
      <c r="Q161" s="542"/>
      <c r="R161" s="542"/>
      <c r="S161" s="542"/>
      <c r="T161" s="542"/>
      <c r="U161" s="542"/>
      <c r="V161" s="542"/>
    </row>
    <row r="162" spans="1:22" ht="21">
      <c r="A162" s="19" t="s">
        <v>44</v>
      </c>
      <c r="B162" s="147">
        <v>1</v>
      </c>
      <c r="C162" s="22">
        <f>B162*12</f>
        <v>12</v>
      </c>
      <c r="D162" s="27">
        <f>B162*9</f>
        <v>9</v>
      </c>
      <c r="E162" s="23">
        <f>B162*5</f>
        <v>5</v>
      </c>
      <c r="F162" s="150">
        <f t="shared" ref="F162:F169" si="4">(C162*4)+(D162*4)+(E162*9)</f>
        <v>129</v>
      </c>
      <c r="G162" s="592">
        <f t="shared" ref="G162:G169" si="5">B162</f>
        <v>1</v>
      </c>
      <c r="H162" s="148">
        <v>1</v>
      </c>
      <c r="I162" s="148">
        <v>0</v>
      </c>
      <c r="J162" s="148">
        <v>0</v>
      </c>
      <c r="K162" s="148">
        <v>0</v>
      </c>
      <c r="L162" s="513">
        <v>1</v>
      </c>
      <c r="M162" s="593">
        <f t="shared" ref="M162:M171" si="6">SUM(H162:L162)</f>
        <v>2</v>
      </c>
      <c r="N162" s="40" t="str">
        <f>IF(M162&lt;G162, "te falta ",IF(M162=G162,"muy bien",IF(M162&gt;G162,"te pasaste")))</f>
        <v>te pasaste</v>
      </c>
      <c r="O162" s="542"/>
      <c r="P162" s="542"/>
      <c r="Q162" s="542"/>
      <c r="R162" s="542"/>
      <c r="S162" s="542"/>
      <c r="T162" s="542"/>
      <c r="U162" s="542"/>
      <c r="V162" s="542"/>
    </row>
    <row r="163" spans="1:22" ht="21">
      <c r="A163" s="19" t="s">
        <v>45</v>
      </c>
      <c r="B163" s="147">
        <v>1</v>
      </c>
      <c r="C163" s="22">
        <v>0</v>
      </c>
      <c r="D163" s="27">
        <f>B163*7</f>
        <v>7</v>
      </c>
      <c r="E163" s="23">
        <f>B163*4</f>
        <v>4</v>
      </c>
      <c r="F163" s="150">
        <f t="shared" si="4"/>
        <v>64</v>
      </c>
      <c r="G163" s="592">
        <f t="shared" si="5"/>
        <v>1</v>
      </c>
      <c r="H163" s="148">
        <v>1</v>
      </c>
      <c r="I163" s="148">
        <v>0</v>
      </c>
      <c r="J163" s="148">
        <v>2</v>
      </c>
      <c r="K163" s="148">
        <v>0</v>
      </c>
      <c r="L163" s="148">
        <v>0</v>
      </c>
      <c r="M163" s="593">
        <f t="shared" si="6"/>
        <v>3</v>
      </c>
      <c r="N163" s="40" t="str">
        <f t="shared" ref="N163:N169" si="7">IF(M163&lt;G163, "te falta",IF(M163=G163,"muy bien",IF(M163&gt;G163,"te pasaste")))</f>
        <v>te pasaste</v>
      </c>
      <c r="O163" s="542"/>
      <c r="P163" s="542"/>
      <c r="Q163" s="542"/>
      <c r="R163" s="542"/>
      <c r="S163" s="542"/>
      <c r="T163" s="542"/>
      <c r="U163" s="542"/>
      <c r="V163" s="542"/>
    </row>
    <row r="164" spans="1:22" ht="21">
      <c r="A164" s="19" t="s">
        <v>46</v>
      </c>
      <c r="B164" s="147">
        <v>1</v>
      </c>
      <c r="C164" s="22">
        <f>B164*15</f>
        <v>15</v>
      </c>
      <c r="D164" s="27">
        <f>B164*0</f>
        <v>0</v>
      </c>
      <c r="E164" s="23">
        <f>B164*0</f>
        <v>0</v>
      </c>
      <c r="F164" s="150">
        <f t="shared" si="4"/>
        <v>60</v>
      </c>
      <c r="G164" s="592">
        <f t="shared" si="5"/>
        <v>1</v>
      </c>
      <c r="H164" s="148">
        <v>1</v>
      </c>
      <c r="I164" s="148">
        <v>1</v>
      </c>
      <c r="J164" s="148">
        <v>2</v>
      </c>
      <c r="K164" s="148">
        <v>1</v>
      </c>
      <c r="L164" s="148">
        <v>0</v>
      </c>
      <c r="M164" s="593">
        <f>SUM(H164:L164)</f>
        <v>5</v>
      </c>
      <c r="N164" s="40" t="str">
        <f t="shared" si="7"/>
        <v>te pasaste</v>
      </c>
      <c r="O164" s="542"/>
      <c r="P164" s="542"/>
      <c r="Q164" s="542"/>
      <c r="R164" s="542"/>
      <c r="S164" s="542"/>
      <c r="T164" s="542"/>
      <c r="U164" s="542"/>
      <c r="V164" s="542"/>
    </row>
    <row r="165" spans="1:22" ht="21">
      <c r="A165" s="19" t="s">
        <v>47</v>
      </c>
      <c r="B165" s="147">
        <v>1</v>
      </c>
      <c r="C165" s="22">
        <f>B165*4</f>
        <v>4</v>
      </c>
      <c r="D165" s="27">
        <f>B165*2</f>
        <v>2</v>
      </c>
      <c r="E165" s="23"/>
      <c r="F165" s="150">
        <f t="shared" si="4"/>
        <v>24</v>
      </c>
      <c r="G165" s="592">
        <f t="shared" si="5"/>
        <v>1</v>
      </c>
      <c r="H165" s="148">
        <v>2</v>
      </c>
      <c r="I165" s="148">
        <v>1</v>
      </c>
      <c r="J165" s="148">
        <v>2</v>
      </c>
      <c r="K165" s="148">
        <v>1</v>
      </c>
      <c r="L165" s="148">
        <v>1</v>
      </c>
      <c r="M165" s="593">
        <f t="shared" si="6"/>
        <v>7</v>
      </c>
      <c r="N165" s="40" t="str">
        <f t="shared" si="7"/>
        <v>te pasaste</v>
      </c>
      <c r="O165" s="542"/>
      <c r="P165" s="542"/>
      <c r="Q165" s="542"/>
      <c r="R165" s="542"/>
      <c r="S165" s="542"/>
      <c r="T165" s="542"/>
      <c r="U165" s="542"/>
      <c r="V165" s="542"/>
    </row>
    <row r="166" spans="1:22" ht="21">
      <c r="A166" s="19" t="s">
        <v>48</v>
      </c>
      <c r="B166" s="147">
        <v>1</v>
      </c>
      <c r="C166" s="22">
        <f>B166*15</f>
        <v>15</v>
      </c>
      <c r="D166" s="27">
        <f>B166*2</f>
        <v>2</v>
      </c>
      <c r="E166" s="23">
        <f>B166*0</f>
        <v>0</v>
      </c>
      <c r="F166" s="150">
        <f t="shared" si="4"/>
        <v>68</v>
      </c>
      <c r="G166" s="592">
        <f t="shared" si="5"/>
        <v>1</v>
      </c>
      <c r="H166" s="148">
        <v>2</v>
      </c>
      <c r="I166" s="148">
        <v>1</v>
      </c>
      <c r="J166" s="148">
        <v>2</v>
      </c>
      <c r="K166" s="148">
        <v>1</v>
      </c>
      <c r="L166" s="148">
        <v>0</v>
      </c>
      <c r="M166" s="593">
        <f t="shared" si="6"/>
        <v>6</v>
      </c>
      <c r="N166" s="40" t="str">
        <f t="shared" si="7"/>
        <v>te pasaste</v>
      </c>
      <c r="O166" s="542"/>
      <c r="P166" s="542"/>
      <c r="Q166" s="542"/>
      <c r="R166" s="542"/>
      <c r="S166" s="542"/>
      <c r="T166" s="542"/>
      <c r="U166" s="542"/>
      <c r="V166" s="542"/>
    </row>
    <row r="167" spans="1:22" ht="21">
      <c r="A167" s="19" t="s">
        <v>66</v>
      </c>
      <c r="B167" s="147">
        <v>1</v>
      </c>
      <c r="C167" s="22">
        <f>B167*20</f>
        <v>20</v>
      </c>
      <c r="D167" s="27">
        <f>B167*8</f>
        <v>8</v>
      </c>
      <c r="E167" s="23">
        <f>B167*1</f>
        <v>1</v>
      </c>
      <c r="F167" s="150">
        <f t="shared" si="4"/>
        <v>121</v>
      </c>
      <c r="G167" s="592">
        <f t="shared" si="5"/>
        <v>1</v>
      </c>
      <c r="H167" s="148">
        <v>0</v>
      </c>
      <c r="I167" s="148">
        <v>0</v>
      </c>
      <c r="J167" s="148">
        <v>0</v>
      </c>
      <c r="K167" s="148">
        <v>0</v>
      </c>
      <c r="L167" s="148">
        <v>0</v>
      </c>
      <c r="M167" s="593">
        <f t="shared" si="6"/>
        <v>0</v>
      </c>
      <c r="N167" s="40" t="str">
        <f t="shared" si="7"/>
        <v>te falta</v>
      </c>
      <c r="O167" s="542"/>
      <c r="P167" s="542"/>
      <c r="Q167" s="542"/>
      <c r="R167" s="542"/>
      <c r="S167" s="542"/>
      <c r="T167" s="542"/>
      <c r="U167" s="542"/>
      <c r="V167" s="542"/>
    </row>
    <row r="168" spans="1:22" ht="21">
      <c r="A168" s="19" t="s">
        <v>50</v>
      </c>
      <c r="B168" s="147">
        <v>1</v>
      </c>
      <c r="C168" s="22">
        <f>B168*0</f>
        <v>0</v>
      </c>
      <c r="D168" s="27">
        <f>B168*0</f>
        <v>0</v>
      </c>
      <c r="E168" s="23">
        <f>B168*5</f>
        <v>5</v>
      </c>
      <c r="F168" s="150">
        <f t="shared" si="4"/>
        <v>45</v>
      </c>
      <c r="G168" s="592">
        <f t="shared" si="5"/>
        <v>1</v>
      </c>
      <c r="H168" s="148">
        <v>1</v>
      </c>
      <c r="I168" s="148">
        <v>0</v>
      </c>
      <c r="J168" s="148">
        <v>2</v>
      </c>
      <c r="K168" s="148">
        <v>0</v>
      </c>
      <c r="L168" s="148">
        <v>0</v>
      </c>
      <c r="M168" s="593">
        <f t="shared" si="6"/>
        <v>3</v>
      </c>
      <c r="N168" s="40" t="str">
        <f t="shared" si="7"/>
        <v>te pasaste</v>
      </c>
      <c r="O168" s="542"/>
      <c r="P168" s="542"/>
      <c r="Q168" s="542"/>
      <c r="R168" s="542"/>
      <c r="S168" s="542"/>
      <c r="T168" s="542"/>
      <c r="U168" s="542"/>
      <c r="V168" s="542"/>
    </row>
    <row r="169" spans="1:22" ht="21">
      <c r="A169" s="19" t="s">
        <v>51</v>
      </c>
      <c r="B169" s="147">
        <v>1</v>
      </c>
      <c r="C169" s="22">
        <f>B169*10</f>
        <v>10</v>
      </c>
      <c r="D169" s="27">
        <f>B169*0</f>
        <v>0</v>
      </c>
      <c r="E169" s="23">
        <f>B169*0</f>
        <v>0</v>
      </c>
      <c r="F169" s="152">
        <f t="shared" si="4"/>
        <v>40</v>
      </c>
      <c r="G169" s="592">
        <f t="shared" si="5"/>
        <v>1</v>
      </c>
      <c r="H169" s="587">
        <v>1</v>
      </c>
      <c r="I169" s="587">
        <v>0</v>
      </c>
      <c r="J169" s="587">
        <v>1</v>
      </c>
      <c r="K169" s="587">
        <v>0</v>
      </c>
      <c r="L169" s="587">
        <v>0</v>
      </c>
      <c r="M169" s="593">
        <f t="shared" si="6"/>
        <v>2</v>
      </c>
      <c r="N169" s="40" t="str">
        <f t="shared" si="7"/>
        <v>te pasaste</v>
      </c>
      <c r="O169" s="542"/>
      <c r="P169" s="542"/>
      <c r="Q169" s="542"/>
      <c r="R169" s="542"/>
      <c r="S169" s="542"/>
      <c r="T169" s="542"/>
      <c r="U169" s="542"/>
      <c r="V169" s="542"/>
    </row>
    <row r="170" spans="1:22" ht="18.75">
      <c r="A170" s="19"/>
      <c r="B170" s="19"/>
      <c r="C170" s="153">
        <f>SUM(C162:C169)</f>
        <v>76</v>
      </c>
      <c r="D170" s="154">
        <f>SUM(D162:D169)</f>
        <v>28</v>
      </c>
      <c r="E170" s="155">
        <f>SUM(E162:E169)</f>
        <v>15</v>
      </c>
      <c r="F170" s="151">
        <f>SUM(F162:F169)</f>
        <v>551</v>
      </c>
      <c r="G170" s="594"/>
      <c r="H170" s="588">
        <f>($H$162*129)+($H$163*64)+($H$164*60)+($H$165*24)+($H$166*68)+($H$167*121)+($H$168*45)+($H$169*40)</f>
        <v>522</v>
      </c>
      <c r="I170" s="588">
        <f>(I162*129)+(I163*64)+(I164*60)+(I165*24)+(I166*68)+(I167*121)+(I168*45)+(I169*40)</f>
        <v>152</v>
      </c>
      <c r="J170" s="588">
        <f>(J162*129)+(J163*64)+(J164*60)+(J165*24)+(J166*68)+(J167*121)+(J168*45)+(J169*40)</f>
        <v>562</v>
      </c>
      <c r="K170" s="588">
        <f>(K162*129)+(K163*64)+(K164*60)+(K165*24)+(K166*68)+(K167*121)+(K168*45)+(K169*40)</f>
        <v>152</v>
      </c>
      <c r="L170" s="588">
        <f>(L162*129)+(L163*64)+(L164*60)+(L165*24)+(L166*68)+(L167*121)+(L168*45)+(L169*40)</f>
        <v>153</v>
      </c>
      <c r="M170" s="589">
        <f t="shared" si="6"/>
        <v>1541</v>
      </c>
    </row>
    <row r="171" spans="1:22" ht="18.75">
      <c r="A171" s="19"/>
      <c r="B171" s="19"/>
      <c r="C171" s="19"/>
      <c r="D171" s="19"/>
      <c r="E171" s="19"/>
      <c r="F171" s="19"/>
      <c r="G171" s="590" t="s">
        <v>52</v>
      </c>
      <c r="H171" s="591">
        <f>(H170*100)/F170</f>
        <v>94.736842105263165</v>
      </c>
      <c r="I171" s="591">
        <f>(I170*100)/F170</f>
        <v>27.586206896551722</v>
      </c>
      <c r="J171" s="591">
        <f>(J170*100)/F170</f>
        <v>101.99637023593466</v>
      </c>
      <c r="K171" s="591">
        <f>(K170*100)/F170</f>
        <v>27.586206896551722</v>
      </c>
      <c r="L171" s="591">
        <f>(L170*100)/F170</f>
        <v>27.767695099818511</v>
      </c>
      <c r="M171" s="590">
        <f t="shared" si="6"/>
        <v>279.67332123411978</v>
      </c>
    </row>
    <row r="172" spans="1:22">
      <c r="A172" s="19"/>
      <c r="B172" s="25" t="s">
        <v>52</v>
      </c>
      <c r="C172" s="25" t="s">
        <v>43</v>
      </c>
      <c r="D172" s="25" t="s">
        <v>67</v>
      </c>
      <c r="E172" s="19"/>
      <c r="F172" s="19"/>
      <c r="G172" s="81"/>
    </row>
    <row r="173" spans="1:22">
      <c r="A173" s="26" t="s">
        <v>55</v>
      </c>
      <c r="B173" s="123">
        <f>(C173*100)/F170</f>
        <v>55.172413793103445</v>
      </c>
      <c r="C173" s="19">
        <f>D173*4</f>
        <v>304</v>
      </c>
      <c r="D173" s="156">
        <f>C170</f>
        <v>76</v>
      </c>
      <c r="E173" s="19"/>
      <c r="F173" s="19"/>
    </row>
    <row r="174" spans="1:22">
      <c r="A174" s="27" t="s">
        <v>29</v>
      </c>
      <c r="B174" s="124">
        <f>(C174*100)/F170</f>
        <v>20.326678765880217</v>
      </c>
      <c r="C174" s="19">
        <f>D174*4</f>
        <v>112</v>
      </c>
      <c r="D174" s="156">
        <f>D170</f>
        <v>28</v>
      </c>
      <c r="E174" s="28" t="s">
        <v>68</v>
      </c>
      <c r="F174" s="28">
        <f>D162+D163</f>
        <v>16</v>
      </c>
      <c r="G174" s="477" t="s">
        <v>69</v>
      </c>
      <c r="H174" s="29">
        <f>(F174*100)/D170</f>
        <v>57.142857142857146</v>
      </c>
      <c r="I174" s="11" t="s">
        <v>52</v>
      </c>
      <c r="J174" s="138" t="s">
        <v>70</v>
      </c>
      <c r="K174" s="29">
        <f>D165+D166+D167</f>
        <v>12</v>
      </c>
      <c r="L174" s="11" t="s">
        <v>69</v>
      </c>
      <c r="M174" s="30">
        <f>(K174*100)/D170</f>
        <v>42.857142857142854</v>
      </c>
      <c r="N174" s="11" t="s">
        <v>52</v>
      </c>
    </row>
    <row r="175" spans="1:22">
      <c r="A175" s="23" t="s">
        <v>56</v>
      </c>
      <c r="B175" s="125">
        <f>(C175*100)/F170</f>
        <v>24.500907441016334</v>
      </c>
      <c r="C175" s="19">
        <f>D175*9</f>
        <v>135</v>
      </c>
      <c r="D175" s="156">
        <f>E170</f>
        <v>15</v>
      </c>
      <c r="E175" s="19"/>
      <c r="F175" s="19"/>
    </row>
    <row r="176" spans="1:22" ht="15.75" thickBot="1">
      <c r="A176" s="135"/>
      <c r="B176" s="135"/>
      <c r="C176" s="19"/>
      <c r="D176" s="72"/>
      <c r="E176" s="19"/>
      <c r="F176" s="19"/>
    </row>
    <row r="177" spans="1:14" ht="16.5" thickBot="1">
      <c r="A177" s="1116" t="s">
        <v>399</v>
      </c>
      <c r="B177" s="1117"/>
      <c r="C177" s="1117"/>
      <c r="D177" s="516">
        <f>D170/D11</f>
        <v>0.35443037974683544</v>
      </c>
      <c r="E177" s="136" t="s">
        <v>69</v>
      </c>
      <c r="F177" s="19"/>
    </row>
    <row r="178" spans="1:14" ht="15.75">
      <c r="A178" s="968"/>
      <c r="B178" s="969"/>
      <c r="C178" s="969"/>
      <c r="D178" s="644"/>
      <c r="E178" s="136"/>
      <c r="F178" s="19"/>
    </row>
    <row r="179" spans="1:14" ht="15.75">
      <c r="A179" s="968"/>
      <c r="B179" s="969"/>
      <c r="C179" s="969"/>
      <c r="D179" s="644"/>
      <c r="E179" s="136"/>
      <c r="F179" s="19"/>
    </row>
    <row r="180" spans="1:14" ht="15.75">
      <c r="A180" s="645"/>
      <c r="B180" s="646"/>
      <c r="C180" s="646"/>
      <c r="D180" s="644"/>
      <c r="E180" s="136"/>
      <c r="F180" s="19"/>
    </row>
    <row r="181" spans="1:14">
      <c r="A181" s="357" t="s">
        <v>539</v>
      </c>
      <c r="B181" s="1086"/>
      <c r="C181" s="1086"/>
      <c r="D181" s="1086"/>
      <c r="E181" s="1086"/>
      <c r="F181" s="1086"/>
      <c r="G181" s="1086"/>
      <c r="H181" s="1086"/>
      <c r="I181" s="357"/>
      <c r="J181" s="357"/>
      <c r="K181" s="357"/>
      <c r="L181" s="357"/>
      <c r="M181" s="357"/>
      <c r="N181" s="357"/>
    </row>
    <row r="182" spans="1:14">
      <c r="A182" s="357" t="s">
        <v>540</v>
      </c>
      <c r="B182" s="1118" t="s">
        <v>71</v>
      </c>
      <c r="C182" s="1118"/>
      <c r="D182" s="1118"/>
      <c r="E182" s="1118"/>
      <c r="F182" s="1118"/>
      <c r="G182" s="1118"/>
      <c r="H182" s="1118"/>
      <c r="I182" s="1118"/>
      <c r="J182" s="1118"/>
      <c r="K182" s="1118"/>
      <c r="L182" s="357"/>
      <c r="M182" s="357"/>
      <c r="N182" s="357"/>
    </row>
    <row r="183" spans="1:14">
      <c r="A183" s="500"/>
      <c r="B183" s="500"/>
      <c r="C183" s="1125" t="s">
        <v>653</v>
      </c>
      <c r="D183" s="1125"/>
      <c r="E183" s="1125"/>
      <c r="F183" s="1125"/>
      <c r="G183" s="1125"/>
      <c r="H183" s="1125"/>
      <c r="I183" s="1125"/>
      <c r="J183" s="1125"/>
      <c r="K183" s="1125"/>
      <c r="L183" s="500"/>
      <c r="M183" s="500"/>
      <c r="N183" s="500"/>
    </row>
    <row r="184" spans="1:14">
      <c r="A184" s="404" t="s">
        <v>2</v>
      </c>
      <c r="B184" s="409" t="str">
        <f>B4</f>
        <v>ZABALA FRANCO JULIANA</v>
      </c>
      <c r="C184" s="409"/>
      <c r="D184" s="409"/>
      <c r="E184" s="409"/>
      <c r="F184" s="409"/>
      <c r="G184" s="409"/>
      <c r="H184" s="405"/>
      <c r="I184" s="406"/>
      <c r="J184" s="407"/>
      <c r="K184" s="408"/>
      <c r="L184" s="409" t="s">
        <v>291</v>
      </c>
      <c r="M184" s="1119">
        <f>M4</f>
        <v>0</v>
      </c>
      <c r="N184" s="1120"/>
    </row>
    <row r="185" spans="1:14">
      <c r="A185" s="402" t="s">
        <v>3</v>
      </c>
      <c r="B185" s="1121">
        <f ca="1">B5</f>
        <v>43208</v>
      </c>
      <c r="C185" s="1090"/>
      <c r="D185" s="556"/>
      <c r="E185" s="556" t="s">
        <v>4</v>
      </c>
      <c r="F185" s="178">
        <f>D9</f>
        <v>80</v>
      </c>
      <c r="G185" s="556" t="s">
        <v>72</v>
      </c>
      <c r="H185" s="389"/>
      <c r="I185" s="556" t="s">
        <v>73</v>
      </c>
      <c r="J185" s="370" t="s">
        <v>565</v>
      </c>
      <c r="K185" s="1122" t="s">
        <v>74</v>
      </c>
      <c r="L185" s="1122"/>
      <c r="M185" s="509">
        <f>D10</f>
        <v>79</v>
      </c>
      <c r="N185" s="390" t="s">
        <v>75</v>
      </c>
    </row>
    <row r="186" spans="1:14">
      <c r="A186" s="1109" t="s">
        <v>76</v>
      </c>
      <c r="B186" s="1110"/>
      <c r="C186" s="391">
        <f>D17</f>
        <v>1.62</v>
      </c>
      <c r="D186" s="370" t="s">
        <v>292</v>
      </c>
      <c r="E186" s="1111" t="s">
        <v>8</v>
      </c>
      <c r="F186" s="1111"/>
      <c r="G186" s="556">
        <f>D12</f>
        <v>56.424600000000012</v>
      </c>
      <c r="H186" s="370" t="s">
        <v>75</v>
      </c>
      <c r="I186" s="1111" t="s">
        <v>13</v>
      </c>
      <c r="J186" s="1111"/>
      <c r="K186" s="508">
        <f>D18</f>
        <v>30.102118579484827</v>
      </c>
      <c r="L186" s="370"/>
      <c r="M186" s="387" t="s">
        <v>77</v>
      </c>
      <c r="N186" s="392">
        <f ca="1">N186</f>
        <v>0</v>
      </c>
    </row>
    <row r="187" spans="1:14">
      <c r="A187" s="1123" t="s">
        <v>593</v>
      </c>
      <c r="B187" s="1124"/>
      <c r="C187" s="1124"/>
      <c r="D187" s="370"/>
      <c r="E187" s="695"/>
      <c r="F187" s="695"/>
      <c r="G187" s="694"/>
      <c r="H187" s="370"/>
      <c r="I187" s="695"/>
      <c r="J187" s="695"/>
      <c r="K187" s="508"/>
      <c r="L187" s="370"/>
      <c r="M187" s="387"/>
      <c r="N187" s="392"/>
    </row>
    <row r="188" spans="1:14">
      <c r="A188" s="1112" t="s">
        <v>78</v>
      </c>
      <c r="B188" s="1113"/>
      <c r="C188" s="1114" t="s">
        <v>651</v>
      </c>
      <c r="D188" s="1114"/>
      <c r="E188" s="1114"/>
      <c r="F188" s="1114"/>
      <c r="G188" s="1114"/>
      <c r="H188" s="1114"/>
      <c r="I188" s="1115" t="s">
        <v>79</v>
      </c>
      <c r="J188" s="1115"/>
      <c r="K188" s="1115"/>
      <c r="L188" s="556">
        <f>M170</f>
        <v>1541</v>
      </c>
      <c r="M188" s="559" t="s">
        <v>80</v>
      </c>
      <c r="N188" s="393"/>
    </row>
    <row r="189" spans="1:14">
      <c r="A189" s="1108" t="s">
        <v>81</v>
      </c>
      <c r="B189" s="1108"/>
      <c r="C189" s="1108" t="s">
        <v>82</v>
      </c>
      <c r="D189" s="1108"/>
      <c r="E189" s="1108" t="s">
        <v>83</v>
      </c>
      <c r="F189" s="1108"/>
      <c r="G189" s="1108" t="s">
        <v>84</v>
      </c>
      <c r="H189" s="1108"/>
      <c r="I189" s="1108" t="s">
        <v>85</v>
      </c>
      <c r="J189" s="1108"/>
      <c r="K189" s="1108"/>
      <c r="L189" s="1108" t="s">
        <v>86</v>
      </c>
      <c r="M189" s="1108"/>
      <c r="N189" s="371"/>
    </row>
    <row r="190" spans="1:14">
      <c r="A190" s="1105" t="s">
        <v>87</v>
      </c>
      <c r="B190" s="1105"/>
      <c r="C190" s="185">
        <f t="shared" ref="C190:C197" si="8">H162</f>
        <v>1</v>
      </c>
      <c r="D190" s="186" t="s">
        <v>59</v>
      </c>
      <c r="E190" s="185">
        <f t="shared" ref="E190:E197" si="9">I162</f>
        <v>0</v>
      </c>
      <c r="F190" s="187" t="s">
        <v>59</v>
      </c>
      <c r="G190" s="185">
        <f t="shared" ref="G190:G197" si="10">J162</f>
        <v>0</v>
      </c>
      <c r="H190" s="187" t="s">
        <v>59</v>
      </c>
      <c r="I190" s="185">
        <f t="shared" ref="I190:I197" si="11">K162</f>
        <v>0</v>
      </c>
      <c r="J190" s="1107" t="s">
        <v>59</v>
      </c>
      <c r="K190" s="1107"/>
      <c r="L190" s="185">
        <f t="shared" ref="L190:L197" si="12">L162</f>
        <v>1</v>
      </c>
      <c r="M190" s="187" t="s">
        <v>59</v>
      </c>
      <c r="N190" s="371"/>
    </row>
    <row r="191" spans="1:14">
      <c r="A191" s="1105" t="s">
        <v>88</v>
      </c>
      <c r="B191" s="1105"/>
      <c r="C191" s="185">
        <f t="shared" si="8"/>
        <v>1</v>
      </c>
      <c r="D191" s="186" t="s">
        <v>59</v>
      </c>
      <c r="E191" s="185">
        <f t="shared" si="9"/>
        <v>0</v>
      </c>
      <c r="F191" s="187" t="s">
        <v>59</v>
      </c>
      <c r="G191" s="185">
        <f t="shared" si="10"/>
        <v>2</v>
      </c>
      <c r="H191" s="187" t="s">
        <v>59</v>
      </c>
      <c r="I191" s="185">
        <f t="shared" si="11"/>
        <v>0</v>
      </c>
      <c r="J191" s="1107" t="s">
        <v>59</v>
      </c>
      <c r="K191" s="1107"/>
      <c r="L191" s="185">
        <f t="shared" si="12"/>
        <v>0</v>
      </c>
      <c r="M191" s="187" t="s">
        <v>59</v>
      </c>
      <c r="N191" s="371"/>
    </row>
    <row r="192" spans="1:14">
      <c r="A192" s="1105" t="s">
        <v>89</v>
      </c>
      <c r="B192" s="1105"/>
      <c r="C192" s="185">
        <f t="shared" si="8"/>
        <v>1</v>
      </c>
      <c r="D192" s="186" t="s">
        <v>59</v>
      </c>
      <c r="E192" s="185">
        <f t="shared" si="9"/>
        <v>1</v>
      </c>
      <c r="F192" s="187" t="s">
        <v>59</v>
      </c>
      <c r="G192" s="185">
        <f t="shared" si="10"/>
        <v>2</v>
      </c>
      <c r="H192" s="187" t="s">
        <v>59</v>
      </c>
      <c r="I192" s="185">
        <f t="shared" si="11"/>
        <v>1</v>
      </c>
      <c r="J192" s="1107" t="s">
        <v>59</v>
      </c>
      <c r="K192" s="1107"/>
      <c r="L192" s="185">
        <f t="shared" si="12"/>
        <v>0</v>
      </c>
      <c r="M192" s="187" t="s">
        <v>59</v>
      </c>
      <c r="N192" s="371"/>
    </row>
    <row r="193" spans="1:16">
      <c r="A193" s="557" t="s">
        <v>90</v>
      </c>
      <c r="B193" s="557"/>
      <c r="C193" s="185">
        <f t="shared" si="8"/>
        <v>2</v>
      </c>
      <c r="D193" s="186" t="s">
        <v>59</v>
      </c>
      <c r="E193" s="185">
        <f t="shared" si="9"/>
        <v>1</v>
      </c>
      <c r="F193" s="187" t="s">
        <v>59</v>
      </c>
      <c r="G193" s="185">
        <f t="shared" si="10"/>
        <v>2</v>
      </c>
      <c r="H193" s="187" t="s">
        <v>59</v>
      </c>
      <c r="I193" s="185">
        <f t="shared" si="11"/>
        <v>1</v>
      </c>
      <c r="J193" s="1107" t="s">
        <v>59</v>
      </c>
      <c r="K193" s="1107"/>
      <c r="L193" s="185">
        <f t="shared" si="12"/>
        <v>1</v>
      </c>
      <c r="M193" s="187" t="s">
        <v>59</v>
      </c>
      <c r="N193" s="371"/>
    </row>
    <row r="194" spans="1:16">
      <c r="A194" s="1105" t="s">
        <v>91</v>
      </c>
      <c r="B194" s="1105"/>
      <c r="C194" s="185">
        <f t="shared" si="8"/>
        <v>2</v>
      </c>
      <c r="D194" s="186" t="s">
        <v>59</v>
      </c>
      <c r="E194" s="185">
        <f t="shared" si="9"/>
        <v>1</v>
      </c>
      <c r="F194" s="187" t="s">
        <v>59</v>
      </c>
      <c r="G194" s="185">
        <f t="shared" si="10"/>
        <v>2</v>
      </c>
      <c r="H194" s="187" t="s">
        <v>59</v>
      </c>
      <c r="I194" s="185">
        <f t="shared" si="11"/>
        <v>1</v>
      </c>
      <c r="J194" s="1107" t="s">
        <v>59</v>
      </c>
      <c r="K194" s="1107"/>
      <c r="L194" s="185">
        <f t="shared" si="12"/>
        <v>0</v>
      </c>
      <c r="M194" s="187" t="s">
        <v>59</v>
      </c>
      <c r="N194" s="371"/>
    </row>
    <row r="195" spans="1:16">
      <c r="A195" s="1105" t="s">
        <v>92</v>
      </c>
      <c r="B195" s="1105"/>
      <c r="C195" s="185">
        <f t="shared" si="8"/>
        <v>0</v>
      </c>
      <c r="D195" s="186" t="s">
        <v>59</v>
      </c>
      <c r="E195" s="185">
        <f t="shared" si="9"/>
        <v>0</v>
      </c>
      <c r="F195" s="187" t="s">
        <v>59</v>
      </c>
      <c r="G195" s="185">
        <f t="shared" si="10"/>
        <v>0</v>
      </c>
      <c r="H195" s="187" t="s">
        <v>59</v>
      </c>
      <c r="I195" s="185">
        <f t="shared" si="11"/>
        <v>0</v>
      </c>
      <c r="J195" s="1107" t="s">
        <v>59</v>
      </c>
      <c r="K195" s="1107"/>
      <c r="L195" s="185">
        <f t="shared" si="12"/>
        <v>0</v>
      </c>
      <c r="M195" s="187" t="s">
        <v>59</v>
      </c>
      <c r="N195" s="371"/>
    </row>
    <row r="196" spans="1:16">
      <c r="A196" s="1105" t="s">
        <v>93</v>
      </c>
      <c r="B196" s="1105"/>
      <c r="C196" s="185">
        <f t="shared" si="8"/>
        <v>1</v>
      </c>
      <c r="D196" s="186" t="s">
        <v>59</v>
      </c>
      <c r="E196" s="188">
        <f t="shared" si="9"/>
        <v>0</v>
      </c>
      <c r="F196" s="189" t="s">
        <v>59</v>
      </c>
      <c r="G196" s="185">
        <f t="shared" si="10"/>
        <v>2</v>
      </c>
      <c r="H196" s="187" t="s">
        <v>59</v>
      </c>
      <c r="I196" s="185">
        <f t="shared" si="11"/>
        <v>0</v>
      </c>
      <c r="J196" s="1107" t="s">
        <v>59</v>
      </c>
      <c r="K196" s="1107"/>
      <c r="L196" s="185">
        <f t="shared" si="12"/>
        <v>0</v>
      </c>
      <c r="M196" s="187" t="s">
        <v>59</v>
      </c>
      <c r="N196" s="371"/>
    </row>
    <row r="197" spans="1:16">
      <c r="A197" s="1105" t="s">
        <v>94</v>
      </c>
      <c r="B197" s="1105"/>
      <c r="C197" s="190">
        <f t="shared" si="8"/>
        <v>1</v>
      </c>
      <c r="D197" s="191" t="s">
        <v>59</v>
      </c>
      <c r="E197" s="185">
        <f t="shared" si="9"/>
        <v>0</v>
      </c>
      <c r="F197" s="187" t="s">
        <v>59</v>
      </c>
      <c r="G197" s="190">
        <f t="shared" si="10"/>
        <v>1</v>
      </c>
      <c r="H197" s="192" t="s">
        <v>59</v>
      </c>
      <c r="I197" s="190">
        <f t="shared" si="11"/>
        <v>0</v>
      </c>
      <c r="J197" s="1106" t="s">
        <v>59</v>
      </c>
      <c r="K197" s="1106"/>
      <c r="L197" s="190">
        <f t="shared" si="12"/>
        <v>0</v>
      </c>
      <c r="M197" s="192" t="s">
        <v>59</v>
      </c>
      <c r="N197" s="371"/>
    </row>
    <row r="198" spans="1:16">
      <c r="A198" s="403" t="s">
        <v>95</v>
      </c>
      <c r="B198" s="370"/>
      <c r="C198" s="370"/>
      <c r="D198" s="370"/>
      <c r="E198" s="370"/>
      <c r="F198" s="370"/>
      <c r="G198" s="395" t="s">
        <v>97</v>
      </c>
      <c r="H198" s="395"/>
      <c r="I198" s="395"/>
      <c r="J198" s="395"/>
      <c r="K198" s="395"/>
      <c r="L198" s="395"/>
      <c r="M198" s="370"/>
      <c r="N198" s="371"/>
    </row>
    <row r="199" spans="1:16">
      <c r="A199" s="381" t="s">
        <v>96</v>
      </c>
      <c r="B199" s="370"/>
      <c r="C199" s="370"/>
      <c r="D199" s="370"/>
      <c r="E199" s="370"/>
      <c r="F199" s="370"/>
      <c r="G199" s="370"/>
      <c r="H199" s="565"/>
      <c r="I199" s="1075" t="s">
        <v>254</v>
      </c>
      <c r="J199" s="1075"/>
      <c r="K199" s="565"/>
      <c r="L199" s="370"/>
      <c r="M199" s="551" t="s">
        <v>255</v>
      </c>
      <c r="N199" s="371"/>
    </row>
    <row r="200" spans="1:16">
      <c r="A200" s="381" t="s">
        <v>98</v>
      </c>
      <c r="B200" s="370"/>
      <c r="C200" s="370"/>
      <c r="D200" s="370"/>
      <c r="E200" s="370" t="s">
        <v>241</v>
      </c>
      <c r="F200" s="370"/>
      <c r="G200" s="370"/>
      <c r="H200" s="564"/>
      <c r="I200" s="564" t="s">
        <v>256</v>
      </c>
      <c r="J200" s="564"/>
      <c r="K200" s="564"/>
      <c r="L200" s="370"/>
      <c r="M200" s="551" t="s">
        <v>257</v>
      </c>
      <c r="N200" s="393"/>
      <c r="P200" s="31"/>
    </row>
    <row r="201" spans="1:16">
      <c r="A201" s="381" t="s">
        <v>99</v>
      </c>
      <c r="B201" s="370"/>
      <c r="C201" s="370"/>
      <c r="D201" s="370"/>
      <c r="E201" s="564" t="s">
        <v>242</v>
      </c>
      <c r="F201" s="370"/>
      <c r="G201" s="565"/>
      <c r="H201" s="564"/>
      <c r="I201" s="564" t="s">
        <v>258</v>
      </c>
      <c r="J201" s="564"/>
      <c r="K201" s="564"/>
      <c r="L201" s="565"/>
      <c r="M201" s="551" t="s">
        <v>259</v>
      </c>
      <c r="N201" s="396"/>
    </row>
    <row r="202" spans="1:16">
      <c r="A202" s="381"/>
      <c r="B202" s="370"/>
      <c r="C202" s="370"/>
      <c r="D202" s="370"/>
      <c r="E202" s="370"/>
      <c r="F202" s="370"/>
      <c r="G202" s="565"/>
      <c r="H202" s="564"/>
      <c r="I202" s="564" t="s">
        <v>260</v>
      </c>
      <c r="J202" s="564"/>
      <c r="K202" s="564"/>
      <c r="L202" s="565"/>
      <c r="M202" s="551" t="s">
        <v>259</v>
      </c>
      <c r="N202" s="396"/>
      <c r="O202" s="216" t="s">
        <v>100</v>
      </c>
    </row>
    <row r="203" spans="1:16">
      <c r="A203" s="403" t="s">
        <v>101</v>
      </c>
      <c r="B203" s="370"/>
      <c r="C203" s="370"/>
      <c r="D203" s="397"/>
      <c r="E203" s="397"/>
      <c r="F203" s="397"/>
      <c r="G203" s="86"/>
      <c r="H203" s="564"/>
      <c r="I203" s="564" t="s">
        <v>261</v>
      </c>
      <c r="J203" s="564"/>
      <c r="K203" s="564"/>
      <c r="L203" s="86"/>
      <c r="M203" s="552" t="s">
        <v>241</v>
      </c>
      <c r="N203" s="371"/>
    </row>
    <row r="204" spans="1:16">
      <c r="A204" s="1078" t="s">
        <v>243</v>
      </c>
      <c r="B204" s="1079"/>
      <c r="C204" s="370"/>
      <c r="D204" s="397">
        <v>2</v>
      </c>
      <c r="E204" s="397" t="s">
        <v>238</v>
      </c>
      <c r="F204" s="375"/>
      <c r="G204" s="565"/>
      <c r="H204" s="564"/>
      <c r="I204" s="564" t="s">
        <v>262</v>
      </c>
      <c r="J204" s="564"/>
      <c r="K204" s="564"/>
      <c r="L204" s="565"/>
      <c r="M204" s="551" t="s">
        <v>263</v>
      </c>
      <c r="N204" s="398"/>
    </row>
    <row r="205" spans="1:16">
      <c r="A205" s="1078" t="s">
        <v>244</v>
      </c>
      <c r="B205" s="1079"/>
      <c r="C205" s="370"/>
      <c r="D205" s="397">
        <v>30</v>
      </c>
      <c r="E205" s="397" t="s">
        <v>235</v>
      </c>
      <c r="F205" s="551"/>
      <c r="G205" s="565"/>
      <c r="H205" s="564"/>
      <c r="I205" s="564" t="s">
        <v>264</v>
      </c>
      <c r="J205" s="564"/>
      <c r="K205" s="564"/>
      <c r="L205" s="565"/>
      <c r="M205" s="551" t="s">
        <v>255</v>
      </c>
      <c r="N205" s="393"/>
    </row>
    <row r="206" spans="1:16">
      <c r="A206" s="381" t="s">
        <v>245</v>
      </c>
      <c r="B206" s="370"/>
      <c r="C206" s="370"/>
      <c r="D206" s="397">
        <v>30</v>
      </c>
      <c r="E206" s="397" t="s">
        <v>235</v>
      </c>
      <c r="F206" s="551"/>
      <c r="G206" s="565"/>
      <c r="H206" s="564"/>
      <c r="I206" s="564" t="s">
        <v>265</v>
      </c>
      <c r="J206" s="564"/>
      <c r="K206" s="564"/>
      <c r="L206" s="565"/>
      <c r="M206" s="551" t="s">
        <v>259</v>
      </c>
      <c r="N206" s="393"/>
    </row>
    <row r="207" spans="1:16">
      <c r="A207" s="1078" t="s">
        <v>246</v>
      </c>
      <c r="B207" s="1079"/>
      <c r="C207" s="370"/>
      <c r="D207" s="397">
        <v>45</v>
      </c>
      <c r="E207" s="397" t="s">
        <v>235</v>
      </c>
      <c r="F207" s="551"/>
      <c r="G207" s="370"/>
      <c r="H207" s="564"/>
      <c r="I207" s="564" t="s">
        <v>266</v>
      </c>
      <c r="J207" s="564"/>
      <c r="K207" s="564"/>
      <c r="L207" s="370"/>
      <c r="M207" s="551" t="s">
        <v>259</v>
      </c>
      <c r="N207" s="371"/>
    </row>
    <row r="208" spans="1:16">
      <c r="A208" s="1074" t="s">
        <v>102</v>
      </c>
      <c r="B208" s="1075"/>
      <c r="C208" s="370"/>
      <c r="D208" s="397">
        <v>30</v>
      </c>
      <c r="E208" s="397" t="s">
        <v>235</v>
      </c>
      <c r="F208" s="551"/>
      <c r="G208" s="370"/>
      <c r="H208" s="564"/>
      <c r="I208" s="564" t="s">
        <v>267</v>
      </c>
      <c r="J208" s="564"/>
      <c r="K208" s="564"/>
      <c r="L208" s="370"/>
      <c r="M208" s="551" t="s">
        <v>268</v>
      </c>
      <c r="N208" s="371"/>
    </row>
    <row r="209" spans="1:14">
      <c r="A209" s="1074" t="s">
        <v>104</v>
      </c>
      <c r="B209" s="1075"/>
      <c r="C209" s="370"/>
      <c r="D209" s="397">
        <v>30</v>
      </c>
      <c r="E209" s="397" t="s">
        <v>235</v>
      </c>
      <c r="F209" s="551"/>
      <c r="G209" s="370"/>
      <c r="H209" s="564"/>
      <c r="I209" s="564" t="s">
        <v>269</v>
      </c>
      <c r="J209" s="564"/>
      <c r="K209" s="564"/>
      <c r="L209" s="370"/>
      <c r="M209" s="551" t="s">
        <v>270</v>
      </c>
      <c r="N209" s="371"/>
    </row>
    <row r="210" spans="1:14">
      <c r="A210" s="1074" t="s">
        <v>106</v>
      </c>
      <c r="B210" s="1075"/>
      <c r="C210" s="370"/>
      <c r="D210" s="397">
        <v>30</v>
      </c>
      <c r="E210" s="397" t="s">
        <v>235</v>
      </c>
      <c r="F210" s="551"/>
      <c r="G210" s="370"/>
      <c r="H210" s="564"/>
      <c r="I210" s="564" t="s">
        <v>272</v>
      </c>
      <c r="J210" s="564"/>
      <c r="K210" s="564"/>
      <c r="L210" s="370"/>
      <c r="M210" s="551" t="s">
        <v>271</v>
      </c>
      <c r="N210" s="371"/>
    </row>
    <row r="211" spans="1:14">
      <c r="A211" s="1102" t="s">
        <v>108</v>
      </c>
      <c r="B211" s="1103"/>
      <c r="C211" s="1103"/>
      <c r="D211" s="506">
        <v>1</v>
      </c>
      <c r="E211" s="506" t="s">
        <v>236</v>
      </c>
      <c r="F211" s="506"/>
      <c r="G211" s="370"/>
      <c r="H211" s="564"/>
      <c r="I211" s="564" t="s">
        <v>273</v>
      </c>
      <c r="J211" s="564"/>
      <c r="K211" s="564"/>
      <c r="L211" s="370"/>
      <c r="M211" s="551" t="s">
        <v>274</v>
      </c>
      <c r="N211" s="371"/>
    </row>
    <row r="212" spans="1:14">
      <c r="A212" s="1102" t="s">
        <v>110</v>
      </c>
      <c r="B212" s="1103"/>
      <c r="C212" s="505"/>
      <c r="D212" s="506">
        <v>35</v>
      </c>
      <c r="E212" s="506" t="s">
        <v>235</v>
      </c>
      <c r="F212" s="506"/>
      <c r="G212" s="370"/>
      <c r="H212" s="564"/>
      <c r="I212" s="564" t="s">
        <v>275</v>
      </c>
      <c r="J212" s="564"/>
      <c r="K212" s="564"/>
      <c r="L212" s="370"/>
      <c r="M212" s="551" t="s">
        <v>277</v>
      </c>
      <c r="N212" s="371"/>
    </row>
    <row r="213" spans="1:14">
      <c r="A213" s="381" t="s">
        <v>112</v>
      </c>
      <c r="B213" s="370"/>
      <c r="C213" s="370"/>
      <c r="D213" s="397">
        <v>30</v>
      </c>
      <c r="E213" s="397" t="s">
        <v>235</v>
      </c>
      <c r="F213" s="397"/>
      <c r="G213" s="370"/>
      <c r="H213" s="564"/>
      <c r="I213" s="564" t="s">
        <v>276</v>
      </c>
      <c r="J213" s="564"/>
      <c r="K213" s="564"/>
      <c r="L213" s="370"/>
      <c r="M213" s="551" t="s">
        <v>241</v>
      </c>
      <c r="N213" s="371"/>
    </row>
    <row r="214" spans="1:14">
      <c r="A214" s="507" t="s">
        <v>114</v>
      </c>
      <c r="B214" s="505"/>
      <c r="C214" s="505"/>
      <c r="D214" s="506">
        <v>30</v>
      </c>
      <c r="E214" s="506" t="s">
        <v>235</v>
      </c>
      <c r="F214" s="506"/>
      <c r="G214" s="370"/>
      <c r="H214" s="564"/>
      <c r="I214" s="564" t="s">
        <v>278</v>
      </c>
      <c r="J214" s="564"/>
      <c r="K214" s="564"/>
      <c r="L214" s="370"/>
      <c r="M214" s="551" t="s">
        <v>274</v>
      </c>
      <c r="N214" s="371"/>
    </row>
    <row r="215" spans="1:14">
      <c r="A215" s="403" t="s">
        <v>117</v>
      </c>
      <c r="B215" s="370"/>
      <c r="C215" s="370"/>
      <c r="D215" s="370"/>
      <c r="E215" s="370"/>
      <c r="F215" s="370"/>
      <c r="G215" s="370"/>
      <c r="H215" s="564"/>
      <c r="I215" s="564" t="s">
        <v>279</v>
      </c>
      <c r="J215" s="564"/>
      <c r="K215" s="564"/>
      <c r="L215" s="370"/>
      <c r="M215" s="551" t="s">
        <v>263</v>
      </c>
      <c r="N215" s="371"/>
    </row>
    <row r="216" spans="1:14">
      <c r="A216" s="381" t="s">
        <v>119</v>
      </c>
      <c r="B216" s="370"/>
      <c r="C216" s="399"/>
      <c r="D216" s="401">
        <v>1</v>
      </c>
      <c r="E216" s="693" t="s">
        <v>247</v>
      </c>
      <c r="F216" s="693"/>
      <c r="G216" s="370"/>
      <c r="H216" s="564"/>
      <c r="I216" s="564" t="s">
        <v>280</v>
      </c>
      <c r="J216" s="564"/>
      <c r="K216" s="564"/>
      <c r="L216" s="370"/>
      <c r="M216" s="551" t="s">
        <v>263</v>
      </c>
      <c r="N216" s="371"/>
    </row>
    <row r="217" spans="1:14">
      <c r="A217" s="381" t="s">
        <v>121</v>
      </c>
      <c r="B217" s="370"/>
      <c r="C217" s="399"/>
      <c r="D217" s="400">
        <v>2</v>
      </c>
      <c r="E217" s="693" t="s">
        <v>238</v>
      </c>
      <c r="F217" s="693"/>
      <c r="G217" s="551"/>
      <c r="H217" s="564"/>
      <c r="I217" s="564" t="s">
        <v>281</v>
      </c>
      <c r="J217" s="564"/>
      <c r="K217" s="564"/>
      <c r="L217" s="370"/>
      <c r="M217" s="551" t="s">
        <v>263</v>
      </c>
      <c r="N217" s="371"/>
    </row>
    <row r="218" spans="1:14">
      <c r="A218" s="381" t="s">
        <v>123</v>
      </c>
      <c r="B218" s="370"/>
      <c r="C218" s="399"/>
      <c r="D218" s="400">
        <v>4</v>
      </c>
      <c r="E218" s="693" t="s">
        <v>238</v>
      </c>
      <c r="F218" s="693"/>
      <c r="G218" s="551"/>
      <c r="H218" s="564"/>
      <c r="I218" s="564" t="s">
        <v>282</v>
      </c>
      <c r="J218" s="564"/>
      <c r="K218" s="564"/>
      <c r="L218" s="370"/>
      <c r="M218" s="551" t="s">
        <v>263</v>
      </c>
      <c r="N218" s="371"/>
    </row>
    <row r="219" spans="1:14">
      <c r="A219" s="381" t="s">
        <v>125</v>
      </c>
      <c r="B219" s="370"/>
      <c r="C219" s="399"/>
      <c r="D219" s="401">
        <v>0.5</v>
      </c>
      <c r="E219" s="696" t="s">
        <v>295</v>
      </c>
      <c r="F219" s="696"/>
      <c r="G219" s="551"/>
      <c r="H219" s="564"/>
      <c r="I219" s="564" t="s">
        <v>283</v>
      </c>
      <c r="J219" s="564"/>
      <c r="K219" s="564"/>
      <c r="L219" s="370"/>
      <c r="M219" s="551" t="s">
        <v>270</v>
      </c>
      <c r="N219" s="371"/>
    </row>
    <row r="220" spans="1:14">
      <c r="A220" s="381" t="s">
        <v>127</v>
      </c>
      <c r="B220" s="370"/>
      <c r="C220" s="399"/>
      <c r="D220" s="401">
        <v>1.5</v>
      </c>
      <c r="E220" s="697" t="s">
        <v>238</v>
      </c>
      <c r="F220" s="697"/>
      <c r="G220" s="551"/>
      <c r="H220" s="564"/>
      <c r="I220" s="564" t="s">
        <v>284</v>
      </c>
      <c r="J220" s="564"/>
      <c r="K220" s="564"/>
      <c r="L220" s="370"/>
      <c r="M220" s="551" t="s">
        <v>271</v>
      </c>
      <c r="N220" s="371"/>
    </row>
    <row r="221" spans="1:14">
      <c r="A221" s="381" t="s">
        <v>129</v>
      </c>
      <c r="B221" s="370"/>
      <c r="C221" s="399"/>
      <c r="D221" s="400">
        <v>1</v>
      </c>
      <c r="E221" s="693" t="s">
        <v>248</v>
      </c>
      <c r="F221" s="693"/>
      <c r="G221" s="551"/>
      <c r="H221" s="564"/>
      <c r="I221" s="564" t="s">
        <v>285</v>
      </c>
      <c r="J221" s="564"/>
      <c r="K221" s="564"/>
      <c r="L221" s="370"/>
      <c r="M221" s="551" t="s">
        <v>271</v>
      </c>
      <c r="N221" s="371"/>
    </row>
    <row r="222" spans="1:14">
      <c r="A222" s="381" t="s">
        <v>131</v>
      </c>
      <c r="B222" s="370"/>
      <c r="C222" s="399"/>
      <c r="D222" s="400">
        <v>3</v>
      </c>
      <c r="E222" s="693" t="s">
        <v>296</v>
      </c>
      <c r="F222" s="693"/>
      <c r="G222" s="551"/>
      <c r="H222" s="564"/>
      <c r="I222" s="564" t="s">
        <v>286</v>
      </c>
      <c r="J222" s="564"/>
      <c r="K222" s="564"/>
      <c r="L222" s="370"/>
      <c r="M222" s="551" t="s">
        <v>271</v>
      </c>
      <c r="N222" s="371"/>
    </row>
    <row r="223" spans="1:14">
      <c r="A223" s="381" t="s">
        <v>133</v>
      </c>
      <c r="B223" s="370"/>
      <c r="C223" s="399"/>
      <c r="D223" s="400">
        <v>3</v>
      </c>
      <c r="E223" s="693" t="s">
        <v>238</v>
      </c>
      <c r="F223" s="693"/>
      <c r="G223" s="551"/>
      <c r="H223" s="564"/>
      <c r="I223" s="564" t="s">
        <v>287</v>
      </c>
      <c r="J223" s="564"/>
      <c r="K223" s="564"/>
      <c r="L223" s="370"/>
      <c r="M223" s="551" t="s">
        <v>271</v>
      </c>
      <c r="N223" s="371"/>
    </row>
    <row r="224" spans="1:14">
      <c r="A224" s="381" t="s">
        <v>135</v>
      </c>
      <c r="B224" s="370"/>
      <c r="C224" s="399"/>
      <c r="D224" s="400">
        <v>1</v>
      </c>
      <c r="E224" s="693" t="s">
        <v>248</v>
      </c>
      <c r="F224" s="693"/>
      <c r="G224" s="551"/>
      <c r="H224" s="564"/>
      <c r="I224" s="564" t="s">
        <v>288</v>
      </c>
      <c r="J224" s="564"/>
      <c r="K224" s="564"/>
      <c r="L224" s="370"/>
      <c r="M224" s="551" t="s">
        <v>271</v>
      </c>
      <c r="N224" s="371"/>
    </row>
    <row r="225" spans="1:14">
      <c r="A225" s="381" t="s">
        <v>137</v>
      </c>
      <c r="B225" s="370"/>
      <c r="C225" s="399"/>
      <c r="D225" s="401">
        <v>1.5</v>
      </c>
      <c r="E225" s="697" t="s">
        <v>238</v>
      </c>
      <c r="F225" s="697"/>
      <c r="G225" s="551"/>
      <c r="H225" s="564"/>
      <c r="I225" s="564" t="s">
        <v>289</v>
      </c>
      <c r="J225" s="564"/>
      <c r="K225" s="564"/>
      <c r="L225" s="370"/>
      <c r="M225" s="551" t="s">
        <v>271</v>
      </c>
      <c r="N225" s="371"/>
    </row>
    <row r="226" spans="1:14">
      <c r="A226" s="381" t="s">
        <v>139</v>
      </c>
      <c r="B226" s="370"/>
      <c r="C226" s="399"/>
      <c r="D226" s="400">
        <v>1</v>
      </c>
      <c r="E226" s="1076" t="s">
        <v>248</v>
      </c>
      <c r="F226" s="1076"/>
      <c r="G226" s="551"/>
      <c r="H226" s="564"/>
      <c r="I226" s="1075" t="s">
        <v>290</v>
      </c>
      <c r="J226" s="1075"/>
      <c r="K226" s="1075"/>
      <c r="L226" s="370"/>
      <c r="M226" s="551" t="s">
        <v>257</v>
      </c>
      <c r="N226" s="371"/>
    </row>
    <row r="227" spans="1:14">
      <c r="A227" s="411"/>
      <c r="B227" s="411"/>
      <c r="C227" s="412"/>
      <c r="D227" s="413"/>
      <c r="E227" s="1100"/>
      <c r="F227" s="1100"/>
      <c r="G227" s="571"/>
      <c r="H227" s="572"/>
      <c r="I227" s="1101"/>
      <c r="J227" s="1101"/>
      <c r="K227" s="1101"/>
      <c r="L227" s="411"/>
      <c r="M227" s="572"/>
      <c r="N227" s="414"/>
    </row>
    <row r="228" spans="1:14">
      <c r="A228" s="381" t="s">
        <v>141</v>
      </c>
      <c r="B228" s="370"/>
      <c r="C228" s="399"/>
      <c r="D228" s="401">
        <v>0.5</v>
      </c>
      <c r="E228" s="1076" t="s">
        <v>295</v>
      </c>
      <c r="F228" s="1076"/>
      <c r="G228" s="573"/>
      <c r="H228" s="407"/>
      <c r="I228" s="407"/>
      <c r="J228" s="407"/>
      <c r="K228" s="407"/>
      <c r="L228" s="407"/>
      <c r="M228" s="407"/>
      <c r="N228" s="422"/>
    </row>
    <row r="229" spans="1:14">
      <c r="A229" s="381" t="s">
        <v>142</v>
      </c>
      <c r="B229" s="370"/>
      <c r="C229" s="417">
        <v>0</v>
      </c>
      <c r="D229" s="400">
        <v>2</v>
      </c>
      <c r="E229" s="1076" t="s">
        <v>238</v>
      </c>
      <c r="F229" s="1076"/>
      <c r="G229" s="551"/>
      <c r="H229" s="370"/>
      <c r="I229" s="370"/>
      <c r="J229" s="370"/>
      <c r="K229" s="370"/>
      <c r="L229" s="370"/>
      <c r="M229" s="370"/>
      <c r="N229" s="371"/>
    </row>
    <row r="230" spans="1:14">
      <c r="A230" s="381" t="s">
        <v>143</v>
      </c>
      <c r="B230" s="370"/>
      <c r="C230" s="399"/>
      <c r="D230" s="400">
        <v>3</v>
      </c>
      <c r="E230" s="1076" t="s">
        <v>238</v>
      </c>
      <c r="F230" s="1076"/>
      <c r="G230" s="551"/>
      <c r="H230" s="370"/>
      <c r="I230" s="370"/>
      <c r="J230" s="370"/>
      <c r="K230" s="370"/>
      <c r="L230" s="370"/>
      <c r="M230" s="370"/>
      <c r="N230" s="371"/>
    </row>
    <row r="231" spans="1:14">
      <c r="A231" s="381" t="s">
        <v>144</v>
      </c>
      <c r="B231" s="370"/>
      <c r="C231" s="399"/>
      <c r="D231" s="400">
        <v>2</v>
      </c>
      <c r="E231" s="1076" t="s">
        <v>298</v>
      </c>
      <c r="F231" s="1076"/>
      <c r="G231" s="551"/>
      <c r="H231" s="370"/>
      <c r="I231" s="370"/>
      <c r="J231" s="370"/>
      <c r="K231" s="370"/>
      <c r="L231" s="370"/>
      <c r="M231" s="370"/>
      <c r="N231" s="371"/>
    </row>
    <row r="232" spans="1:14">
      <c r="A232" s="381" t="s">
        <v>145</v>
      </c>
      <c r="B232" s="370"/>
      <c r="C232" s="399"/>
      <c r="D232" s="401">
        <v>0.5</v>
      </c>
      <c r="E232" s="1104" t="s">
        <v>295</v>
      </c>
      <c r="F232" s="1104"/>
      <c r="G232" s="551"/>
      <c r="H232" s="370"/>
      <c r="I232" s="370"/>
      <c r="J232" s="370"/>
      <c r="K232" s="370"/>
      <c r="L232" s="370"/>
      <c r="M232" s="370"/>
      <c r="N232" s="371"/>
    </row>
    <row r="233" spans="1:14">
      <c r="A233" s="381" t="s">
        <v>146</v>
      </c>
      <c r="B233" s="370"/>
      <c r="C233" s="399"/>
      <c r="D233" s="400">
        <v>1</v>
      </c>
      <c r="E233" s="1076" t="s">
        <v>299</v>
      </c>
      <c r="F233" s="1076"/>
      <c r="G233" s="1076"/>
      <c r="H233" s="370"/>
      <c r="I233" s="394"/>
      <c r="J233" s="370"/>
      <c r="K233" s="370"/>
      <c r="L233" s="370"/>
      <c r="M233" s="370"/>
      <c r="N233" s="371"/>
    </row>
    <row r="234" spans="1:14">
      <c r="A234" s="381" t="s">
        <v>147</v>
      </c>
      <c r="B234" s="370"/>
      <c r="C234" s="399"/>
      <c r="D234" s="401"/>
      <c r="E234" s="551" t="s">
        <v>248</v>
      </c>
      <c r="F234" s="551"/>
      <c r="G234" s="551"/>
      <c r="H234" s="370"/>
      <c r="I234" s="370"/>
      <c r="J234" s="370"/>
      <c r="K234" s="370"/>
      <c r="L234" s="370"/>
      <c r="M234" s="370"/>
      <c r="N234" s="371"/>
    </row>
    <row r="235" spans="1:14">
      <c r="A235" s="381" t="s">
        <v>148</v>
      </c>
      <c r="B235" s="370"/>
      <c r="C235" s="399"/>
      <c r="D235" s="400">
        <v>1</v>
      </c>
      <c r="E235" s="1076" t="s">
        <v>300</v>
      </c>
      <c r="F235" s="1076"/>
      <c r="G235" s="551"/>
      <c r="H235" s="370"/>
      <c r="I235" s="394" t="s">
        <v>103</v>
      </c>
      <c r="J235" s="370"/>
      <c r="K235" s="370"/>
      <c r="L235" s="370"/>
      <c r="M235" s="370"/>
      <c r="N235" s="371"/>
    </row>
    <row r="236" spans="1:14">
      <c r="A236" s="381" t="s">
        <v>149</v>
      </c>
      <c r="B236" s="370"/>
      <c r="C236" s="399"/>
      <c r="D236" s="400">
        <v>1</v>
      </c>
      <c r="E236" s="1076" t="s">
        <v>248</v>
      </c>
      <c r="F236" s="1076"/>
      <c r="G236" s="551"/>
      <c r="H236" s="370"/>
      <c r="I236" s="370" t="s">
        <v>105</v>
      </c>
      <c r="J236" s="370"/>
      <c r="K236" s="370"/>
      <c r="L236" s="370"/>
      <c r="M236" s="401">
        <v>0.5</v>
      </c>
      <c r="N236" s="423" t="s">
        <v>295</v>
      </c>
    </row>
    <row r="237" spans="1:14">
      <c r="A237" s="381" t="s">
        <v>150</v>
      </c>
      <c r="B237" s="370"/>
      <c r="C237" s="399"/>
      <c r="D237" s="400">
        <v>1</v>
      </c>
      <c r="E237" s="1076" t="s">
        <v>301</v>
      </c>
      <c r="F237" s="1076"/>
      <c r="G237" s="551"/>
      <c r="H237" s="370"/>
      <c r="I237" s="370" t="s">
        <v>107</v>
      </c>
      <c r="J237" s="370"/>
      <c r="K237" s="370"/>
      <c r="L237" s="370"/>
      <c r="M237" s="400">
        <v>1</v>
      </c>
      <c r="N237" s="423" t="s">
        <v>302</v>
      </c>
    </row>
    <row r="238" spans="1:14">
      <c r="A238" s="381" t="s">
        <v>151</v>
      </c>
      <c r="B238" s="370"/>
      <c r="C238" s="399"/>
      <c r="D238" s="400">
        <v>1</v>
      </c>
      <c r="E238" s="1076" t="s">
        <v>248</v>
      </c>
      <c r="F238" s="1076"/>
      <c r="G238" s="551"/>
      <c r="H238" s="370"/>
      <c r="I238" s="370" t="s">
        <v>109</v>
      </c>
      <c r="J238" s="370"/>
      <c r="K238" s="370"/>
      <c r="L238" s="370"/>
      <c r="M238" s="400">
        <v>1</v>
      </c>
      <c r="N238" s="423" t="s">
        <v>295</v>
      </c>
    </row>
    <row r="239" spans="1:14">
      <c r="A239" s="381" t="s">
        <v>152</v>
      </c>
      <c r="B239" s="370"/>
      <c r="C239" s="399"/>
      <c r="D239" s="400">
        <v>10</v>
      </c>
      <c r="E239" s="1076" t="s">
        <v>238</v>
      </c>
      <c r="F239" s="1076"/>
      <c r="G239" s="551"/>
      <c r="H239" s="370"/>
      <c r="I239" s="370" t="s">
        <v>111</v>
      </c>
      <c r="J239" s="370"/>
      <c r="K239" s="370"/>
      <c r="L239" s="370"/>
      <c r="M239" s="400"/>
      <c r="N239" s="423"/>
    </row>
    <row r="240" spans="1:14">
      <c r="A240" s="381" t="s">
        <v>153</v>
      </c>
      <c r="B240" s="370"/>
      <c r="C240" s="399"/>
      <c r="D240" s="400">
        <v>1</v>
      </c>
      <c r="E240" s="1076" t="s">
        <v>301</v>
      </c>
      <c r="F240" s="1076"/>
      <c r="G240" s="551"/>
      <c r="H240" s="370"/>
      <c r="I240" s="370" t="s">
        <v>113</v>
      </c>
      <c r="J240" s="370"/>
      <c r="K240" s="370"/>
      <c r="L240" s="370"/>
      <c r="M240" s="400"/>
      <c r="N240" s="423"/>
    </row>
    <row r="241" spans="1:14" ht="17.25">
      <c r="A241" s="381"/>
      <c r="B241" s="370"/>
      <c r="C241" s="399"/>
      <c r="D241" s="203"/>
      <c r="E241" s="204"/>
      <c r="F241" s="400"/>
      <c r="G241" s="397"/>
      <c r="H241" s="370"/>
      <c r="I241" s="370" t="s">
        <v>115</v>
      </c>
      <c r="J241" s="376" t="s">
        <v>251</v>
      </c>
      <c r="K241" s="376"/>
      <c r="L241" s="370"/>
      <c r="M241" s="401">
        <v>0.33333333333333331</v>
      </c>
      <c r="N241" s="423" t="s">
        <v>248</v>
      </c>
    </row>
    <row r="242" spans="1:14">
      <c r="A242" s="381"/>
      <c r="B242" s="370"/>
      <c r="C242" s="399"/>
      <c r="D242" s="399"/>
      <c r="E242" s="399"/>
      <c r="F242" s="399"/>
      <c r="G242" s="370"/>
      <c r="H242" s="370"/>
      <c r="I242" s="505" t="s">
        <v>116</v>
      </c>
      <c r="J242" s="505"/>
      <c r="K242" s="505"/>
      <c r="L242" s="505"/>
      <c r="M242" s="514">
        <v>5</v>
      </c>
      <c r="N242" s="578" t="s">
        <v>238</v>
      </c>
    </row>
    <row r="243" spans="1:14">
      <c r="A243" s="403" t="s">
        <v>92</v>
      </c>
      <c r="B243" s="370"/>
      <c r="C243" s="370"/>
      <c r="D243" s="370"/>
      <c r="E243" s="370"/>
      <c r="F243" s="370"/>
      <c r="G243" s="370"/>
      <c r="H243" s="394"/>
      <c r="I243" s="370" t="s">
        <v>118</v>
      </c>
      <c r="J243" s="370"/>
      <c r="K243" s="370"/>
      <c r="L243" s="370"/>
      <c r="M243" s="401">
        <v>0.75</v>
      </c>
      <c r="N243" s="423" t="s">
        <v>248</v>
      </c>
    </row>
    <row r="244" spans="1:14">
      <c r="A244" s="381" t="s">
        <v>130</v>
      </c>
      <c r="B244" s="370"/>
      <c r="C244" s="370"/>
      <c r="D244" s="370"/>
      <c r="E244" s="418">
        <v>0.5</v>
      </c>
      <c r="F244" s="551" t="s">
        <v>248</v>
      </c>
      <c r="G244" s="397"/>
      <c r="H244" s="370"/>
      <c r="I244" s="370" t="s">
        <v>120</v>
      </c>
      <c r="J244" s="370"/>
      <c r="K244" s="370"/>
      <c r="L244" s="370"/>
      <c r="M244" s="400">
        <v>5</v>
      </c>
      <c r="N244" s="423" t="s">
        <v>303</v>
      </c>
    </row>
    <row r="245" spans="1:14">
      <c r="A245" s="381" t="s">
        <v>132</v>
      </c>
      <c r="B245" s="370"/>
      <c r="C245" s="370"/>
      <c r="D245" s="370"/>
      <c r="E245" s="418">
        <v>0.5</v>
      </c>
      <c r="F245" s="551" t="s">
        <v>248</v>
      </c>
      <c r="G245" s="397"/>
      <c r="H245" s="370"/>
      <c r="I245" s="370" t="s">
        <v>122</v>
      </c>
      <c r="J245" s="370"/>
      <c r="K245" s="370"/>
      <c r="L245" s="370"/>
      <c r="M245" s="400">
        <v>1</v>
      </c>
      <c r="N245" s="423" t="s">
        <v>302</v>
      </c>
    </row>
    <row r="246" spans="1:14">
      <c r="A246" s="381" t="s">
        <v>134</v>
      </c>
      <c r="B246" s="370"/>
      <c r="C246" s="370"/>
      <c r="D246" s="370"/>
      <c r="E246" s="418">
        <v>0.5</v>
      </c>
      <c r="F246" s="551" t="s">
        <v>248</v>
      </c>
      <c r="G246" s="397"/>
      <c r="H246" s="370"/>
      <c r="I246" s="370" t="s">
        <v>124</v>
      </c>
      <c r="J246" s="370"/>
      <c r="K246" s="370"/>
      <c r="L246" s="370"/>
      <c r="M246" s="400">
        <v>6</v>
      </c>
      <c r="N246" s="423" t="s">
        <v>238</v>
      </c>
    </row>
    <row r="247" spans="1:14">
      <c r="A247" s="381" t="s">
        <v>136</v>
      </c>
      <c r="B247" s="370"/>
      <c r="C247" s="370"/>
      <c r="D247" s="370"/>
      <c r="E247" s="418">
        <v>0.5</v>
      </c>
      <c r="F247" s="551" t="s">
        <v>248</v>
      </c>
      <c r="G247" s="397"/>
      <c r="H247" s="370"/>
      <c r="I247" s="370" t="s">
        <v>126</v>
      </c>
      <c r="J247" s="1079" t="s">
        <v>252</v>
      </c>
      <c r="K247" s="1079"/>
      <c r="L247" s="370"/>
      <c r="M247" s="401">
        <v>0.5</v>
      </c>
      <c r="N247" s="423" t="s">
        <v>238</v>
      </c>
    </row>
    <row r="248" spans="1:14">
      <c r="A248" s="381" t="s">
        <v>138</v>
      </c>
      <c r="B248" s="370"/>
      <c r="C248" s="370"/>
      <c r="D248" s="370"/>
      <c r="E248" s="418">
        <v>0.5</v>
      </c>
      <c r="F248" s="551" t="s">
        <v>248</v>
      </c>
      <c r="G248" s="397"/>
      <c r="H248" s="370"/>
      <c r="I248" s="370" t="s">
        <v>128</v>
      </c>
      <c r="J248" s="1079" t="s">
        <v>253</v>
      </c>
      <c r="K248" s="1079"/>
      <c r="L248" s="370"/>
      <c r="M248" s="400">
        <v>90</v>
      </c>
      <c r="N248" s="423" t="s">
        <v>235</v>
      </c>
    </row>
    <row r="249" spans="1:14">
      <c r="A249" s="381" t="s">
        <v>140</v>
      </c>
      <c r="B249" s="370"/>
      <c r="C249" s="370"/>
      <c r="D249" s="417">
        <v>0</v>
      </c>
      <c r="E249" s="400">
        <v>30</v>
      </c>
      <c r="F249" s="551" t="s">
        <v>235</v>
      </c>
      <c r="G249" s="397"/>
      <c r="H249" s="370"/>
      <c r="I249" s="370"/>
      <c r="J249" s="370"/>
      <c r="K249" s="370"/>
      <c r="L249" s="370"/>
      <c r="M249" s="566"/>
      <c r="N249" s="377"/>
    </row>
    <row r="250" spans="1:14">
      <c r="A250" s="381" t="s">
        <v>249</v>
      </c>
      <c r="B250" s="370"/>
      <c r="C250" s="370"/>
      <c r="D250" s="370"/>
      <c r="E250" s="419">
        <v>1.5</v>
      </c>
      <c r="F250" s="551" t="s">
        <v>248</v>
      </c>
      <c r="G250" s="397"/>
      <c r="H250" s="370"/>
      <c r="I250" s="370"/>
      <c r="J250" s="370"/>
      <c r="K250" s="370"/>
      <c r="L250" s="370"/>
      <c r="M250" s="397"/>
      <c r="N250" s="424"/>
    </row>
    <row r="251" spans="1:14">
      <c r="A251" s="381" t="s">
        <v>250</v>
      </c>
      <c r="B251" s="370"/>
      <c r="C251" s="370"/>
      <c r="D251" s="370"/>
      <c r="E251" s="419">
        <v>0.5</v>
      </c>
      <c r="F251" s="551" t="s">
        <v>248</v>
      </c>
      <c r="G251" s="397"/>
      <c r="H251" s="370"/>
      <c r="I251" s="370"/>
      <c r="J251" s="370"/>
      <c r="K251" s="370"/>
      <c r="L251" s="370"/>
      <c r="M251" s="370"/>
      <c r="N251" s="371"/>
    </row>
    <row r="252" spans="1:14">
      <c r="A252" s="403" t="s">
        <v>154</v>
      </c>
      <c r="B252" s="370"/>
      <c r="C252" s="370"/>
      <c r="D252" s="370"/>
      <c r="E252" s="370"/>
      <c r="F252" s="370"/>
      <c r="G252" s="370"/>
      <c r="H252" s="370"/>
      <c r="I252" s="370"/>
      <c r="J252" s="370"/>
      <c r="K252" s="370"/>
      <c r="L252" s="370"/>
      <c r="M252" s="370"/>
      <c r="N252" s="371"/>
    </row>
    <row r="253" spans="1:14">
      <c r="A253" s="421" t="s">
        <v>155</v>
      </c>
      <c r="B253" s="370"/>
      <c r="C253" s="370"/>
      <c r="D253" s="370"/>
      <c r="E253" s="370"/>
      <c r="F253" s="370"/>
      <c r="G253" s="370"/>
      <c r="H253" s="370"/>
      <c r="I253" s="370"/>
      <c r="J253" s="370"/>
      <c r="K253" s="370"/>
      <c r="L253" s="370"/>
      <c r="M253" s="370"/>
      <c r="N253" s="371"/>
    </row>
    <row r="254" spans="1:14">
      <c r="A254" s="381" t="s">
        <v>156</v>
      </c>
      <c r="B254" s="370"/>
      <c r="C254" s="370"/>
      <c r="D254" s="370"/>
      <c r="E254" s="370"/>
      <c r="F254" s="370"/>
      <c r="G254" s="370"/>
      <c r="H254" s="370"/>
      <c r="I254" s="370"/>
      <c r="J254" s="370"/>
      <c r="K254" s="370"/>
      <c r="L254" s="370"/>
      <c r="M254" s="370"/>
      <c r="N254" s="371"/>
    </row>
    <row r="255" spans="1:14">
      <c r="A255" s="381" t="s">
        <v>157</v>
      </c>
      <c r="B255" s="370"/>
      <c r="C255" s="370"/>
      <c r="D255" s="397">
        <v>40</v>
      </c>
      <c r="E255" s="397" t="s">
        <v>235</v>
      </c>
      <c r="F255" s="397"/>
      <c r="G255" s="370"/>
      <c r="H255" s="370"/>
      <c r="I255" s="370"/>
      <c r="J255" s="370"/>
      <c r="K255" s="370"/>
      <c r="L255" s="370"/>
      <c r="M255" s="370"/>
      <c r="N255" s="371"/>
    </row>
    <row r="256" spans="1:14">
      <c r="A256" s="507" t="s">
        <v>158</v>
      </c>
      <c r="B256" s="511"/>
      <c r="C256" s="511"/>
      <c r="D256" s="506">
        <v>10</v>
      </c>
      <c r="E256" s="506" t="s">
        <v>238</v>
      </c>
      <c r="F256" s="512"/>
      <c r="G256" s="370"/>
      <c r="H256" s="370"/>
      <c r="I256" s="370"/>
      <c r="J256" s="370"/>
      <c r="K256" s="370"/>
      <c r="L256" s="370"/>
      <c r="M256" s="370"/>
      <c r="N256" s="371"/>
    </row>
    <row r="257" spans="1:24">
      <c r="A257" s="507" t="s">
        <v>159</v>
      </c>
      <c r="B257" s="505"/>
      <c r="C257" s="505"/>
      <c r="D257" s="506">
        <v>6</v>
      </c>
      <c r="E257" s="506" t="s">
        <v>238</v>
      </c>
      <c r="F257" s="506"/>
      <c r="G257" s="370"/>
      <c r="H257" s="370"/>
      <c r="I257" s="370"/>
      <c r="J257" s="370"/>
      <c r="K257" s="370"/>
      <c r="L257" s="370"/>
      <c r="M257" s="370"/>
      <c r="N257" s="371"/>
    </row>
    <row r="258" spans="1:24">
      <c r="A258" s="381" t="s">
        <v>160</v>
      </c>
      <c r="B258" s="370"/>
      <c r="C258" s="370"/>
      <c r="D258" s="397">
        <v>3</v>
      </c>
      <c r="E258" s="397" t="s">
        <v>238</v>
      </c>
      <c r="F258" s="397"/>
      <c r="G258" s="370"/>
      <c r="H258" s="370"/>
      <c r="I258" s="370"/>
      <c r="J258" s="370"/>
      <c r="K258" s="370"/>
      <c r="L258" s="370"/>
      <c r="M258" s="370"/>
      <c r="N258" s="371"/>
    </row>
    <row r="259" spans="1:24">
      <c r="A259" s="381" t="s">
        <v>161</v>
      </c>
      <c r="B259" s="370"/>
      <c r="C259" s="370"/>
      <c r="D259" s="1081" t="s">
        <v>239</v>
      </c>
      <c r="E259" s="1081"/>
      <c r="F259" s="1081"/>
      <c r="G259" s="370"/>
      <c r="H259" s="370"/>
      <c r="I259" s="370"/>
      <c r="J259" s="370"/>
      <c r="K259" s="370"/>
      <c r="L259" s="370"/>
      <c r="M259" s="370"/>
      <c r="N259" s="371"/>
    </row>
    <row r="260" spans="1:24">
      <c r="A260" s="507" t="s">
        <v>162</v>
      </c>
      <c r="B260" s="505"/>
      <c r="C260" s="505"/>
      <c r="D260" s="506">
        <v>6</v>
      </c>
      <c r="E260" s="506" t="s">
        <v>238</v>
      </c>
      <c r="F260" s="506"/>
      <c r="G260" s="370"/>
      <c r="H260" s="370"/>
      <c r="I260" s="370"/>
      <c r="J260" s="370"/>
      <c r="K260" s="370"/>
      <c r="L260" s="370"/>
      <c r="M260" s="370"/>
      <c r="N260" s="371"/>
    </row>
    <row r="261" spans="1:24">
      <c r="A261" s="381" t="s">
        <v>240</v>
      </c>
      <c r="B261" s="370"/>
      <c r="C261" s="370"/>
      <c r="D261" s="397">
        <v>10</v>
      </c>
      <c r="E261" s="397" t="s">
        <v>238</v>
      </c>
      <c r="F261" s="397"/>
      <c r="G261" s="370"/>
      <c r="H261" s="370"/>
      <c r="I261" s="370"/>
      <c r="J261" s="370"/>
      <c r="K261" s="370"/>
      <c r="L261" s="370"/>
      <c r="M261" s="370"/>
      <c r="N261" s="371"/>
    </row>
    <row r="262" spans="1:24">
      <c r="A262" s="403" t="s">
        <v>163</v>
      </c>
      <c r="B262" s="370"/>
      <c r="C262" s="370"/>
      <c r="D262" s="370"/>
      <c r="E262" s="370"/>
      <c r="F262" s="370"/>
      <c r="G262" s="370"/>
      <c r="H262" s="370"/>
      <c r="I262" s="370"/>
      <c r="J262" s="370"/>
      <c r="K262" s="370"/>
      <c r="L262" s="370"/>
      <c r="M262" s="370"/>
      <c r="N262" s="371"/>
    </row>
    <row r="263" spans="1:24">
      <c r="A263" s="381" t="s">
        <v>165</v>
      </c>
      <c r="B263" s="370"/>
      <c r="C263" s="370"/>
      <c r="D263" s="370"/>
      <c r="E263" s="370"/>
      <c r="F263" s="370"/>
      <c r="G263" s="370"/>
      <c r="H263" s="370"/>
      <c r="I263" s="370"/>
      <c r="J263" s="370"/>
      <c r="K263" s="370"/>
      <c r="L263" s="370"/>
      <c r="M263" s="370"/>
      <c r="N263" s="371"/>
    </row>
    <row r="264" spans="1:24">
      <c r="A264" s="381" t="s">
        <v>166</v>
      </c>
      <c r="B264" s="370"/>
      <c r="C264" s="370"/>
      <c r="D264" s="370"/>
      <c r="E264" s="370"/>
      <c r="F264" s="370"/>
      <c r="G264" s="370"/>
      <c r="H264" s="370"/>
      <c r="I264" s="370"/>
      <c r="J264" s="370"/>
      <c r="K264" s="370"/>
      <c r="L264" s="370"/>
      <c r="M264" s="370"/>
      <c r="N264" s="371"/>
    </row>
    <row r="265" spans="1:24">
      <c r="A265" s="381" t="s">
        <v>652</v>
      </c>
      <c r="B265" s="370"/>
      <c r="C265" s="370"/>
      <c r="D265" s="370"/>
      <c r="E265" s="370"/>
      <c r="F265" s="370"/>
      <c r="G265" s="370"/>
      <c r="H265" s="370"/>
      <c r="I265" s="370"/>
      <c r="J265" s="370"/>
      <c r="K265" s="370"/>
      <c r="L265" s="370"/>
      <c r="M265" s="370"/>
      <c r="N265" s="371"/>
    </row>
    <row r="266" spans="1:24">
      <c r="A266" s="381" t="s">
        <v>168</v>
      </c>
      <c r="B266" s="370"/>
      <c r="C266" s="370"/>
      <c r="D266" s="370"/>
      <c r="E266" s="370"/>
      <c r="F266" s="370"/>
      <c r="G266" s="370"/>
      <c r="H266" s="370"/>
      <c r="I266" s="370"/>
      <c r="J266" s="370"/>
      <c r="K266" s="370"/>
      <c r="L266" s="370"/>
      <c r="M266" s="370"/>
      <c r="N266" s="371"/>
    </row>
    <row r="267" spans="1:24">
      <c r="A267" s="510" t="s">
        <v>294</v>
      </c>
      <c r="B267" s="511"/>
      <c r="C267" s="511"/>
      <c r="D267" s="511"/>
      <c r="E267" s="511"/>
      <c r="F267" s="511"/>
      <c r="G267" s="511"/>
      <c r="H267" s="511"/>
      <c r="I267" s="511"/>
      <c r="J267" s="511"/>
      <c r="K267" s="511"/>
      <c r="L267" s="511"/>
      <c r="M267" s="511"/>
      <c r="N267" s="517"/>
    </row>
    <row r="268" spans="1:24">
      <c r="A268" s="1093" t="s">
        <v>293</v>
      </c>
      <c r="B268" s="1094"/>
      <c r="C268" s="1094"/>
      <c r="D268" s="1094"/>
      <c r="E268" s="1094"/>
      <c r="F268" s="1094"/>
      <c r="G268" s="1094"/>
      <c r="H268" s="1094"/>
      <c r="I268" s="1094"/>
      <c r="J268" s="1094"/>
      <c r="K268" s="1094"/>
      <c r="L268" s="1094"/>
      <c r="M268" s="1094"/>
      <c r="N268" s="1095"/>
    </row>
    <row r="269" spans="1:24">
      <c r="A269" s="526" t="s">
        <v>553</v>
      </c>
      <c r="B269" s="511"/>
      <c r="C269" s="511"/>
      <c r="D269" s="511"/>
      <c r="E269" s="511"/>
      <c r="F269" s="511"/>
      <c r="G269" s="511"/>
      <c r="H269" s="511"/>
      <c r="I269" s="511"/>
      <c r="J269" s="511"/>
      <c r="K269" s="511"/>
      <c r="L269" s="511"/>
      <c r="M269" s="511"/>
      <c r="N269" s="517"/>
      <c r="P269" s="80"/>
      <c r="Q269" s="80"/>
      <c r="R269" s="80"/>
      <c r="S269" s="80"/>
      <c r="T269" s="80"/>
      <c r="U269" s="80"/>
      <c r="V269" s="80"/>
      <c r="W269" s="80"/>
      <c r="X269" s="80"/>
    </row>
    <row r="270" spans="1:24">
      <c r="A270" s="381" t="s">
        <v>170</v>
      </c>
      <c r="B270" s="370"/>
      <c r="C270" s="370"/>
      <c r="D270" s="370"/>
      <c r="E270" s="370"/>
      <c r="F270" s="370"/>
      <c r="G270" s="370"/>
      <c r="H270" s="370"/>
      <c r="I270" s="370"/>
      <c r="J270" s="370"/>
      <c r="K270" s="370"/>
      <c r="L270" s="370"/>
      <c r="M270" s="370"/>
      <c r="N270" s="371"/>
      <c r="P270" s="80"/>
      <c r="Q270" s="80"/>
      <c r="R270" s="80"/>
      <c r="S270" s="80"/>
      <c r="T270" s="80"/>
      <c r="U270" s="80"/>
      <c r="V270" s="80"/>
      <c r="W270" s="80"/>
      <c r="X270" s="80"/>
    </row>
    <row r="271" spans="1:24">
      <c r="A271" s="381"/>
      <c r="B271" s="1096" t="s">
        <v>548</v>
      </c>
      <c r="C271" s="1096"/>
      <c r="D271" s="1097">
        <f>C41</f>
        <v>0</v>
      </c>
      <c r="E271" s="1098"/>
      <c r="F271" s="1098"/>
      <c r="G271" s="1098"/>
      <c r="H271" s="1098"/>
      <c r="I271" s="1098"/>
      <c r="J271" s="1098"/>
      <c r="K271" s="1098"/>
      <c r="L271" s="1098"/>
      <c r="M271" s="1099"/>
      <c r="N271" s="371"/>
      <c r="P271" s="80"/>
      <c r="Q271" s="80"/>
      <c r="R271" s="80"/>
      <c r="S271" s="80"/>
      <c r="T271" s="80"/>
      <c r="U271" s="80"/>
      <c r="V271" s="80"/>
      <c r="W271" s="80"/>
      <c r="X271" s="80"/>
    </row>
    <row r="272" spans="1:24">
      <c r="A272" s="381"/>
      <c r="B272" s="527"/>
      <c r="C272" s="527"/>
      <c r="D272" s="640"/>
      <c r="E272" s="640"/>
      <c r="F272" s="640"/>
      <c r="G272" s="640"/>
      <c r="H272" s="640"/>
      <c r="I272" s="640"/>
      <c r="J272" s="640"/>
      <c r="K272" s="640"/>
      <c r="L272" s="640"/>
      <c r="M272" s="640"/>
      <c r="N272" s="371"/>
      <c r="P272" s="80"/>
      <c r="Q272" s="80"/>
      <c r="R272" s="80"/>
      <c r="S272" s="80"/>
      <c r="T272" s="80"/>
      <c r="U272" s="80"/>
      <c r="V272" s="80"/>
      <c r="W272" s="80"/>
      <c r="X272" s="80"/>
    </row>
    <row r="273" spans="1:24">
      <c r="A273" s="410"/>
      <c r="B273" s="527"/>
      <c r="C273" s="527"/>
      <c r="D273" s="572"/>
      <c r="E273" s="572"/>
      <c r="F273" s="572"/>
      <c r="G273" s="572"/>
      <c r="H273" s="572"/>
      <c r="I273" s="572"/>
      <c r="J273" s="572"/>
      <c r="K273" s="572"/>
      <c r="L273" s="572"/>
      <c r="M273" s="572"/>
      <c r="N273" s="414"/>
      <c r="O273" s="80"/>
      <c r="P273" s="215"/>
      <c r="Q273" s="215"/>
      <c r="R273" s="215" t="s">
        <v>329</v>
      </c>
      <c r="S273" s="215"/>
      <c r="T273" s="215">
        <v>1</v>
      </c>
      <c r="U273" s="215">
        <v>1</v>
      </c>
      <c r="V273" s="80"/>
      <c r="W273" s="80"/>
      <c r="X273" s="80"/>
    </row>
    <row r="274" spans="1:24">
      <c r="A274" s="370"/>
      <c r="B274" s="565"/>
      <c r="C274" s="565"/>
      <c r="D274" s="564"/>
      <c r="E274" s="564"/>
      <c r="F274" s="564"/>
      <c r="G274" s="564"/>
      <c r="H274" s="564"/>
      <c r="I274" s="564"/>
      <c r="J274" s="564"/>
      <c r="K274" s="564"/>
      <c r="L274" s="564"/>
      <c r="M274" s="564"/>
      <c r="N274" s="370"/>
      <c r="O274" s="80"/>
      <c r="P274" s="215"/>
      <c r="Q274" s="215"/>
      <c r="R274" s="215"/>
      <c r="S274" s="215"/>
      <c r="T274" s="215"/>
      <c r="U274" s="215"/>
      <c r="V274" s="80"/>
      <c r="W274" s="80"/>
      <c r="X274" s="80"/>
    </row>
    <row r="275" spans="1:24">
      <c r="A275" s="357" t="s">
        <v>539</v>
      </c>
      <c r="B275" s="1086" t="s">
        <v>71</v>
      </c>
      <c r="C275" s="1086"/>
      <c r="D275" s="1086"/>
      <c r="E275" s="1086"/>
      <c r="F275" s="1086"/>
      <c r="G275" s="1086"/>
      <c r="H275" s="1086"/>
      <c r="I275" s="357"/>
      <c r="J275" s="357"/>
      <c r="K275" s="357"/>
      <c r="L275" s="357"/>
      <c r="M275" s="357"/>
      <c r="N275" s="357"/>
      <c r="O275" s="80"/>
      <c r="P275" s="215" t="s">
        <v>397</v>
      </c>
      <c r="Q275" s="215"/>
      <c r="R275" s="215" t="s">
        <v>330</v>
      </c>
      <c r="S275" s="215"/>
      <c r="T275" s="215">
        <v>2</v>
      </c>
      <c r="U275" s="215">
        <v>2</v>
      </c>
      <c r="V275" s="80"/>
      <c r="W275" s="80"/>
      <c r="X275" s="80"/>
    </row>
    <row r="276" spans="1:24">
      <c r="A276" s="357" t="s">
        <v>540</v>
      </c>
      <c r="B276" s="1086" t="s">
        <v>547</v>
      </c>
      <c r="C276" s="1086"/>
      <c r="D276" s="1086"/>
      <c r="E276" s="1086"/>
      <c r="F276" s="1086"/>
      <c r="G276" s="1086"/>
      <c r="H276" s="1086"/>
      <c r="I276" s="357"/>
      <c r="J276" s="357"/>
      <c r="K276" s="357"/>
      <c r="L276" s="357"/>
      <c r="M276" s="357"/>
      <c r="N276" s="357"/>
      <c r="O276" s="80"/>
      <c r="P276" s="215" t="s">
        <v>324</v>
      </c>
      <c r="Q276" s="215"/>
      <c r="R276" s="215" t="s">
        <v>331</v>
      </c>
      <c r="S276" s="215"/>
      <c r="T276" s="215">
        <v>3</v>
      </c>
      <c r="U276" s="215">
        <v>3</v>
      </c>
      <c r="V276" s="80"/>
      <c r="W276" s="80"/>
      <c r="X276" s="80"/>
    </row>
    <row r="277" spans="1:24">
      <c r="A277" s="500"/>
      <c r="B277" s="1087" t="s">
        <v>1</v>
      </c>
      <c r="C277" s="1087"/>
      <c r="D277" s="1087"/>
      <c r="E277" s="1087"/>
      <c r="F277" s="1087"/>
      <c r="G277" s="1087"/>
      <c r="H277" s="1087"/>
      <c r="I277" s="1087"/>
      <c r="J277" s="1087"/>
      <c r="K277" s="500"/>
      <c r="L277" s="500"/>
      <c r="M277" s="500"/>
      <c r="N277" s="500"/>
      <c r="O277" s="80"/>
      <c r="P277" s="215" t="s">
        <v>325</v>
      </c>
      <c r="Q277" s="215"/>
      <c r="R277" s="215" t="s">
        <v>332</v>
      </c>
      <c r="S277" s="215"/>
      <c r="T277" s="215">
        <v>4</v>
      </c>
      <c r="U277" s="215">
        <v>4</v>
      </c>
      <c r="V277" s="80"/>
      <c r="W277" s="80"/>
      <c r="X277" s="80"/>
    </row>
    <row r="278" spans="1:24" ht="15.75">
      <c r="A278" s="402" t="s">
        <v>2</v>
      </c>
      <c r="B278" s="1088" t="str">
        <f>B4</f>
        <v>ZABALA FRANCO JULIANA</v>
      </c>
      <c r="C278" s="1088"/>
      <c r="D278" s="1088"/>
      <c r="E278" s="1088"/>
      <c r="F278" s="1088"/>
      <c r="G278" s="1088"/>
      <c r="H278" s="386" t="s">
        <v>396</v>
      </c>
      <c r="I278" s="1089">
        <f ca="1">B5</f>
        <v>43208</v>
      </c>
      <c r="J278" s="1090"/>
      <c r="K278" s="387"/>
      <c r="L278" s="388" t="s">
        <v>291</v>
      </c>
      <c r="M278" s="1091">
        <f>M4</f>
        <v>0</v>
      </c>
      <c r="N278" s="1092"/>
      <c r="O278" s="80"/>
      <c r="P278" s="215" t="s">
        <v>326</v>
      </c>
      <c r="Q278" s="215"/>
      <c r="R278" s="215" t="s">
        <v>333</v>
      </c>
      <c r="S278" s="215"/>
      <c r="T278" s="215">
        <v>5</v>
      </c>
      <c r="U278" s="215">
        <v>5</v>
      </c>
      <c r="V278" s="80"/>
      <c r="W278" s="80"/>
      <c r="X278" s="80"/>
    </row>
    <row r="279" spans="1:24">
      <c r="A279" s="1080" t="s">
        <v>322</v>
      </c>
      <c r="B279" s="1081"/>
      <c r="C279" s="1081"/>
      <c r="D279" s="1081"/>
      <c r="E279" s="1081"/>
      <c r="F279" s="1081"/>
      <c r="G279" s="370"/>
      <c r="H279" s="370"/>
      <c r="I279" s="370"/>
      <c r="J279" s="370"/>
      <c r="K279" s="370"/>
      <c r="L279" s="370"/>
      <c r="M279" s="370"/>
      <c r="N279" s="371"/>
      <c r="O279" s="80"/>
      <c r="P279" s="215" t="s">
        <v>327</v>
      </c>
      <c r="Q279" s="215"/>
      <c r="R279" s="215" t="s">
        <v>334</v>
      </c>
      <c r="S279" s="215"/>
      <c r="T279" s="215">
        <v>6</v>
      </c>
      <c r="U279" s="215">
        <v>6</v>
      </c>
      <c r="V279" s="80"/>
      <c r="W279" s="80"/>
      <c r="X279" s="80"/>
    </row>
    <row r="280" spans="1:24">
      <c r="A280" s="381" t="s">
        <v>4</v>
      </c>
      <c r="B280" s="370">
        <f>D9</f>
        <v>80</v>
      </c>
      <c r="C280" s="370" t="s">
        <v>72</v>
      </c>
      <c r="D280" s="1082" t="s">
        <v>323</v>
      </c>
      <c r="E280" s="1082"/>
      <c r="F280" s="1083" t="str">
        <f>F24</f>
        <v>COMPLEXION GRANDE</v>
      </c>
      <c r="G280" s="1083"/>
      <c r="H280" s="370"/>
      <c r="I280" s="1082" t="s">
        <v>328</v>
      </c>
      <c r="J280" s="1082"/>
      <c r="K280" s="1079">
        <f>K24</f>
        <v>0</v>
      </c>
      <c r="L280" s="1079"/>
      <c r="M280" s="1079"/>
      <c r="N280" s="371"/>
      <c r="O280" s="80"/>
      <c r="P280" s="215"/>
      <c r="Q280" s="215"/>
      <c r="R280" s="215"/>
      <c r="S280" s="215"/>
      <c r="T280" s="215">
        <v>7</v>
      </c>
      <c r="U280" s="215">
        <v>7</v>
      </c>
      <c r="V280" s="80"/>
      <c r="W280" s="80"/>
      <c r="X280" s="80"/>
    </row>
    <row r="281" spans="1:24">
      <c r="A281" s="381" t="s">
        <v>335</v>
      </c>
      <c r="B281" s="370"/>
      <c r="C281" s="370" t="s">
        <v>336</v>
      </c>
      <c r="D281" s="373">
        <f>D25</f>
        <v>0</v>
      </c>
      <c r="E281" s="1079" t="s">
        <v>337</v>
      </c>
      <c r="F281" s="1079"/>
      <c r="G281" s="566">
        <f>G25</f>
        <v>0</v>
      </c>
      <c r="H281" s="370"/>
      <c r="I281" s="370"/>
      <c r="J281" s="370"/>
      <c r="K281" s="370"/>
      <c r="L281" s="370"/>
      <c r="M281" s="370"/>
      <c r="N281" s="371"/>
      <c r="O281" s="80"/>
      <c r="P281" s="215" t="s">
        <v>340</v>
      </c>
      <c r="Q281" s="215"/>
      <c r="R281" s="217" t="s">
        <v>362</v>
      </c>
      <c r="S281" s="218"/>
      <c r="T281" s="215"/>
      <c r="U281" s="215">
        <v>8</v>
      </c>
      <c r="V281" s="80"/>
      <c r="W281" s="80"/>
      <c r="X281" s="80"/>
    </row>
    <row r="282" spans="1:24">
      <c r="A282" s="381"/>
      <c r="B282" s="370"/>
      <c r="C282" s="370"/>
      <c r="D282" s="370"/>
      <c r="E282" s="370"/>
      <c r="F282" s="370"/>
      <c r="G282" s="370"/>
      <c r="H282" s="370"/>
      <c r="I282" s="370"/>
      <c r="J282" s="370"/>
      <c r="K282" s="370"/>
      <c r="L282" s="370"/>
      <c r="M282" s="370"/>
      <c r="N282" s="371"/>
      <c r="O282" s="80"/>
      <c r="P282" s="215" t="s">
        <v>341</v>
      </c>
      <c r="Q282" s="215"/>
      <c r="R282" s="219" t="s">
        <v>361</v>
      </c>
      <c r="S282" s="220"/>
      <c r="T282" s="215"/>
      <c r="U282" s="215"/>
      <c r="V282" s="80"/>
      <c r="W282" s="80"/>
      <c r="X282" s="80"/>
    </row>
    <row r="283" spans="1:24">
      <c r="A283" s="381"/>
      <c r="B283" s="370"/>
      <c r="C283" s="370"/>
      <c r="D283" s="370"/>
      <c r="E283" s="370"/>
      <c r="F283" s="370"/>
      <c r="G283" s="370"/>
      <c r="H283" s="370"/>
      <c r="I283" s="370"/>
      <c r="J283" s="370"/>
      <c r="K283" s="370"/>
      <c r="L283" s="370"/>
      <c r="M283" s="370"/>
      <c r="N283" s="371"/>
      <c r="O283" s="80"/>
      <c r="P283" s="80"/>
      <c r="Q283" s="80"/>
      <c r="R283" s="80"/>
      <c r="S283" s="80"/>
      <c r="T283" s="80"/>
      <c r="U283" s="80"/>
      <c r="V283" s="80"/>
      <c r="W283" s="80"/>
      <c r="X283" s="80"/>
    </row>
    <row r="284" spans="1:24">
      <c r="A284" s="381" t="s">
        <v>338</v>
      </c>
      <c r="B284" s="370"/>
      <c r="C284" s="370"/>
      <c r="D284" s="370"/>
      <c r="E284" s="370"/>
      <c r="F284" s="374"/>
      <c r="G284" s="370"/>
      <c r="H284" s="370"/>
      <c r="I284" s="370"/>
      <c r="J284" s="370"/>
      <c r="K284" s="370"/>
      <c r="L284" s="370"/>
      <c r="M284" s="370"/>
      <c r="N284" s="371"/>
      <c r="O284" s="80"/>
      <c r="P284" s="80"/>
      <c r="Q284" s="80"/>
      <c r="R284" s="80"/>
      <c r="S284" s="80"/>
      <c r="T284" s="80"/>
      <c r="U284" s="80"/>
      <c r="V284" s="80"/>
      <c r="W284" s="80"/>
      <c r="X284" s="80"/>
    </row>
    <row r="285" spans="1:24">
      <c r="A285" s="1084" t="s">
        <v>339</v>
      </c>
      <c r="B285" s="1085"/>
      <c r="C285" s="370" t="s">
        <v>340</v>
      </c>
      <c r="D285" s="370"/>
      <c r="E285" s="370"/>
      <c r="F285" s="370"/>
      <c r="G285" s="370"/>
      <c r="H285" s="370"/>
      <c r="I285" s="370"/>
      <c r="J285" s="370"/>
      <c r="K285" s="370"/>
      <c r="L285" s="370"/>
      <c r="M285" s="370"/>
      <c r="N285" s="371"/>
      <c r="O285" s="80"/>
      <c r="P285" s="80"/>
      <c r="Q285" s="80"/>
      <c r="R285" s="80"/>
      <c r="S285" s="80"/>
      <c r="T285" s="80"/>
      <c r="U285" s="80"/>
      <c r="V285" s="80"/>
      <c r="W285" s="80"/>
      <c r="X285" s="80"/>
    </row>
    <row r="286" spans="1:24">
      <c r="A286" s="381"/>
      <c r="B286" s="370"/>
      <c r="C286" s="370"/>
      <c r="D286" s="370"/>
      <c r="E286" s="370"/>
      <c r="F286" s="370"/>
      <c r="G286" s="370"/>
      <c r="H286" s="370"/>
      <c r="I286" s="370"/>
      <c r="J286" s="370"/>
      <c r="K286" s="370"/>
      <c r="L286" s="370"/>
      <c r="M286" s="370"/>
      <c r="N286" s="371"/>
      <c r="O286" s="80"/>
      <c r="P286" s="80"/>
      <c r="Q286" s="80"/>
      <c r="R286" s="80"/>
      <c r="S286" s="80"/>
      <c r="T286" s="80"/>
      <c r="U286" s="80"/>
      <c r="V286" s="80"/>
      <c r="W286" s="80"/>
      <c r="X286" s="80"/>
    </row>
    <row r="287" spans="1:24">
      <c r="A287" s="1078" t="s">
        <v>342</v>
      </c>
      <c r="B287" s="1079"/>
      <c r="C287" s="370"/>
      <c r="D287" s="370"/>
      <c r="E287" s="370"/>
      <c r="F287" s="370"/>
      <c r="G287" s="370"/>
      <c r="H287" s="370"/>
      <c r="I287" s="370"/>
      <c r="J287" s="370"/>
      <c r="K287" s="370"/>
      <c r="L287" s="370"/>
      <c r="M287" s="370"/>
      <c r="N287" s="371"/>
      <c r="O287" s="80"/>
      <c r="P287" s="80"/>
      <c r="Q287" s="80"/>
      <c r="R287" s="80"/>
      <c r="S287" s="80"/>
      <c r="T287" s="80"/>
      <c r="U287" s="80"/>
      <c r="V287" s="80"/>
      <c r="W287" s="80"/>
      <c r="X287" s="80"/>
    </row>
    <row r="288" spans="1:24">
      <c r="A288" s="1080" t="s">
        <v>343</v>
      </c>
      <c r="B288" s="1081"/>
      <c r="C288" s="370"/>
      <c r="D288" s="375" t="s">
        <v>348</v>
      </c>
      <c r="E288" s="375"/>
      <c r="F288" s="375"/>
      <c r="G288" s="376"/>
      <c r="H288" s="1076" t="s">
        <v>353</v>
      </c>
      <c r="I288" s="1076"/>
      <c r="J288" s="1076"/>
      <c r="K288" s="370"/>
      <c r="L288" s="1076" t="s">
        <v>357</v>
      </c>
      <c r="M288" s="1076"/>
      <c r="N288" s="371"/>
      <c r="O288" s="80"/>
      <c r="P288" s="80"/>
      <c r="Q288" s="80"/>
      <c r="R288" s="80"/>
      <c r="S288" s="80"/>
      <c r="T288" s="80"/>
      <c r="U288" s="80"/>
      <c r="V288" s="80"/>
      <c r="W288" s="80"/>
      <c r="X288" s="80"/>
    </row>
    <row r="289" spans="1:24">
      <c r="A289" s="1074" t="s">
        <v>344</v>
      </c>
      <c r="B289" s="1075"/>
      <c r="C289" s="566">
        <f>C33</f>
        <v>0</v>
      </c>
      <c r="D289" s="370" t="s">
        <v>349</v>
      </c>
      <c r="E289" s="370"/>
      <c r="F289" s="370"/>
      <c r="G289" s="551">
        <f>G33</f>
        <v>0</v>
      </c>
      <c r="H289" s="370" t="s">
        <v>354</v>
      </c>
      <c r="I289" s="370"/>
      <c r="J289" s="566">
        <f>J33</f>
        <v>0</v>
      </c>
      <c r="K289" s="370"/>
      <c r="L289" s="370" t="s">
        <v>358</v>
      </c>
      <c r="M289" s="370"/>
      <c r="N289" s="435">
        <f>N33</f>
        <v>0</v>
      </c>
      <c r="O289" s="80"/>
      <c r="P289" s="80"/>
      <c r="Q289" s="80"/>
      <c r="R289" s="80"/>
      <c r="S289" s="80"/>
      <c r="T289" s="80"/>
      <c r="U289" s="80"/>
      <c r="V289" s="80"/>
      <c r="W289" s="80"/>
      <c r="X289" s="80"/>
    </row>
    <row r="290" spans="1:24">
      <c r="A290" s="1074" t="s">
        <v>345</v>
      </c>
      <c r="B290" s="1075"/>
      <c r="C290" s="566">
        <f>C34</f>
        <v>0</v>
      </c>
      <c r="D290" s="370" t="s">
        <v>350</v>
      </c>
      <c r="E290" s="370"/>
      <c r="F290" s="370"/>
      <c r="G290" s="551">
        <f>G34</f>
        <v>0</v>
      </c>
      <c r="H290" s="370" t="s">
        <v>355</v>
      </c>
      <c r="I290" s="370"/>
      <c r="J290" s="566">
        <f>J34</f>
        <v>0</v>
      </c>
      <c r="K290" s="370"/>
      <c r="L290" s="370" t="s">
        <v>359</v>
      </c>
      <c r="M290" s="370"/>
      <c r="N290" s="423">
        <f>N34</f>
        <v>0</v>
      </c>
      <c r="O290" s="80"/>
      <c r="P290" s="80"/>
      <c r="Q290" s="80"/>
      <c r="R290" s="80"/>
      <c r="S290" s="80"/>
      <c r="T290" s="80"/>
      <c r="U290" s="80"/>
      <c r="V290" s="80"/>
      <c r="W290" s="80"/>
      <c r="X290" s="80"/>
    </row>
    <row r="291" spans="1:24">
      <c r="A291" s="1074" t="s">
        <v>346</v>
      </c>
      <c r="B291" s="1075"/>
      <c r="C291" s="566">
        <f>C35</f>
        <v>0</v>
      </c>
      <c r="D291" s="370" t="s">
        <v>351</v>
      </c>
      <c r="E291" s="370"/>
      <c r="F291" s="370"/>
      <c r="G291" s="551">
        <f>G35</f>
        <v>0</v>
      </c>
      <c r="H291" s="370" t="s">
        <v>356</v>
      </c>
      <c r="I291" s="370"/>
      <c r="J291" s="566" t="str">
        <f>J35</f>
        <v>M</v>
      </c>
      <c r="K291" s="370"/>
      <c r="L291" s="1076" t="s">
        <v>360</v>
      </c>
      <c r="M291" s="1076"/>
      <c r="N291" s="579"/>
      <c r="O291" s="80"/>
      <c r="P291" s="80"/>
      <c r="Q291" s="80"/>
      <c r="R291" s="80"/>
      <c r="S291" s="80"/>
      <c r="T291" s="80"/>
      <c r="U291" s="80"/>
      <c r="V291" s="80"/>
      <c r="W291" s="80"/>
      <c r="X291" s="80"/>
    </row>
    <row r="292" spans="1:24">
      <c r="A292" s="1074" t="s">
        <v>347</v>
      </c>
      <c r="B292" s="1075"/>
      <c r="C292" s="566">
        <f>C36</f>
        <v>0</v>
      </c>
      <c r="D292" s="370" t="s">
        <v>352</v>
      </c>
      <c r="E292" s="370"/>
      <c r="F292" s="370"/>
      <c r="G292" s="551">
        <f>G36</f>
        <v>0</v>
      </c>
      <c r="H292" s="370"/>
      <c r="I292" s="370"/>
      <c r="J292" s="370"/>
      <c r="K292" s="370"/>
      <c r="L292" s="1075" t="s">
        <v>362</v>
      </c>
      <c r="M292" s="1075"/>
      <c r="N292" s="579">
        <f>N36</f>
        <v>0</v>
      </c>
      <c r="O292" s="80"/>
      <c r="P292" s="80"/>
      <c r="Q292" s="80"/>
      <c r="R292" s="80"/>
      <c r="S292" s="80"/>
      <c r="T292" s="80"/>
      <c r="U292" s="80"/>
      <c r="V292" s="80"/>
      <c r="W292" s="80"/>
      <c r="X292" s="80"/>
    </row>
    <row r="293" spans="1:24">
      <c r="A293" s="381"/>
      <c r="B293" s="370"/>
      <c r="C293" s="370"/>
      <c r="D293" s="370"/>
      <c r="E293" s="370"/>
      <c r="F293" s="370"/>
      <c r="G293" s="370"/>
      <c r="H293" s="370"/>
      <c r="I293" s="370"/>
      <c r="J293" s="370"/>
      <c r="K293" s="370"/>
      <c r="L293" s="370"/>
      <c r="M293" s="370"/>
      <c r="N293" s="371"/>
      <c r="O293" s="80"/>
      <c r="P293" s="80"/>
      <c r="Q293" s="80"/>
      <c r="R293" s="80"/>
      <c r="S293" s="80"/>
      <c r="T293" s="80"/>
      <c r="U293" s="80"/>
      <c r="V293" s="80"/>
      <c r="W293" s="80"/>
      <c r="X293" s="80"/>
    </row>
    <row r="294" spans="1:24">
      <c r="A294" s="433" t="s">
        <v>363</v>
      </c>
      <c r="B294" s="370"/>
      <c r="C294" s="370"/>
      <c r="D294" s="370"/>
      <c r="E294" s="370"/>
      <c r="F294" s="370"/>
      <c r="G294" s="370"/>
      <c r="H294" s="370"/>
      <c r="I294" s="370"/>
      <c r="J294" s="370"/>
      <c r="K294" s="370"/>
      <c r="L294" s="370"/>
      <c r="M294" s="370"/>
      <c r="N294" s="371"/>
      <c r="O294" s="80"/>
      <c r="P294" s="80"/>
      <c r="Q294" s="80"/>
      <c r="R294" s="80"/>
      <c r="S294" s="80"/>
      <c r="T294" s="80"/>
      <c r="U294" s="80"/>
      <c r="V294" s="80"/>
      <c r="W294" s="80"/>
      <c r="X294" s="80"/>
    </row>
    <row r="295" spans="1:24">
      <c r="A295" s="381"/>
      <c r="B295" s="370"/>
      <c r="C295" s="210" t="s">
        <v>88</v>
      </c>
      <c r="D295" s="210" t="s">
        <v>87</v>
      </c>
      <c r="E295" s="210" t="s">
        <v>367</v>
      </c>
      <c r="F295" s="210" t="s">
        <v>368</v>
      </c>
      <c r="G295" s="210" t="s">
        <v>369</v>
      </c>
      <c r="H295" s="210" t="s">
        <v>370</v>
      </c>
      <c r="I295" s="210" t="s">
        <v>371</v>
      </c>
      <c r="J295" s="210" t="s">
        <v>372</v>
      </c>
      <c r="K295" s="370"/>
      <c r="L295" s="370"/>
      <c r="M295" s="370"/>
      <c r="N295" s="371"/>
      <c r="O295" s="80"/>
      <c r="P295" s="80"/>
      <c r="Q295" s="80"/>
      <c r="R295" s="80"/>
      <c r="S295" s="80"/>
      <c r="T295" s="80"/>
      <c r="U295" s="80"/>
      <c r="V295" s="80"/>
      <c r="W295" s="80"/>
      <c r="X295" s="80"/>
    </row>
    <row r="296" spans="1:24">
      <c r="A296" s="434" t="s">
        <v>82</v>
      </c>
      <c r="B296" s="370"/>
      <c r="C296" s="106">
        <f>B97</f>
        <v>3</v>
      </c>
      <c r="D296" s="106">
        <f>B96</f>
        <v>1</v>
      </c>
      <c r="E296" s="106">
        <f>B98</f>
        <v>2</v>
      </c>
      <c r="F296" s="106">
        <f>B99</f>
        <v>2</v>
      </c>
      <c r="G296" s="106">
        <f>B100</f>
        <v>3</v>
      </c>
      <c r="H296" s="106">
        <f>B101</f>
        <v>0</v>
      </c>
      <c r="I296" s="106">
        <f>B103</f>
        <v>1</v>
      </c>
      <c r="J296" s="106">
        <f>B102</f>
        <v>1</v>
      </c>
      <c r="K296" s="370"/>
      <c r="L296" s="370"/>
      <c r="M296" s="370"/>
      <c r="N296" s="371"/>
      <c r="O296" s="80"/>
      <c r="P296" s="80"/>
      <c r="Q296" s="80"/>
      <c r="R296" s="80"/>
      <c r="S296" s="80"/>
      <c r="T296" s="80"/>
      <c r="U296" s="80"/>
      <c r="V296" s="80"/>
      <c r="W296" s="80"/>
      <c r="X296" s="80"/>
    </row>
    <row r="297" spans="1:24">
      <c r="A297" s="434" t="s">
        <v>84</v>
      </c>
      <c r="B297" s="370"/>
      <c r="C297" s="106">
        <f>B112</f>
        <v>3</v>
      </c>
      <c r="D297" s="106">
        <f>B111</f>
        <v>0</v>
      </c>
      <c r="E297" s="106">
        <f>B113</f>
        <v>0</v>
      </c>
      <c r="F297" s="106">
        <f>B114</f>
        <v>2</v>
      </c>
      <c r="G297" s="106">
        <f>B115</f>
        <v>3</v>
      </c>
      <c r="H297" s="106">
        <f>B116</f>
        <v>1</v>
      </c>
      <c r="I297" s="106">
        <f>B118</f>
        <v>0</v>
      </c>
      <c r="J297" s="106">
        <f>B117</f>
        <v>1</v>
      </c>
      <c r="K297" s="370"/>
      <c r="L297" s="370"/>
      <c r="M297" s="370"/>
      <c r="N297" s="371"/>
      <c r="O297" s="80"/>
      <c r="P297" s="80"/>
      <c r="Q297" s="80"/>
      <c r="R297" s="80"/>
      <c r="S297" s="80"/>
      <c r="T297" s="80"/>
      <c r="U297" s="80"/>
      <c r="V297" s="80"/>
      <c r="W297" s="80"/>
      <c r="X297" s="80"/>
    </row>
    <row r="298" spans="1:24">
      <c r="A298" s="434" t="s">
        <v>364</v>
      </c>
      <c r="B298" s="370"/>
      <c r="C298" s="106">
        <f>B127</f>
        <v>0</v>
      </c>
      <c r="D298" s="106">
        <f>B126</f>
        <v>0</v>
      </c>
      <c r="E298" s="106">
        <f>B128</f>
        <v>0</v>
      </c>
      <c r="F298" s="106">
        <f>B129</f>
        <v>2</v>
      </c>
      <c r="G298" s="106">
        <f>B130</f>
        <v>2</v>
      </c>
      <c r="H298" s="106">
        <f>B131</f>
        <v>0</v>
      </c>
      <c r="I298" s="106">
        <f>B133</f>
        <v>0</v>
      </c>
      <c r="J298" s="106">
        <f>B132</f>
        <v>1</v>
      </c>
      <c r="K298" s="370"/>
      <c r="L298" s="370"/>
      <c r="M298" s="370"/>
      <c r="N298" s="371"/>
      <c r="O298" s="80"/>
    </row>
    <row r="299" spans="1:24">
      <c r="A299" s="434" t="s">
        <v>365</v>
      </c>
      <c r="B299" s="370"/>
      <c r="C299" s="106"/>
      <c r="D299" s="106"/>
      <c r="E299" s="106"/>
      <c r="F299" s="106"/>
      <c r="G299" s="106"/>
      <c r="H299" s="106"/>
      <c r="I299" s="106"/>
      <c r="J299" s="106"/>
      <c r="K299" s="370"/>
      <c r="L299" s="370"/>
      <c r="M299" s="370"/>
      <c r="N299" s="371"/>
      <c r="O299" s="80"/>
    </row>
    <row r="300" spans="1:24">
      <c r="A300" s="434" t="s">
        <v>366</v>
      </c>
      <c r="B300" s="370"/>
      <c r="C300" s="106">
        <f>SUM(C296:C299)</f>
        <v>6</v>
      </c>
      <c r="D300" s="106">
        <f t="shared" ref="D300:J300" si="13">SUM(D296:D299)</f>
        <v>1</v>
      </c>
      <c r="E300" s="106">
        <f t="shared" si="13"/>
        <v>2</v>
      </c>
      <c r="F300" s="106">
        <f t="shared" si="13"/>
        <v>6</v>
      </c>
      <c r="G300" s="106">
        <f t="shared" si="13"/>
        <v>8</v>
      </c>
      <c r="H300" s="106">
        <f t="shared" si="13"/>
        <v>1</v>
      </c>
      <c r="I300" s="106">
        <f t="shared" si="13"/>
        <v>1</v>
      </c>
      <c r="J300" s="106">
        <f t="shared" si="13"/>
        <v>3</v>
      </c>
      <c r="K300" s="370"/>
      <c r="L300" s="370"/>
      <c r="M300" s="370"/>
      <c r="N300" s="371"/>
    </row>
    <row r="301" spans="1:24" ht="15" customHeight="1">
      <c r="A301" s="331"/>
      <c r="B301" s="86"/>
      <c r="C301" s="86"/>
      <c r="D301" s="86"/>
      <c r="E301" s="86"/>
      <c r="F301" s="86"/>
      <c r="G301" s="86"/>
      <c r="H301" s="86"/>
      <c r="I301" s="86"/>
      <c r="J301" s="86"/>
      <c r="K301" s="86"/>
      <c r="L301" s="86"/>
      <c r="M301" s="86"/>
      <c r="N301" s="325"/>
    </row>
    <row r="302" spans="1:24">
      <c r="A302" s="1046" t="s">
        <v>373</v>
      </c>
      <c r="B302" s="1047"/>
      <c r="C302" s="1047"/>
      <c r="D302" s="1047"/>
      <c r="E302" s="1077" t="s">
        <v>376</v>
      </c>
      <c r="F302" s="1077"/>
      <c r="G302" s="548"/>
      <c r="H302" s="1077" t="s">
        <v>378</v>
      </c>
      <c r="I302" s="1077"/>
      <c r="J302" s="548"/>
      <c r="K302" s="1077" t="s">
        <v>377</v>
      </c>
      <c r="L302" s="1077"/>
      <c r="M302" s="1077"/>
      <c r="N302" s="425"/>
    </row>
    <row r="303" spans="1:24" ht="15" customHeight="1">
      <c r="A303" s="1068" t="s">
        <v>374</v>
      </c>
      <c r="B303" s="1069"/>
      <c r="C303" s="1069"/>
      <c r="D303" s="1069"/>
      <c r="E303" s="86">
        <f>C150</f>
        <v>76</v>
      </c>
      <c r="F303" s="86"/>
      <c r="G303" s="86"/>
      <c r="H303" s="89">
        <f>B152</f>
        <v>54</v>
      </c>
      <c r="I303" s="86"/>
      <c r="J303" s="86"/>
      <c r="K303" s="1060">
        <f>D152</f>
        <v>304</v>
      </c>
      <c r="L303" s="1030"/>
      <c r="M303" s="86"/>
      <c r="N303" s="325"/>
    </row>
    <row r="304" spans="1:24">
      <c r="A304" s="1070" t="s">
        <v>29</v>
      </c>
      <c r="B304" s="1071"/>
      <c r="C304" s="1071"/>
      <c r="D304" s="1071"/>
      <c r="E304" s="87">
        <f>D150</f>
        <v>28</v>
      </c>
      <c r="F304" s="87"/>
      <c r="G304" s="87"/>
      <c r="H304" s="90">
        <f>B153</f>
        <v>18</v>
      </c>
      <c r="I304" s="87"/>
      <c r="J304" s="87"/>
      <c r="K304" s="1072">
        <f>D153</f>
        <v>112</v>
      </c>
      <c r="L304" s="1073"/>
      <c r="M304" s="87"/>
      <c r="N304" s="436"/>
    </row>
    <row r="305" spans="1:14">
      <c r="A305" s="1068" t="s">
        <v>56</v>
      </c>
      <c r="B305" s="1069"/>
      <c r="C305" s="1069"/>
      <c r="D305" s="1069"/>
      <c r="E305" s="87">
        <f>E150</f>
        <v>15</v>
      </c>
      <c r="F305" s="87"/>
      <c r="G305" s="87"/>
      <c r="H305" s="90">
        <f>B154</f>
        <v>28</v>
      </c>
      <c r="I305" s="87"/>
      <c r="J305" s="87"/>
      <c r="K305" s="1072">
        <f>D154</f>
        <v>135</v>
      </c>
      <c r="L305" s="1073"/>
      <c r="M305" s="87"/>
      <c r="N305" s="436"/>
    </row>
    <row r="306" spans="1:14">
      <c r="A306" s="1058" t="s">
        <v>375</v>
      </c>
      <c r="B306" s="1059"/>
      <c r="C306" s="1059"/>
      <c r="D306" s="1059"/>
      <c r="E306" s="86"/>
      <c r="F306" s="86"/>
      <c r="G306" s="86"/>
      <c r="H306" s="91">
        <f>SUM(H303:H305)</f>
        <v>100</v>
      </c>
      <c r="I306" s="86"/>
      <c r="J306" s="86"/>
      <c r="K306" s="1060">
        <f>SUM(K303:K305)</f>
        <v>551</v>
      </c>
      <c r="L306" s="1030"/>
      <c r="M306" s="86"/>
      <c r="N306" s="325"/>
    </row>
    <row r="307" spans="1:14">
      <c r="A307" s="1061" t="s">
        <v>379</v>
      </c>
      <c r="B307" s="1062"/>
      <c r="C307" s="1062"/>
      <c r="D307" s="1062"/>
      <c r="E307" s="1062"/>
      <c r="F307" s="1062"/>
      <c r="G307" s="86"/>
      <c r="H307" s="86"/>
      <c r="I307" s="86"/>
      <c r="J307" s="86"/>
      <c r="K307" s="86"/>
      <c r="L307" s="86"/>
      <c r="M307" s="86"/>
      <c r="N307" s="325"/>
    </row>
    <row r="308" spans="1:14" ht="14.1" customHeight="1">
      <c r="A308" s="574"/>
      <c r="B308" s="558"/>
      <c r="C308" s="1063" t="s">
        <v>388</v>
      </c>
      <c r="D308" s="1063"/>
      <c r="E308" s="547"/>
      <c r="F308" s="1064" t="s">
        <v>389</v>
      </c>
      <c r="G308" s="1064"/>
      <c r="H308" s="1064"/>
      <c r="I308" s="1064"/>
      <c r="J308" s="1064"/>
      <c r="K308" s="1064"/>
      <c r="L308" s="1064"/>
      <c r="M308" s="1064"/>
      <c r="N308" s="1065"/>
    </row>
    <row r="309" spans="1:14">
      <c r="A309" s="95" t="s">
        <v>380</v>
      </c>
      <c r="B309" s="86"/>
      <c r="C309" s="105">
        <f>D10</f>
        <v>79</v>
      </c>
      <c r="D309" s="86"/>
      <c r="E309" s="99"/>
      <c r="F309" s="547"/>
      <c r="G309" s="99"/>
      <c r="H309" s="547"/>
      <c r="I309" s="99"/>
      <c r="J309" s="547"/>
      <c r="K309" s="99"/>
      <c r="L309" s="547"/>
      <c r="M309" s="99"/>
      <c r="N309" s="575"/>
    </row>
    <row r="310" spans="1:14" ht="14.1" customHeight="1">
      <c r="A310" s="95" t="s">
        <v>381</v>
      </c>
      <c r="B310" s="86"/>
      <c r="C310" s="105">
        <f>D13</f>
        <v>48.551400000000008</v>
      </c>
      <c r="D310" s="86"/>
      <c r="E310" s="93"/>
      <c r="F310" s="86"/>
      <c r="G310" s="93"/>
      <c r="H310" s="86"/>
      <c r="I310" s="93"/>
      <c r="J310" s="86"/>
      <c r="K310" s="93"/>
      <c r="L310" s="86"/>
      <c r="M310" s="93"/>
      <c r="N310" s="325"/>
    </row>
    <row r="311" spans="1:14">
      <c r="A311" s="96" t="s">
        <v>382</v>
      </c>
      <c r="B311" s="553"/>
      <c r="C311" s="106"/>
      <c r="D311" s="553"/>
      <c r="E311" s="100"/>
      <c r="F311" s="98"/>
      <c r="G311" s="100"/>
      <c r="H311" s="98"/>
      <c r="I311" s="100"/>
      <c r="J311" s="98"/>
      <c r="K311" s="100"/>
      <c r="L311" s="98"/>
      <c r="M311" s="100"/>
      <c r="N311" s="437"/>
    </row>
    <row r="312" spans="1:14">
      <c r="A312" s="301" t="s">
        <v>76</v>
      </c>
      <c r="B312" s="86"/>
      <c r="C312" s="105">
        <f>D14</f>
        <v>65.347560000000016</v>
      </c>
      <c r="D312" s="86"/>
      <c r="E312" s="100"/>
      <c r="F312" s="98"/>
      <c r="G312" s="100"/>
      <c r="H312" s="98"/>
      <c r="I312" s="100"/>
      <c r="J312" s="98"/>
      <c r="K312" s="100"/>
      <c r="L312" s="98"/>
      <c r="M312" s="100"/>
      <c r="N312" s="437"/>
    </row>
    <row r="313" spans="1:14" ht="14.1" customHeight="1">
      <c r="A313" s="95" t="s">
        <v>13</v>
      </c>
      <c r="B313" s="86"/>
      <c r="C313" s="107">
        <f>D15</f>
        <v>140.00985385806896</v>
      </c>
      <c r="D313" s="86"/>
      <c r="E313" s="93"/>
      <c r="F313" s="86"/>
      <c r="G313" s="93"/>
      <c r="H313" s="86"/>
      <c r="I313" s="93"/>
      <c r="J313" s="86"/>
      <c r="K313" s="93"/>
      <c r="L313" s="86"/>
      <c r="M313" s="93"/>
      <c r="N313" s="325"/>
    </row>
    <row r="314" spans="1:14">
      <c r="A314" s="96" t="s">
        <v>383</v>
      </c>
      <c r="B314" s="553"/>
      <c r="C314" s="106">
        <f>E47</f>
        <v>0</v>
      </c>
      <c r="D314" s="553"/>
      <c r="E314" s="99"/>
      <c r="F314" s="547"/>
      <c r="G314" s="99"/>
      <c r="H314" s="547"/>
      <c r="I314" s="99"/>
      <c r="J314" s="547"/>
      <c r="K314" s="99"/>
      <c r="L314" s="547"/>
      <c r="M314" s="99"/>
      <c r="N314" s="575"/>
    </row>
    <row r="315" spans="1:14">
      <c r="A315" s="95" t="s">
        <v>384</v>
      </c>
      <c r="B315" s="86"/>
      <c r="C315" s="105">
        <f>E49</f>
        <v>0</v>
      </c>
      <c r="D315" s="86"/>
      <c r="E315" s="99"/>
      <c r="F315" s="547"/>
      <c r="G315" s="99"/>
      <c r="H315" s="547"/>
      <c r="I315" s="99"/>
      <c r="J315" s="547"/>
      <c r="K315" s="99"/>
      <c r="L315" s="547"/>
      <c r="M315" s="99"/>
      <c r="N315" s="575"/>
    </row>
    <row r="316" spans="1:14">
      <c r="A316" s="95" t="s">
        <v>385</v>
      </c>
      <c r="B316" s="86"/>
      <c r="C316" s="105">
        <f>E50</f>
        <v>0</v>
      </c>
      <c r="D316" s="86"/>
      <c r="E316" s="93"/>
      <c r="F316" s="86"/>
      <c r="G316" s="93"/>
      <c r="H316" s="86"/>
      <c r="I316" s="93"/>
      <c r="J316" s="86"/>
      <c r="K316" s="93"/>
      <c r="L316" s="86"/>
      <c r="M316" s="93"/>
      <c r="N316" s="325"/>
    </row>
    <row r="317" spans="1:14">
      <c r="A317" s="94" t="s">
        <v>77</v>
      </c>
      <c r="B317" s="576"/>
      <c r="C317" s="102">
        <v>0</v>
      </c>
      <c r="D317" s="576"/>
      <c r="E317" s="93"/>
      <c r="F317" s="86"/>
      <c r="G317" s="93"/>
      <c r="H317" s="86"/>
      <c r="I317" s="93"/>
      <c r="J317" s="86"/>
      <c r="K317" s="93"/>
      <c r="L317" s="86"/>
      <c r="M317" s="93"/>
      <c r="N317" s="325"/>
    </row>
    <row r="318" spans="1:14" ht="15" customHeight="1">
      <c r="A318" s="95" t="s">
        <v>386</v>
      </c>
      <c r="B318" s="86"/>
      <c r="C318" s="105"/>
      <c r="D318" s="86"/>
      <c r="E318" s="93"/>
      <c r="F318" s="86"/>
      <c r="G318" s="93"/>
      <c r="H318" s="86"/>
      <c r="I318" s="93"/>
      <c r="J318" s="86"/>
      <c r="K318" s="93"/>
      <c r="L318" s="86"/>
      <c r="M318" s="93"/>
      <c r="N318" s="325"/>
    </row>
    <row r="319" spans="1:14" ht="15" customHeight="1">
      <c r="A319" s="97" t="s">
        <v>387</v>
      </c>
      <c r="B319" s="558"/>
      <c r="C319" s="108"/>
      <c r="D319" s="558"/>
      <c r="E319" s="101"/>
      <c r="F319" s="548"/>
      <c r="G319" s="101"/>
      <c r="H319" s="548"/>
      <c r="I319" s="101"/>
      <c r="J319" s="548"/>
      <c r="K319" s="101"/>
      <c r="L319" s="548"/>
      <c r="M319" s="101"/>
      <c r="N319" s="425"/>
    </row>
    <row r="320" spans="1:14">
      <c r="A320" s="95" t="s">
        <v>357</v>
      </c>
      <c r="B320" s="335"/>
      <c r="C320" s="105"/>
      <c r="D320" s="335"/>
      <c r="E320" s="101"/>
      <c r="F320" s="426"/>
      <c r="G320" s="101"/>
      <c r="H320" s="426"/>
      <c r="I320" s="101"/>
      <c r="J320" s="426"/>
      <c r="K320" s="101"/>
      <c r="L320" s="426"/>
      <c r="M320" s="101"/>
      <c r="N320" s="429"/>
    </row>
    <row r="321" spans="1:14">
      <c r="A321" s="336" t="s">
        <v>20</v>
      </c>
      <c r="B321" s="355"/>
      <c r="C321" s="355"/>
      <c r="D321" s="112" t="s">
        <v>392</v>
      </c>
      <c r="E321" s="1066" t="s">
        <v>388</v>
      </c>
      <c r="F321" s="1067"/>
      <c r="G321" s="427"/>
      <c r="H321" s="430"/>
      <c r="I321" s="427"/>
      <c r="J321" s="427"/>
      <c r="K321" s="427"/>
      <c r="L321" s="427"/>
      <c r="M321" s="427"/>
      <c r="N321" s="428"/>
    </row>
    <row r="322" spans="1:14">
      <c r="A322" s="1054" t="s">
        <v>22</v>
      </c>
      <c r="B322" s="1055"/>
      <c r="C322" s="1055"/>
      <c r="D322" s="161" t="str">
        <f>C55</f>
        <v>12.0-16.0</v>
      </c>
      <c r="E322" s="548"/>
      <c r="F322" s="116">
        <f>E55</f>
        <v>11</v>
      </c>
      <c r="G322" s="548"/>
      <c r="H322" s="116">
        <f>G55</f>
        <v>0</v>
      </c>
      <c r="I322" s="548"/>
      <c r="J322" s="116">
        <f>I55</f>
        <v>0</v>
      </c>
      <c r="K322" s="548"/>
      <c r="L322" s="116">
        <f>K55</f>
        <v>0</v>
      </c>
      <c r="M322" s="158" t="str">
        <f>L55</f>
        <v>ND</v>
      </c>
      <c r="N322" s="425"/>
    </row>
    <row r="323" spans="1:14">
      <c r="A323" s="1054" t="s">
        <v>390</v>
      </c>
      <c r="B323" s="1055"/>
      <c r="C323" s="1055"/>
      <c r="D323" s="162" t="str">
        <f>C57</f>
        <v>36.0-47</v>
      </c>
      <c r="E323" s="86"/>
      <c r="F323" s="95">
        <f>E57</f>
        <v>32</v>
      </c>
      <c r="G323" s="86"/>
      <c r="H323" s="95">
        <f>G57</f>
        <v>0</v>
      </c>
      <c r="I323" s="86"/>
      <c r="J323" s="95">
        <f>I57</f>
        <v>0</v>
      </c>
      <c r="K323" s="86"/>
      <c r="L323" s="95">
        <f>K57</f>
        <v>0</v>
      </c>
      <c r="M323" s="159" t="str">
        <f>L57</f>
        <v>ND</v>
      </c>
      <c r="N323" s="325"/>
    </row>
    <row r="324" spans="1:14" ht="15" customHeight="1">
      <c r="A324" s="1054" t="s">
        <v>391</v>
      </c>
      <c r="B324" s="1055"/>
      <c r="C324" s="1055"/>
      <c r="D324" s="162" t="str">
        <f>C59</f>
        <v>4000-11200</v>
      </c>
      <c r="E324" s="86"/>
      <c r="F324" s="95">
        <f>E59</f>
        <v>12.7</v>
      </c>
      <c r="G324" s="86"/>
      <c r="H324" s="95">
        <f>G59</f>
        <v>0</v>
      </c>
      <c r="I324" s="86"/>
      <c r="J324" s="95">
        <f>I59</f>
        <v>0</v>
      </c>
      <c r="K324" s="86"/>
      <c r="L324" s="95">
        <f>K59</f>
        <v>0</v>
      </c>
      <c r="M324" s="159" t="str">
        <f>L59</f>
        <v>ND</v>
      </c>
      <c r="N324" s="325"/>
    </row>
    <row r="325" spans="1:14">
      <c r="A325" s="1056" t="s">
        <v>25</v>
      </c>
      <c r="B325" s="1057"/>
      <c r="C325" s="1057"/>
      <c r="D325" s="163" t="str">
        <f>C62</f>
        <v>65-110</v>
      </c>
      <c r="E325" s="547"/>
      <c r="F325" s="157">
        <f>E62</f>
        <v>109</v>
      </c>
      <c r="G325" s="547"/>
      <c r="H325" s="157">
        <f>G62</f>
        <v>0</v>
      </c>
      <c r="I325" s="547"/>
      <c r="J325" s="157">
        <f>I62</f>
        <v>0</v>
      </c>
      <c r="K325" s="547"/>
      <c r="L325" s="157">
        <f>K62</f>
        <v>0</v>
      </c>
      <c r="M325" s="160" t="str">
        <f>L62</f>
        <v>ND</v>
      </c>
      <c r="N325" s="575"/>
    </row>
    <row r="326" spans="1:14">
      <c r="A326" s="1054" t="s">
        <v>26</v>
      </c>
      <c r="B326" s="1055"/>
      <c r="C326" s="1055"/>
      <c r="D326" s="164" t="str">
        <f>C64</f>
        <v>14.0-44</v>
      </c>
      <c r="E326" s="547"/>
      <c r="F326" s="157">
        <f>E64</f>
        <v>41</v>
      </c>
      <c r="G326" s="547"/>
      <c r="H326" s="157">
        <f>G64</f>
        <v>0</v>
      </c>
      <c r="I326" s="547"/>
      <c r="J326" s="157">
        <f>I64</f>
        <v>0</v>
      </c>
      <c r="K326" s="547"/>
      <c r="L326" s="157">
        <f>K64</f>
        <v>0</v>
      </c>
      <c r="M326" s="160" t="str">
        <f>L64</f>
        <v>ND</v>
      </c>
      <c r="N326" s="575"/>
    </row>
    <row r="327" spans="1:14">
      <c r="A327" s="1054" t="s">
        <v>27</v>
      </c>
      <c r="B327" s="1055"/>
      <c r="C327" s="1055"/>
      <c r="D327" s="164" t="str">
        <f>C66</f>
        <v>3.4-7.0</v>
      </c>
      <c r="E327" s="547"/>
      <c r="F327" s="157">
        <f>E66</f>
        <v>0</v>
      </c>
      <c r="G327" s="547"/>
      <c r="H327" s="157">
        <f>G66</f>
        <v>0</v>
      </c>
      <c r="I327" s="547"/>
      <c r="J327" s="157">
        <f>I66</f>
        <v>0</v>
      </c>
      <c r="K327" s="547"/>
      <c r="L327" s="157">
        <f>K66</f>
        <v>0</v>
      </c>
      <c r="M327" s="160" t="str">
        <f>L66</f>
        <v>ND</v>
      </c>
      <c r="N327" s="575"/>
    </row>
    <row r="328" spans="1:14">
      <c r="A328" s="1054" t="s">
        <v>28</v>
      </c>
      <c r="B328" s="1055"/>
      <c r="C328" s="1055"/>
      <c r="D328" s="162" t="str">
        <f>C68</f>
        <v>0.5-1.6</v>
      </c>
      <c r="E328" s="547"/>
      <c r="F328" s="157">
        <f>E68</f>
        <v>0</v>
      </c>
      <c r="G328" s="547"/>
      <c r="H328" s="157">
        <f>G68</f>
        <v>0</v>
      </c>
      <c r="I328" s="547"/>
      <c r="J328" s="157">
        <f>I68</f>
        <v>0</v>
      </c>
      <c r="K328" s="547"/>
      <c r="L328" s="157">
        <f>K68</f>
        <v>0</v>
      </c>
      <c r="M328" s="160" t="str">
        <f>L68</f>
        <v>ND</v>
      </c>
      <c r="N328" s="575"/>
    </row>
    <row r="329" spans="1:14">
      <c r="A329" s="1054" t="s">
        <v>30</v>
      </c>
      <c r="B329" s="1055"/>
      <c r="C329" s="1055"/>
      <c r="D329" s="162" t="str">
        <f>C71</f>
        <v>6.4-8.3</v>
      </c>
      <c r="E329" s="547"/>
      <c r="F329" s="157">
        <f>E71</f>
        <v>0</v>
      </c>
      <c r="G329" s="547"/>
      <c r="H329" s="157">
        <f>G71</f>
        <v>0</v>
      </c>
      <c r="I329" s="547"/>
      <c r="J329" s="157">
        <f>I71</f>
        <v>0</v>
      </c>
      <c r="K329" s="547"/>
      <c r="L329" s="157">
        <f>K71</f>
        <v>0</v>
      </c>
      <c r="M329" s="160" t="str">
        <f>L71</f>
        <v>ND</v>
      </c>
      <c r="N329" s="575"/>
    </row>
    <row r="330" spans="1:14">
      <c r="A330" s="1054" t="s">
        <v>31</v>
      </c>
      <c r="B330" s="1055"/>
      <c r="C330" s="1055"/>
      <c r="D330" s="162" t="str">
        <f>C73</f>
        <v>3.4- 5.0</v>
      </c>
      <c r="E330" s="547"/>
      <c r="F330" s="157">
        <f>E73</f>
        <v>0</v>
      </c>
      <c r="G330" s="547"/>
      <c r="H330" s="157">
        <f>G73</f>
        <v>0</v>
      </c>
      <c r="I330" s="547"/>
      <c r="J330" s="157">
        <f>I73</f>
        <v>0</v>
      </c>
      <c r="K330" s="547"/>
      <c r="L330" s="157">
        <f>K73</f>
        <v>0</v>
      </c>
      <c r="M330" s="160" t="str">
        <f>L73</f>
        <v>ND</v>
      </c>
      <c r="N330" s="575"/>
    </row>
    <row r="331" spans="1:14">
      <c r="A331" s="1054" t="s">
        <v>36</v>
      </c>
      <c r="B331" s="1055"/>
      <c r="C331" s="1055"/>
      <c r="D331" s="162"/>
      <c r="E331" s="547"/>
      <c r="F331" s="157"/>
      <c r="G331" s="547"/>
      <c r="H331" s="157"/>
      <c r="I331" s="547"/>
      <c r="J331" s="157"/>
      <c r="K331" s="547"/>
      <c r="L331" s="157"/>
      <c r="M331" s="160"/>
      <c r="N331" s="575"/>
    </row>
    <row r="332" spans="1:14">
      <c r="A332" s="1054" t="s">
        <v>32</v>
      </c>
      <c r="B332" s="1055"/>
      <c r="C332" s="1055"/>
      <c r="D332" s="162"/>
      <c r="E332" s="547"/>
      <c r="F332" s="157"/>
      <c r="G332" s="547"/>
      <c r="H332" s="157"/>
      <c r="I332" s="547"/>
      <c r="J332" s="157"/>
      <c r="K332" s="547"/>
      <c r="L332" s="157"/>
      <c r="M332" s="160"/>
      <c r="N332" s="575"/>
    </row>
    <row r="333" spans="1:14" ht="15" customHeight="1">
      <c r="A333" s="1054" t="s">
        <v>33</v>
      </c>
      <c r="B333" s="1055"/>
      <c r="C333" s="1055"/>
      <c r="D333" s="162" t="str">
        <f>C76</f>
        <v>140-200mg</v>
      </c>
      <c r="E333" s="86"/>
      <c r="F333" s="95">
        <f>E76</f>
        <v>0</v>
      </c>
      <c r="G333" s="86"/>
      <c r="H333" s="95">
        <f>G76</f>
        <v>0</v>
      </c>
      <c r="I333" s="86"/>
      <c r="J333" s="95">
        <f>I76</f>
        <v>0</v>
      </c>
      <c r="K333" s="86"/>
      <c r="L333" s="95">
        <f>K76</f>
        <v>0</v>
      </c>
      <c r="M333" s="159" t="str">
        <f>L76</f>
        <v>ND</v>
      </c>
      <c r="N333" s="325"/>
    </row>
    <row r="334" spans="1:14">
      <c r="A334" s="1052" t="s">
        <v>34</v>
      </c>
      <c r="B334" s="1053"/>
      <c r="C334" s="1053"/>
      <c r="D334" s="165" t="str">
        <f>C78</f>
        <v>40-160</v>
      </c>
      <c r="E334" s="548"/>
      <c r="F334" s="116">
        <f>E78</f>
        <v>0</v>
      </c>
      <c r="G334" s="548"/>
      <c r="H334" s="116">
        <f>G78</f>
        <v>0</v>
      </c>
      <c r="I334" s="548"/>
      <c r="J334" s="116">
        <f>I78</f>
        <v>0</v>
      </c>
      <c r="K334" s="548"/>
      <c r="L334" s="116">
        <f>K78</f>
        <v>0</v>
      </c>
      <c r="M334" s="158" t="str">
        <f>L78</f>
        <v>ND</v>
      </c>
      <c r="N334" s="425"/>
    </row>
    <row r="335" spans="1:14">
      <c r="A335" s="1054" t="s">
        <v>35</v>
      </c>
      <c r="B335" s="1055"/>
      <c r="C335" s="1055"/>
      <c r="D335" s="162"/>
      <c r="E335" s="548"/>
      <c r="F335" s="116"/>
      <c r="G335" s="548"/>
      <c r="H335" s="116"/>
      <c r="I335" s="548"/>
      <c r="J335" s="116"/>
      <c r="K335" s="548"/>
      <c r="L335" s="116"/>
      <c r="M335" s="158"/>
      <c r="N335" s="425"/>
    </row>
    <row r="336" spans="1:14">
      <c r="A336" s="1054" t="s">
        <v>357</v>
      </c>
      <c r="B336" s="1055"/>
      <c r="C336" s="1055"/>
      <c r="D336" s="162"/>
      <c r="E336" s="548"/>
      <c r="F336" s="116"/>
      <c r="G336" s="548"/>
      <c r="H336" s="116"/>
      <c r="I336" s="548"/>
      <c r="J336" s="116"/>
      <c r="K336" s="548"/>
      <c r="L336" s="116"/>
      <c r="M336" s="158"/>
      <c r="N336" s="425"/>
    </row>
    <row r="337" spans="1:14">
      <c r="A337" s="331"/>
      <c r="B337" s="86"/>
      <c r="C337" s="86"/>
      <c r="D337" s="86"/>
      <c r="E337" s="548"/>
      <c r="F337" s="548"/>
      <c r="G337" s="548"/>
      <c r="H337" s="548"/>
      <c r="I337" s="548"/>
      <c r="J337" s="548"/>
      <c r="K337" s="548"/>
      <c r="L337" s="548"/>
      <c r="M337" s="548"/>
      <c r="N337" s="425"/>
    </row>
    <row r="338" spans="1:14" ht="15" customHeight="1">
      <c r="A338" s="1037" t="s">
        <v>544</v>
      </c>
      <c r="B338" s="1038"/>
      <c r="C338" s="1038"/>
      <c r="D338" s="1038"/>
      <c r="E338" s="1038"/>
      <c r="F338" s="1038"/>
      <c r="G338" s="1038"/>
      <c r="H338" s="1038"/>
      <c r="I338" s="1038"/>
      <c r="J338" s="1038"/>
      <c r="K338" s="1038"/>
      <c r="L338" s="1038"/>
      <c r="M338" s="1038"/>
      <c r="N338" s="1039"/>
    </row>
    <row r="339" spans="1:14">
      <c r="A339" s="1002"/>
      <c r="B339" s="1003"/>
      <c r="C339" s="1003"/>
      <c r="D339" s="1003"/>
      <c r="E339" s="1003"/>
      <c r="F339" s="1003"/>
      <c r="G339" s="1003"/>
      <c r="H339" s="1003"/>
      <c r="I339" s="1003"/>
      <c r="J339" s="1003"/>
      <c r="K339" s="1003"/>
      <c r="L339" s="1003"/>
      <c r="M339" s="1003"/>
      <c r="N339" s="1040"/>
    </row>
    <row r="340" spans="1:14">
      <c r="A340" s="1002"/>
      <c r="B340" s="1003"/>
      <c r="C340" s="1003"/>
      <c r="D340" s="1003"/>
      <c r="E340" s="1003"/>
      <c r="F340" s="1003"/>
      <c r="G340" s="1003"/>
      <c r="H340" s="1003"/>
      <c r="I340" s="1003"/>
      <c r="J340" s="1003"/>
      <c r="K340" s="1003"/>
      <c r="L340" s="1003"/>
      <c r="M340" s="1003"/>
      <c r="N340" s="1040"/>
    </row>
    <row r="341" spans="1:14">
      <c r="A341" s="1002"/>
      <c r="B341" s="1003"/>
      <c r="C341" s="1003"/>
      <c r="D341" s="1003"/>
      <c r="E341" s="1003"/>
      <c r="F341" s="1003"/>
      <c r="G341" s="1003"/>
      <c r="H341" s="1003"/>
      <c r="I341" s="1003"/>
      <c r="J341" s="1003"/>
      <c r="K341" s="1003"/>
      <c r="L341" s="1003"/>
      <c r="M341" s="1003"/>
      <c r="N341" s="1040"/>
    </row>
    <row r="342" spans="1:14">
      <c r="A342" s="1041"/>
      <c r="B342" s="1042"/>
      <c r="C342" s="1042"/>
      <c r="D342" s="1042"/>
      <c r="E342" s="1042"/>
      <c r="F342" s="1042"/>
      <c r="G342" s="1042"/>
      <c r="H342" s="1042"/>
      <c r="I342" s="1042"/>
      <c r="J342" s="1042"/>
      <c r="K342" s="1042"/>
      <c r="L342" s="1042"/>
      <c r="M342" s="1042"/>
      <c r="N342" s="1043"/>
    </row>
    <row r="343" spans="1:14">
      <c r="A343" s="1037"/>
      <c r="B343" s="1038"/>
      <c r="C343" s="1038"/>
      <c r="D343" s="1038"/>
      <c r="E343" s="1038"/>
      <c r="F343" s="1038"/>
      <c r="G343" s="1038"/>
      <c r="H343" s="1038"/>
      <c r="I343" s="1038"/>
      <c r="J343" s="1038"/>
      <c r="K343" s="1038"/>
      <c r="L343" s="1038"/>
      <c r="M343" s="1038"/>
      <c r="N343" s="1039"/>
    </row>
    <row r="344" spans="1:14" ht="17.100000000000001" customHeight="1">
      <c r="A344" s="1002"/>
      <c r="B344" s="1003"/>
      <c r="C344" s="1003"/>
      <c r="D344" s="1003"/>
      <c r="E344" s="1003"/>
      <c r="F344" s="1003"/>
      <c r="G344" s="1003"/>
      <c r="H344" s="1003"/>
      <c r="I344" s="1003"/>
      <c r="J344" s="1003"/>
      <c r="K344" s="1003"/>
      <c r="L344" s="1003"/>
      <c r="M344" s="1003"/>
      <c r="N344" s="1040"/>
    </row>
    <row r="345" spans="1:14" ht="15" customHeight="1">
      <c r="A345" s="1002"/>
      <c r="B345" s="1003"/>
      <c r="C345" s="1003"/>
      <c r="D345" s="1003"/>
      <c r="E345" s="1003"/>
      <c r="F345" s="1003"/>
      <c r="G345" s="1003"/>
      <c r="H345" s="1003"/>
      <c r="I345" s="1003"/>
      <c r="J345" s="1003"/>
      <c r="K345" s="1003"/>
      <c r="L345" s="1003"/>
      <c r="M345" s="1003"/>
      <c r="N345" s="1040"/>
    </row>
    <row r="346" spans="1:14" ht="15.75" customHeight="1">
      <c r="A346" s="1002"/>
      <c r="B346" s="1003"/>
      <c r="C346" s="1003"/>
      <c r="D346" s="1003"/>
      <c r="E346" s="1003"/>
      <c r="F346" s="1003"/>
      <c r="G346" s="1003"/>
      <c r="H346" s="1003"/>
      <c r="I346" s="1003"/>
      <c r="J346" s="1003"/>
      <c r="K346" s="1003"/>
      <c r="L346" s="1003"/>
      <c r="M346" s="1003"/>
      <c r="N346" s="1040"/>
    </row>
    <row r="347" spans="1:14">
      <c r="A347" s="1041"/>
      <c r="B347" s="1042"/>
      <c r="C347" s="1042"/>
      <c r="D347" s="1042"/>
      <c r="E347" s="1042"/>
      <c r="F347" s="1042"/>
      <c r="G347" s="1042"/>
      <c r="H347" s="1042"/>
      <c r="I347" s="1042"/>
      <c r="J347" s="1042"/>
      <c r="K347" s="1042"/>
      <c r="L347" s="1042"/>
      <c r="M347" s="1042"/>
      <c r="N347" s="1043"/>
    </row>
    <row r="348" spans="1:14">
      <c r="A348" s="1037"/>
      <c r="B348" s="1038"/>
      <c r="C348" s="1038"/>
      <c r="D348" s="1038"/>
      <c r="E348" s="1038"/>
      <c r="F348" s="1038"/>
      <c r="G348" s="1038"/>
      <c r="H348" s="1038"/>
      <c r="I348" s="1038"/>
      <c r="J348" s="1038"/>
      <c r="K348" s="1038"/>
      <c r="L348" s="1038"/>
      <c r="M348" s="1038"/>
      <c r="N348" s="1039"/>
    </row>
    <row r="349" spans="1:14">
      <c r="A349" s="1002"/>
      <c r="B349" s="1003"/>
      <c r="C349" s="1003"/>
      <c r="D349" s="1003"/>
      <c r="E349" s="1003"/>
      <c r="F349" s="1003"/>
      <c r="G349" s="1003"/>
      <c r="H349" s="1003"/>
      <c r="I349" s="1003"/>
      <c r="J349" s="1003"/>
      <c r="K349" s="1003"/>
      <c r="L349" s="1003"/>
      <c r="M349" s="1003"/>
      <c r="N349" s="1040"/>
    </row>
    <row r="350" spans="1:14">
      <c r="A350" s="1002"/>
      <c r="B350" s="1003"/>
      <c r="C350" s="1003"/>
      <c r="D350" s="1003"/>
      <c r="E350" s="1003"/>
      <c r="F350" s="1003"/>
      <c r="G350" s="1003"/>
      <c r="H350" s="1003"/>
      <c r="I350" s="1003"/>
      <c r="J350" s="1003"/>
      <c r="K350" s="1003"/>
      <c r="L350" s="1003"/>
      <c r="M350" s="1003"/>
      <c r="N350" s="1040"/>
    </row>
    <row r="351" spans="1:14">
      <c r="A351" s="1002"/>
      <c r="B351" s="1003"/>
      <c r="C351" s="1003"/>
      <c r="D351" s="1003"/>
      <c r="E351" s="1003"/>
      <c r="F351" s="1003"/>
      <c r="G351" s="1003"/>
      <c r="H351" s="1003"/>
      <c r="I351" s="1003"/>
      <c r="J351" s="1003"/>
      <c r="K351" s="1003"/>
      <c r="L351" s="1003"/>
      <c r="M351" s="1003"/>
      <c r="N351" s="1040"/>
    </row>
    <row r="352" spans="1:14">
      <c r="A352" s="1041"/>
      <c r="B352" s="1042"/>
      <c r="C352" s="1042"/>
      <c r="D352" s="1042"/>
      <c r="E352" s="1042"/>
      <c r="F352" s="1042"/>
      <c r="G352" s="1042"/>
      <c r="H352" s="1042"/>
      <c r="I352" s="1042"/>
      <c r="J352" s="1042"/>
      <c r="K352" s="1042"/>
      <c r="L352" s="1042"/>
      <c r="M352" s="1042"/>
      <c r="N352" s="1043"/>
    </row>
    <row r="353" spans="1:18">
      <c r="A353" s="1037"/>
      <c r="B353" s="1038"/>
      <c r="C353" s="1038"/>
      <c r="D353" s="1038"/>
      <c r="E353" s="1038"/>
      <c r="F353" s="1038"/>
      <c r="G353" s="1038"/>
      <c r="H353" s="1038"/>
      <c r="I353" s="1038"/>
      <c r="J353" s="1038"/>
      <c r="K353" s="1038"/>
      <c r="L353" s="1038"/>
      <c r="M353" s="1038"/>
      <c r="N353" s="1039"/>
    </row>
    <row r="354" spans="1:18">
      <c r="A354" s="1002"/>
      <c r="B354" s="1003"/>
      <c r="C354" s="1003"/>
      <c r="D354" s="1003"/>
      <c r="E354" s="1003"/>
      <c r="F354" s="1003"/>
      <c r="G354" s="1003"/>
      <c r="H354" s="1003"/>
      <c r="I354" s="1003"/>
      <c r="J354" s="1003"/>
      <c r="K354" s="1003"/>
      <c r="L354" s="1003"/>
      <c r="M354" s="1003"/>
      <c r="N354" s="1040"/>
    </row>
    <row r="355" spans="1:18" ht="15.75" customHeight="1">
      <c r="A355" s="1002"/>
      <c r="B355" s="1003"/>
      <c r="C355" s="1003"/>
      <c r="D355" s="1003"/>
      <c r="E355" s="1003"/>
      <c r="F355" s="1003"/>
      <c r="G355" s="1003"/>
      <c r="H355" s="1003"/>
      <c r="I355" s="1003"/>
      <c r="J355" s="1003"/>
      <c r="K355" s="1003"/>
      <c r="L355" s="1003"/>
      <c r="M355" s="1003"/>
      <c r="N355" s="1040"/>
    </row>
    <row r="356" spans="1:18">
      <c r="A356" s="1002"/>
      <c r="B356" s="1003"/>
      <c r="C356" s="1003"/>
      <c r="D356" s="1003"/>
      <c r="E356" s="1003"/>
      <c r="F356" s="1003"/>
      <c r="G356" s="1003"/>
      <c r="H356" s="1003"/>
      <c r="I356" s="1003"/>
      <c r="J356" s="1003"/>
      <c r="K356" s="1003"/>
      <c r="L356" s="1003"/>
      <c r="M356" s="1003"/>
      <c r="N356" s="1040"/>
    </row>
    <row r="357" spans="1:18">
      <c r="A357" s="1041"/>
      <c r="B357" s="1042"/>
      <c r="C357" s="1042"/>
      <c r="D357" s="1042"/>
      <c r="E357" s="1042"/>
      <c r="F357" s="1042"/>
      <c r="G357" s="1042"/>
      <c r="H357" s="1042"/>
      <c r="I357" s="1042"/>
      <c r="J357" s="1042"/>
      <c r="K357" s="1042"/>
      <c r="L357" s="1042"/>
      <c r="M357" s="1042"/>
      <c r="N357" s="1043"/>
      <c r="P357" s="2"/>
      <c r="Q357" s="2"/>
      <c r="R357" s="2"/>
    </row>
    <row r="358" spans="1:18">
      <c r="A358" s="331"/>
      <c r="B358" s="86"/>
      <c r="C358" s="86"/>
      <c r="D358" s="86"/>
      <c r="E358" s="86"/>
      <c r="F358" s="86"/>
      <c r="G358" s="86"/>
      <c r="H358" s="86"/>
      <c r="I358" s="86"/>
      <c r="J358" s="86"/>
      <c r="K358" s="86"/>
      <c r="L358" s="86"/>
      <c r="M358" s="86"/>
      <c r="N358" s="325"/>
      <c r="P358" s="2"/>
      <c r="Q358" s="2"/>
      <c r="R358" s="2"/>
    </row>
    <row r="359" spans="1:18">
      <c r="A359" s="331"/>
      <c r="B359" s="86"/>
      <c r="C359" s="86"/>
      <c r="D359" s="86"/>
      <c r="E359" s="86"/>
      <c r="F359" s="86"/>
      <c r="G359" s="86"/>
      <c r="H359" s="86"/>
      <c r="I359" s="86"/>
      <c r="J359" s="86"/>
      <c r="K359" s="86"/>
      <c r="L359" s="86"/>
      <c r="M359" s="86"/>
      <c r="N359" s="325"/>
      <c r="O359" s="2"/>
    </row>
    <row r="360" spans="1:18" ht="15.75">
      <c r="A360" s="1044"/>
      <c r="B360" s="1045"/>
      <c r="C360" s="86"/>
      <c r="D360" s="86"/>
      <c r="E360" s="86"/>
      <c r="F360" s="86"/>
      <c r="G360" s="86"/>
      <c r="H360" s="86"/>
      <c r="I360" s="86"/>
      <c r="J360" s="86"/>
      <c r="K360" s="86"/>
      <c r="L360" s="86"/>
      <c r="M360" s="86"/>
      <c r="N360" s="325"/>
      <c r="O360" s="2"/>
      <c r="P360" s="2"/>
      <c r="Q360" s="2"/>
      <c r="R360" s="2"/>
    </row>
    <row r="361" spans="1:18">
      <c r="A361" s="331"/>
      <c r="B361" s="86"/>
      <c r="C361" s="86"/>
      <c r="D361" s="86"/>
      <c r="E361" s="86"/>
      <c r="F361" s="86"/>
      <c r="G361" s="86"/>
      <c r="H361" s="86"/>
      <c r="I361" s="86"/>
      <c r="J361" s="86"/>
      <c r="K361" s="86"/>
      <c r="L361" s="86"/>
      <c r="M361" s="86"/>
      <c r="N361" s="325"/>
      <c r="O361" s="4"/>
      <c r="P361" s="36"/>
      <c r="Q361" s="36"/>
      <c r="R361" s="36"/>
    </row>
    <row r="362" spans="1:18">
      <c r="A362" s="1046" t="s">
        <v>404</v>
      </c>
      <c r="B362" s="1047"/>
      <c r="C362" s="1047"/>
      <c r="D362" s="1047"/>
      <c r="E362" s="1047"/>
      <c r="F362" s="88" t="str">
        <f>C38</f>
        <v>x</v>
      </c>
      <c r="G362" s="110"/>
      <c r="H362" s="110"/>
      <c r="I362" s="110"/>
      <c r="J362" s="110"/>
      <c r="K362" s="110"/>
      <c r="L362" s="110"/>
      <c r="M362" s="110"/>
      <c r="N362" s="431"/>
      <c r="O362" s="2"/>
      <c r="P362" s="2"/>
    </row>
    <row r="363" spans="1:18" ht="15" customHeight="1">
      <c r="A363" s="1048"/>
      <c r="B363" s="1030"/>
      <c r="C363" s="86"/>
      <c r="D363" s="86"/>
      <c r="E363" s="86"/>
      <c r="F363" s="86"/>
      <c r="G363" s="86"/>
      <c r="H363" s="86"/>
      <c r="I363" s="86"/>
      <c r="J363" s="86"/>
      <c r="K363" s="86"/>
      <c r="L363" s="86"/>
      <c r="M363" s="86"/>
      <c r="N363" s="325"/>
      <c r="O363" s="36"/>
      <c r="P363" s="2"/>
    </row>
    <row r="364" spans="1:18">
      <c r="A364" s="1046"/>
      <c r="B364" s="1047"/>
      <c r="C364" s="1047"/>
      <c r="D364" s="1047"/>
      <c r="E364" s="1047"/>
      <c r="F364" s="221"/>
      <c r="G364" s="221"/>
      <c r="H364" s="221"/>
      <c r="I364" s="221"/>
      <c r="J364" s="221"/>
      <c r="K364" s="221"/>
      <c r="L364" s="221"/>
      <c r="M364" s="221"/>
      <c r="N364" s="305"/>
      <c r="O364" s="2"/>
    </row>
    <row r="365" spans="1:18">
      <c r="A365" s="638"/>
      <c r="B365" s="639"/>
      <c r="C365" s="639"/>
      <c r="D365" s="639"/>
      <c r="E365" s="639"/>
      <c r="F365" s="221"/>
      <c r="G365" s="221"/>
      <c r="H365" s="221"/>
      <c r="I365" s="221"/>
      <c r="J365" s="221"/>
      <c r="K365" s="221"/>
      <c r="L365" s="221"/>
      <c r="M365" s="221"/>
      <c r="N365" s="305"/>
      <c r="O365" s="2"/>
    </row>
    <row r="366" spans="1:18">
      <c r="A366" s="563"/>
      <c r="B366" s="546"/>
      <c r="C366" s="546"/>
      <c r="D366" s="546"/>
      <c r="E366" s="546"/>
      <c r="F366" s="221"/>
      <c r="G366" s="221"/>
      <c r="H366" s="221"/>
      <c r="I366" s="221"/>
      <c r="J366" s="221"/>
      <c r="K366" s="221"/>
      <c r="L366" s="221"/>
      <c r="M366" s="221"/>
      <c r="N366" s="305"/>
      <c r="O366" s="2"/>
    </row>
    <row r="367" spans="1:18">
      <c r="A367" s="351"/>
      <c r="B367" s="335"/>
      <c r="C367" s="335"/>
      <c r="D367" s="335"/>
      <c r="E367" s="335"/>
      <c r="F367" s="306"/>
      <c r="G367" s="306"/>
      <c r="H367" s="306"/>
      <c r="I367" s="306"/>
      <c r="J367" s="306"/>
      <c r="K367" s="306"/>
      <c r="L367" s="306"/>
      <c r="M367" s="306"/>
      <c r="N367" s="432"/>
      <c r="O367" s="4"/>
    </row>
    <row r="368" spans="1:18">
      <c r="A368" s="336"/>
      <c r="B368" s="343" t="s">
        <v>71</v>
      </c>
      <c r="C368" s="343"/>
      <c r="D368" s="343"/>
      <c r="E368" s="343"/>
      <c r="F368" s="344"/>
      <c r="G368" s="344"/>
      <c r="H368" s="344"/>
      <c r="I368" s="344"/>
      <c r="J368" s="344"/>
      <c r="K368" s="344"/>
      <c r="L368" s="344"/>
      <c r="M368" s="344"/>
      <c r="N368" s="345"/>
      <c r="O368" s="37"/>
    </row>
    <row r="369" spans="1:17">
      <c r="A369" s="337"/>
      <c r="B369" s="334" t="s">
        <v>471</v>
      </c>
      <c r="C369" s="334"/>
      <c r="D369" s="334"/>
      <c r="E369" s="334"/>
      <c r="F369" s="334"/>
      <c r="G369" s="334"/>
      <c r="H369" s="333"/>
      <c r="I369" s="333"/>
      <c r="J369" s="333"/>
      <c r="K369" s="333"/>
      <c r="L369" s="333"/>
      <c r="M369" s="333"/>
      <c r="N369" s="346"/>
    </row>
    <row r="370" spans="1:17">
      <c r="A370" s="1049" t="s">
        <v>1</v>
      </c>
      <c r="B370" s="1050"/>
      <c r="C370" s="1050"/>
      <c r="D370" s="1050"/>
      <c r="E370" s="1050"/>
      <c r="F370" s="1050"/>
      <c r="G370" s="1050"/>
      <c r="H370" s="1050"/>
      <c r="I370" s="1050"/>
      <c r="J370" s="1050"/>
      <c r="K370" s="1050"/>
      <c r="L370" s="1050"/>
      <c r="M370" s="1050"/>
      <c r="N370" s="1051"/>
    </row>
    <row r="371" spans="1:17">
      <c r="A371" s="1027" t="s">
        <v>472</v>
      </c>
      <c r="B371" s="1028"/>
      <c r="C371" s="1028"/>
      <c r="D371" s="1028"/>
      <c r="E371" s="1028"/>
      <c r="F371" s="1028"/>
      <c r="G371" s="1028"/>
      <c r="H371" s="1028"/>
      <c r="I371" s="1028"/>
      <c r="J371" s="1028"/>
      <c r="K371" s="1028"/>
      <c r="L371" s="1028"/>
      <c r="M371" s="1028"/>
      <c r="N371" s="1029"/>
      <c r="O371" s="497">
        <v>8</v>
      </c>
    </row>
    <row r="372" spans="1:17">
      <c r="A372" s="338" t="s">
        <v>473</v>
      </c>
      <c r="B372" s="1030" t="s">
        <v>474</v>
      </c>
      <c r="C372" s="1030"/>
      <c r="D372" s="1030"/>
      <c r="E372" s="86"/>
      <c r="F372" s="86"/>
      <c r="G372" s="86"/>
      <c r="H372" s="86" t="s">
        <v>396</v>
      </c>
      <c r="I372" s="554"/>
      <c r="J372" s="554"/>
      <c r="K372" s="554"/>
      <c r="L372" s="86"/>
      <c r="M372" s="86"/>
      <c r="N372" s="347"/>
      <c r="O372" s="497">
        <v>7</v>
      </c>
    </row>
    <row r="373" spans="1:17">
      <c r="A373" s="569" t="s">
        <v>475</v>
      </c>
      <c r="B373" s="1030"/>
      <c r="C373" s="1030"/>
      <c r="D373" s="1030"/>
      <c r="E373" s="1030"/>
      <c r="F373" s="1030"/>
      <c r="G373" s="1030"/>
      <c r="H373" s="1030"/>
      <c r="I373" s="1030"/>
      <c r="J373" s="1030"/>
      <c r="K373" s="1030"/>
      <c r="L373" s="1030"/>
      <c r="M373" s="1030"/>
      <c r="N373" s="325"/>
      <c r="O373" s="497">
        <v>6</v>
      </c>
    </row>
    <row r="374" spans="1:17" ht="15.75" thickBot="1">
      <c r="A374" s="339" t="s">
        <v>291</v>
      </c>
      <c r="B374" s="1030"/>
      <c r="C374" s="1030"/>
      <c r="D374" s="1030"/>
      <c r="E374" s="1030"/>
      <c r="F374" s="86"/>
      <c r="G374" s="86" t="s">
        <v>476</v>
      </c>
      <c r="H374" s="555" t="s">
        <v>478</v>
      </c>
      <c r="I374" s="549"/>
      <c r="J374" s="86" t="s">
        <v>477</v>
      </c>
      <c r="K374" s="86"/>
      <c r="L374" s="86"/>
      <c r="M374" s="86"/>
      <c r="N374" s="325"/>
      <c r="O374" s="497">
        <v>5</v>
      </c>
      <c r="Q374" s="33"/>
    </row>
    <row r="375" spans="1:17" ht="15" customHeight="1" thickBot="1">
      <c r="A375" s="340" t="s">
        <v>480</v>
      </c>
      <c r="B375" s="311"/>
      <c r="C375" s="311"/>
      <c r="D375" s="311"/>
      <c r="E375" s="311"/>
      <c r="F375" s="312"/>
      <c r="G375" s="312"/>
      <c r="H375" s="312"/>
      <c r="I375" s="312"/>
      <c r="J375" s="312"/>
      <c r="K375" s="1031" t="s">
        <v>15</v>
      </c>
      <c r="L375" s="1032"/>
      <c r="M375" s="1032"/>
      <c r="N375" s="1033"/>
      <c r="O375" s="497">
        <v>4</v>
      </c>
      <c r="Q375" s="33"/>
    </row>
    <row r="376" spans="1:17" ht="15.75" thickBot="1">
      <c r="A376" s="331" t="s">
        <v>481</v>
      </c>
      <c r="B376" s="86"/>
      <c r="C376" s="86"/>
      <c r="D376" s="86"/>
      <c r="E376" s="86"/>
      <c r="F376" s="302"/>
      <c r="G376" s="312"/>
      <c r="H376" s="302" t="s">
        <v>402</v>
      </c>
      <c r="I376" s="302"/>
      <c r="J376" s="318"/>
      <c r="K376" s="302"/>
      <c r="L376" s="318"/>
      <c r="M376" s="318"/>
      <c r="N376" s="318"/>
      <c r="O376" s="497" t="s">
        <v>478</v>
      </c>
    </row>
    <row r="377" spans="1:17">
      <c r="A377" s="331" t="s">
        <v>482</v>
      </c>
      <c r="B377" s="86"/>
      <c r="C377" s="86"/>
      <c r="D377" s="86"/>
      <c r="E377" s="86"/>
      <c r="F377" s="302"/>
      <c r="G377" s="302"/>
      <c r="H377" s="302"/>
      <c r="I377" s="302"/>
      <c r="J377" s="303"/>
      <c r="K377" s="302"/>
      <c r="L377" s="303"/>
      <c r="M377" s="303"/>
      <c r="N377" s="303"/>
      <c r="O377" s="498" t="s">
        <v>479</v>
      </c>
    </row>
    <row r="378" spans="1:17" ht="15.75" thickBot="1">
      <c r="A378" s="331" t="s">
        <v>483</v>
      </c>
      <c r="B378" s="86"/>
      <c r="C378" s="86"/>
      <c r="D378" s="316"/>
      <c r="E378" s="86"/>
      <c r="F378" s="302"/>
      <c r="G378" s="302"/>
      <c r="H378" s="302"/>
      <c r="I378" s="302"/>
      <c r="J378" s="303"/>
      <c r="K378" s="302"/>
      <c r="L378" s="303"/>
      <c r="M378" s="303"/>
      <c r="N378" s="303"/>
      <c r="O378" s="498">
        <v>2</v>
      </c>
    </row>
    <row r="379" spans="1:17" ht="15.75" thickBot="1">
      <c r="A379" s="331" t="s">
        <v>484</v>
      </c>
      <c r="B379" s="86"/>
      <c r="C379" s="86"/>
      <c r="D379" s="313"/>
      <c r="E379" s="86"/>
      <c r="F379" s="302"/>
      <c r="G379" s="302"/>
      <c r="H379" s="302"/>
      <c r="I379" s="302"/>
      <c r="J379" s="303"/>
      <c r="K379" s="302"/>
      <c r="L379" s="303"/>
      <c r="M379" s="303"/>
      <c r="N379" s="303"/>
      <c r="O379" s="32"/>
    </row>
    <row r="380" spans="1:17" ht="15.75" thickBot="1">
      <c r="A380" s="331" t="s">
        <v>485</v>
      </c>
      <c r="B380" s="86"/>
      <c r="C380" s="316"/>
      <c r="D380" s="86"/>
      <c r="E380" s="86"/>
      <c r="F380" s="302"/>
      <c r="G380" s="302"/>
      <c r="H380" s="302"/>
      <c r="I380" s="302"/>
      <c r="J380" s="303"/>
      <c r="K380" s="302"/>
      <c r="L380" s="303"/>
      <c r="M380" s="303"/>
      <c r="N380" s="303"/>
      <c r="O380" s="32"/>
    </row>
    <row r="381" spans="1:17" ht="15.75" thickBot="1">
      <c r="A381" s="332" t="s">
        <v>486</v>
      </c>
      <c r="B381" s="313"/>
      <c r="C381" s="313"/>
      <c r="D381" s="313"/>
      <c r="E381" s="313"/>
      <c r="F381" s="312"/>
      <c r="G381" s="312"/>
      <c r="H381" s="312"/>
      <c r="I381" s="312"/>
      <c r="J381" s="312"/>
      <c r="K381" s="312"/>
      <c r="L381" s="312"/>
      <c r="M381" s="312"/>
      <c r="N381" s="348"/>
      <c r="O381" s="33"/>
    </row>
    <row r="382" spans="1:17" ht="15.75" thickBot="1">
      <c r="A382" s="331" t="s">
        <v>487</v>
      </c>
      <c r="B382" s="313"/>
      <c r="C382" s="86"/>
      <c r="D382" s="86"/>
      <c r="E382" s="86"/>
      <c r="F382" s="302"/>
      <c r="G382" s="302"/>
      <c r="H382" s="302"/>
      <c r="I382" s="302"/>
      <c r="J382" s="318"/>
      <c r="K382" s="302"/>
      <c r="L382" s="318"/>
      <c r="M382" s="320"/>
      <c r="N382" s="320"/>
      <c r="O382" s="33"/>
    </row>
    <row r="383" spans="1:17" ht="15" customHeight="1" thickBot="1">
      <c r="A383" s="331" t="s">
        <v>488</v>
      </c>
      <c r="B383" s="313"/>
      <c r="C383" s="86"/>
      <c r="D383" s="86"/>
      <c r="E383" s="86"/>
      <c r="F383" s="567"/>
      <c r="G383" s="567"/>
      <c r="H383" s="567"/>
      <c r="I383" s="567"/>
      <c r="J383" s="568"/>
      <c r="K383" s="567"/>
      <c r="L383" s="568"/>
      <c r="M383" s="321"/>
      <c r="N383" s="321"/>
      <c r="O383" s="33"/>
    </row>
    <row r="384" spans="1:17" ht="15.75" thickBot="1">
      <c r="A384" s="570" t="s">
        <v>489</v>
      </c>
      <c r="B384" s="311"/>
      <c r="C384" s="553"/>
      <c r="D384" s="553"/>
      <c r="E384" s="553"/>
      <c r="F384" s="221"/>
      <c r="G384" s="221"/>
      <c r="H384" s="221"/>
      <c r="I384" s="221"/>
      <c r="J384" s="305"/>
      <c r="K384" s="221"/>
      <c r="L384" s="305"/>
      <c r="M384" s="322"/>
      <c r="N384" s="322"/>
      <c r="O384" s="33"/>
    </row>
    <row r="385" spans="1:15" ht="15.75" thickBot="1">
      <c r="A385" s="570"/>
      <c r="B385" s="553"/>
      <c r="C385" s="553"/>
      <c r="D385" s="553"/>
      <c r="E385" s="553"/>
      <c r="F385" s="221"/>
      <c r="G385" s="221"/>
      <c r="H385" s="221"/>
      <c r="I385" s="221"/>
      <c r="J385" s="319"/>
      <c r="K385" s="221"/>
      <c r="L385" s="319"/>
      <c r="M385" s="323"/>
      <c r="N385" s="323"/>
      <c r="O385" s="37"/>
    </row>
    <row r="386" spans="1:15" ht="15.75" thickBot="1">
      <c r="A386" s="332" t="s">
        <v>490</v>
      </c>
      <c r="B386" s="314"/>
      <c r="C386" s="314"/>
      <c r="D386" s="313"/>
      <c r="E386" s="313"/>
      <c r="F386" s="315"/>
      <c r="G386" s="315"/>
      <c r="H386" s="315"/>
      <c r="I386" s="315"/>
      <c r="J386" s="315"/>
      <c r="K386" s="315"/>
      <c r="L386" s="315"/>
      <c r="M386" s="315"/>
      <c r="N386" s="349"/>
      <c r="O386" s="37"/>
    </row>
    <row r="387" spans="1:15" ht="15.75" thickBot="1">
      <c r="A387" s="331" t="s">
        <v>491</v>
      </c>
      <c r="B387" s="86"/>
      <c r="C387" s="313"/>
      <c r="D387" s="86"/>
      <c r="E387" s="86"/>
      <c r="F387" s="221"/>
      <c r="G387" s="221"/>
      <c r="H387" s="221"/>
      <c r="I387" s="221"/>
      <c r="J387" s="324"/>
      <c r="K387" s="221"/>
      <c r="L387" s="324"/>
      <c r="M387" s="326"/>
      <c r="N387" s="326"/>
      <c r="O387" s="37"/>
    </row>
    <row r="388" spans="1:15" ht="15.75" thickBot="1">
      <c r="A388" s="331" t="s">
        <v>488</v>
      </c>
      <c r="B388" s="316"/>
      <c r="C388" s="86"/>
      <c r="D388" s="86"/>
      <c r="E388" s="86"/>
      <c r="F388" s="221"/>
      <c r="G388" s="221"/>
      <c r="H388" s="221"/>
      <c r="I388" s="221"/>
      <c r="J388" s="305"/>
      <c r="K388" s="221"/>
      <c r="L388" s="305"/>
      <c r="M388" s="322"/>
      <c r="N388" s="304"/>
      <c r="O388" s="33"/>
    </row>
    <row r="389" spans="1:15" ht="15" customHeight="1" thickBot="1">
      <c r="A389" s="331" t="s">
        <v>489</v>
      </c>
      <c r="B389" s="316"/>
      <c r="C389" s="86"/>
      <c r="D389" s="86"/>
      <c r="E389" s="86"/>
      <c r="F389" s="221"/>
      <c r="G389" s="221"/>
      <c r="H389" s="221"/>
      <c r="I389" s="221"/>
      <c r="J389" s="305"/>
      <c r="K389" s="221"/>
      <c r="L389" s="305"/>
      <c r="M389" s="322"/>
      <c r="N389" s="322"/>
      <c r="O389" s="33"/>
    </row>
    <row r="390" spans="1:15">
      <c r="A390" s="341" t="s">
        <v>492</v>
      </c>
      <c r="B390" s="166"/>
      <c r="C390" s="166"/>
      <c r="D390" s="86"/>
      <c r="E390" s="86"/>
      <c r="F390" s="86"/>
      <c r="G390" s="86"/>
      <c r="H390" s="86"/>
      <c r="I390" s="86"/>
      <c r="J390" s="325"/>
      <c r="K390" s="86"/>
      <c r="L390" s="325"/>
      <c r="M390" s="327"/>
      <c r="N390" s="327"/>
      <c r="O390" s="33"/>
    </row>
    <row r="391" spans="1:15" ht="15.75" thickBot="1">
      <c r="A391" s="570" t="s">
        <v>493</v>
      </c>
      <c r="B391" s="553"/>
      <c r="C391" s="553"/>
      <c r="D391" s="317"/>
      <c r="E391" s="553"/>
      <c r="F391" s="221"/>
      <c r="G391" s="221"/>
      <c r="H391" s="221"/>
      <c r="I391" s="221"/>
      <c r="J391" s="305"/>
      <c r="K391" s="221"/>
      <c r="L391" s="305"/>
      <c r="M391" s="322"/>
      <c r="N391" s="322"/>
      <c r="O391" s="38"/>
    </row>
    <row r="392" spans="1:15" ht="15.75" thickBot="1">
      <c r="A392" s="331" t="s">
        <v>494</v>
      </c>
      <c r="B392" s="86"/>
      <c r="C392" s="86"/>
      <c r="D392" s="316"/>
      <c r="E392" s="86"/>
      <c r="F392" s="221"/>
      <c r="G392" s="221"/>
      <c r="H392" s="221"/>
      <c r="I392" s="221"/>
      <c r="J392" s="305"/>
      <c r="K392" s="221"/>
      <c r="L392" s="305"/>
      <c r="M392" s="322"/>
      <c r="N392" s="322"/>
      <c r="O392" s="38"/>
    </row>
    <row r="393" spans="1:15" ht="15.75" thickBot="1">
      <c r="A393" s="331" t="s">
        <v>495</v>
      </c>
      <c r="B393" s="86"/>
      <c r="C393" s="86"/>
      <c r="D393" s="316"/>
      <c r="E393" s="86"/>
      <c r="F393" s="221"/>
      <c r="G393" s="221"/>
      <c r="H393" s="221"/>
      <c r="I393" s="221"/>
      <c r="J393" s="305"/>
      <c r="K393" s="221"/>
      <c r="L393" s="305"/>
      <c r="M393" s="322"/>
      <c r="N393" s="322"/>
      <c r="O393" s="38"/>
    </row>
    <row r="394" spans="1:15" ht="15.75" thickBot="1">
      <c r="A394" s="331" t="s">
        <v>496</v>
      </c>
      <c r="B394" s="86"/>
      <c r="C394" s="86"/>
      <c r="D394" s="316"/>
      <c r="E394" s="86"/>
      <c r="F394" s="221"/>
      <c r="G394" s="221"/>
      <c r="H394" s="221"/>
      <c r="I394" s="221"/>
      <c r="J394" s="305"/>
      <c r="K394" s="221"/>
      <c r="L394" s="305"/>
      <c r="M394" s="322"/>
      <c r="N394" s="322"/>
      <c r="O394" s="38"/>
    </row>
    <row r="395" spans="1:15" ht="15.75" thickBot="1">
      <c r="A395" s="331" t="s">
        <v>497</v>
      </c>
      <c r="B395" s="86"/>
      <c r="C395" s="86"/>
      <c r="D395" s="316"/>
      <c r="E395" s="86"/>
      <c r="F395" s="221"/>
      <c r="G395" s="221"/>
      <c r="H395" s="221"/>
      <c r="I395" s="221"/>
      <c r="J395" s="305"/>
      <c r="K395" s="221"/>
      <c r="L395" s="305"/>
      <c r="M395" s="322"/>
      <c r="N395" s="322"/>
      <c r="O395" s="38"/>
    </row>
    <row r="396" spans="1:15" ht="15.75" thickBot="1">
      <c r="A396" s="331"/>
      <c r="B396" s="86"/>
      <c r="C396" s="86"/>
      <c r="D396" s="86"/>
      <c r="E396" s="86"/>
      <c r="F396" s="221"/>
      <c r="G396" s="221"/>
      <c r="H396" s="221"/>
      <c r="I396" s="221"/>
      <c r="J396" s="319"/>
      <c r="K396" s="221"/>
      <c r="L396" s="319"/>
      <c r="M396" s="323"/>
      <c r="N396" s="323"/>
      <c r="O396" s="38"/>
    </row>
    <row r="397" spans="1:15" ht="15.75" thickBot="1">
      <c r="A397" s="332" t="s">
        <v>498</v>
      </c>
      <c r="B397" s="314"/>
      <c r="C397" s="314"/>
      <c r="D397" s="314"/>
      <c r="E397" s="314"/>
      <c r="F397" s="315"/>
      <c r="G397" s="315"/>
      <c r="H397" s="315"/>
      <c r="I397" s="315"/>
      <c r="J397" s="315"/>
      <c r="K397" s="315"/>
      <c r="L397" s="315"/>
      <c r="M397" s="315"/>
      <c r="N397" s="349"/>
    </row>
    <row r="398" spans="1:15">
      <c r="A398" s="331" t="s">
        <v>499</v>
      </c>
      <c r="B398" s="86"/>
      <c r="C398" s="86"/>
      <c r="D398" s="86"/>
      <c r="E398" s="86"/>
      <c r="F398" s="86"/>
      <c r="G398" s="86"/>
      <c r="H398" s="86"/>
      <c r="I398" s="86"/>
      <c r="J398" s="328"/>
      <c r="K398" s="86"/>
      <c r="L398" s="328"/>
      <c r="M398" s="330"/>
      <c r="N398" s="330"/>
    </row>
    <row r="399" spans="1:15" ht="15.75" thickBot="1">
      <c r="A399" s="342" t="s">
        <v>500</v>
      </c>
      <c r="B399" s="316"/>
      <c r="C399" s="310" t="s">
        <v>549</v>
      </c>
      <c r="D399" s="316"/>
      <c r="E399" s="310" t="s">
        <v>501</v>
      </c>
      <c r="F399" s="316"/>
      <c r="G399" s="310" t="s">
        <v>502</v>
      </c>
      <c r="H399" s="316"/>
      <c r="I399" s="86"/>
      <c r="J399" s="325"/>
      <c r="K399" s="86"/>
      <c r="L399" s="325"/>
      <c r="M399" s="327"/>
      <c r="N399" s="327"/>
    </row>
    <row r="400" spans="1:15">
      <c r="A400" s="342" t="s">
        <v>503</v>
      </c>
      <c r="B400" s="86"/>
      <c r="C400" s="86"/>
      <c r="D400" s="86"/>
      <c r="E400" s="86"/>
      <c r="F400" s="86"/>
      <c r="G400" s="86"/>
      <c r="H400" s="86"/>
      <c r="I400" s="86"/>
      <c r="J400" s="325"/>
      <c r="K400" s="86"/>
      <c r="L400" s="325"/>
      <c r="M400" s="327"/>
      <c r="N400" s="327"/>
    </row>
    <row r="401" spans="1:15">
      <c r="A401" s="342"/>
      <c r="B401" s="343"/>
      <c r="C401" s="86"/>
      <c r="D401" s="86"/>
      <c r="E401" s="86"/>
      <c r="F401" s="86"/>
      <c r="G401" s="86"/>
      <c r="H401" s="86"/>
      <c r="I401" s="86"/>
      <c r="J401" s="325"/>
      <c r="K401" s="86"/>
      <c r="L401" s="325"/>
      <c r="M401" s="327"/>
      <c r="N401" s="327"/>
      <c r="O401" s="33"/>
    </row>
    <row r="402" spans="1:15" ht="15.75" thickBot="1">
      <c r="A402" s="342"/>
      <c r="B402" s="316"/>
      <c r="C402" s="86"/>
      <c r="D402" s="86"/>
      <c r="E402" s="86"/>
      <c r="F402" s="86"/>
      <c r="G402" s="86"/>
      <c r="H402" s="86"/>
      <c r="I402" s="86"/>
      <c r="J402" s="329"/>
      <c r="K402" s="86"/>
      <c r="L402" s="329"/>
      <c r="M402" s="308"/>
      <c r="N402" s="308"/>
    </row>
    <row r="403" spans="1:15" ht="15.75" thickBot="1">
      <c r="A403" s="332" t="s">
        <v>504</v>
      </c>
      <c r="B403" s="314"/>
      <c r="C403" s="314"/>
      <c r="D403" s="313"/>
      <c r="E403" s="313"/>
      <c r="F403" s="313"/>
      <c r="G403" s="313"/>
      <c r="H403" s="313"/>
      <c r="I403" s="313"/>
      <c r="J403" s="313"/>
      <c r="K403" s="313"/>
      <c r="L403" s="313"/>
      <c r="M403" s="313"/>
      <c r="N403" s="350"/>
    </row>
    <row r="404" spans="1:15">
      <c r="A404" s="331" t="s">
        <v>510</v>
      </c>
      <c r="B404" s="86"/>
      <c r="C404" s="86"/>
      <c r="D404" s="86"/>
      <c r="E404" s="86"/>
      <c r="F404" s="86"/>
      <c r="G404" s="86"/>
      <c r="H404" s="86"/>
      <c r="I404" s="86"/>
      <c r="J404" s="328"/>
      <c r="K404" s="86"/>
      <c r="L404" s="328"/>
      <c r="M404" s="330"/>
      <c r="N404" s="330"/>
    </row>
    <row r="405" spans="1:15">
      <c r="A405" s="331" t="s">
        <v>505</v>
      </c>
      <c r="B405" s="86"/>
      <c r="C405" s="86"/>
      <c r="D405" s="86"/>
      <c r="E405" s="86"/>
      <c r="F405" s="86"/>
      <c r="G405" s="86"/>
      <c r="H405" s="86"/>
      <c r="I405" s="86"/>
      <c r="J405" s="325"/>
      <c r="K405" s="86"/>
      <c r="L405" s="325"/>
      <c r="M405" s="327"/>
      <c r="N405" s="327"/>
    </row>
    <row r="406" spans="1:15" ht="15.75" thickBot="1">
      <c r="A406" s="354" t="s">
        <v>500</v>
      </c>
      <c r="B406" s="316"/>
      <c r="C406" s="86"/>
      <c r="D406" s="86"/>
      <c r="E406" s="86"/>
      <c r="F406" s="86"/>
      <c r="G406" s="86"/>
      <c r="H406" s="86"/>
      <c r="I406" s="86"/>
      <c r="J406" s="325"/>
      <c r="K406" s="86"/>
      <c r="L406" s="325"/>
      <c r="M406" s="327"/>
      <c r="N406" s="327"/>
    </row>
    <row r="407" spans="1:15" ht="15.75" thickBot="1">
      <c r="A407" s="354" t="s">
        <v>506</v>
      </c>
      <c r="B407" s="316"/>
      <c r="C407" s="86"/>
      <c r="D407" s="86"/>
      <c r="E407" s="86"/>
      <c r="F407" s="86"/>
      <c r="G407" s="86"/>
      <c r="H407" s="86"/>
      <c r="I407" s="86"/>
      <c r="J407" s="325"/>
      <c r="K407" s="86"/>
      <c r="L407" s="325"/>
      <c r="M407" s="327"/>
      <c r="N407" s="327"/>
    </row>
    <row r="408" spans="1:15" ht="15.75" thickBot="1">
      <c r="A408" s="354" t="s">
        <v>311</v>
      </c>
      <c r="B408" s="316"/>
      <c r="C408" s="86"/>
      <c r="D408" s="86"/>
      <c r="E408" s="86"/>
      <c r="F408" s="86"/>
      <c r="G408" s="86"/>
      <c r="H408" s="86"/>
      <c r="I408" s="86"/>
      <c r="J408" s="325"/>
      <c r="K408" s="86"/>
      <c r="L408" s="325"/>
      <c r="M408" s="327"/>
      <c r="N408" s="327"/>
    </row>
    <row r="409" spans="1:15">
      <c r="A409" s="331" t="s">
        <v>507</v>
      </c>
      <c r="B409" s="86"/>
      <c r="C409" s="86"/>
      <c r="D409" s="86"/>
      <c r="E409" s="86"/>
      <c r="F409" s="86"/>
      <c r="G409" s="86"/>
      <c r="H409" s="86"/>
      <c r="I409" s="86"/>
      <c r="J409" s="325"/>
      <c r="K409" s="331"/>
      <c r="L409" s="325"/>
      <c r="M409" s="327"/>
      <c r="N409" s="327"/>
    </row>
    <row r="410" spans="1:15" ht="15.75" thickBot="1">
      <c r="A410" s="342" t="s">
        <v>508</v>
      </c>
      <c r="B410" s="316"/>
      <c r="C410" s="86"/>
      <c r="D410" s="86"/>
      <c r="E410" s="86"/>
      <c r="F410" s="86"/>
      <c r="G410" s="86"/>
      <c r="H410" s="86"/>
      <c r="I410" s="86"/>
      <c r="J410" s="325"/>
      <c r="K410" s="86"/>
      <c r="L410" s="325"/>
      <c r="M410" s="327"/>
      <c r="N410" s="327"/>
    </row>
    <row r="411" spans="1:15" ht="15.75" thickBot="1">
      <c r="A411" s="342" t="s">
        <v>488</v>
      </c>
      <c r="B411" s="316"/>
      <c r="C411" s="86"/>
      <c r="D411" s="86"/>
      <c r="E411" s="86"/>
      <c r="F411" s="86"/>
      <c r="G411" s="86"/>
      <c r="H411" s="86"/>
      <c r="I411" s="86"/>
      <c r="J411" s="325"/>
      <c r="K411" s="86"/>
      <c r="L411" s="325"/>
      <c r="M411" s="327"/>
      <c r="N411" s="327"/>
    </row>
    <row r="412" spans="1:15">
      <c r="A412" s="351" t="s">
        <v>509</v>
      </c>
      <c r="B412" s="335"/>
      <c r="C412" s="335"/>
      <c r="D412" s="335"/>
      <c r="E412" s="335"/>
      <c r="F412" s="335"/>
      <c r="G412" s="335"/>
      <c r="H412" s="335"/>
      <c r="I412" s="335"/>
      <c r="J412" s="352"/>
      <c r="K412" s="335"/>
      <c r="L412" s="352"/>
      <c r="M412" s="307"/>
      <c r="N412" s="307"/>
    </row>
    <row r="413" spans="1:15">
      <c r="A413" s="336"/>
      <c r="B413" s="343" t="s">
        <v>71</v>
      </c>
      <c r="C413" s="343"/>
      <c r="D413" s="343"/>
      <c r="E413" s="343"/>
      <c r="F413" s="344"/>
      <c r="G413" s="344"/>
      <c r="H413" s="344"/>
      <c r="I413" s="344"/>
      <c r="J413" s="344"/>
      <c r="K413" s="344"/>
      <c r="L413" s="344"/>
      <c r="M413" s="344"/>
      <c r="N413" s="345"/>
    </row>
    <row r="414" spans="1:15">
      <c r="A414" s="337"/>
      <c r="B414" s="334" t="s">
        <v>471</v>
      </c>
      <c r="C414" s="334"/>
      <c r="D414" s="334"/>
      <c r="E414" s="334"/>
      <c r="F414" s="334"/>
      <c r="G414" s="334"/>
      <c r="H414" s="333"/>
      <c r="I414" s="333"/>
      <c r="J414" s="333"/>
      <c r="K414" s="333"/>
      <c r="L414" s="333"/>
      <c r="M414" s="333"/>
      <c r="N414" s="346"/>
    </row>
    <row r="415" spans="1:15">
      <c r="A415" s="309" t="s">
        <v>511</v>
      </c>
      <c r="B415" s="353"/>
      <c r="C415" s="353"/>
      <c r="D415" s="353"/>
      <c r="E415" s="353"/>
      <c r="F415" s="353"/>
      <c r="G415" s="353"/>
      <c r="H415" s="353"/>
      <c r="I415" s="353"/>
      <c r="J415" s="353"/>
      <c r="K415" s="1034" t="s">
        <v>15</v>
      </c>
      <c r="L415" s="1035"/>
      <c r="M415" s="1035"/>
      <c r="N415" s="1036"/>
    </row>
    <row r="416" spans="1:15">
      <c r="A416" s="331" t="s">
        <v>512</v>
      </c>
      <c r="B416" s="86"/>
      <c r="C416" s="86"/>
      <c r="D416" s="86"/>
      <c r="E416" s="86"/>
      <c r="F416" s="86"/>
      <c r="G416" s="86"/>
      <c r="H416" s="86"/>
      <c r="I416" s="86"/>
      <c r="J416" s="86"/>
      <c r="K416" s="86"/>
      <c r="L416" s="86"/>
      <c r="M416" s="86"/>
      <c r="N416" s="325"/>
    </row>
    <row r="417" spans="1:15">
      <c r="A417" s="331" t="s">
        <v>513</v>
      </c>
      <c r="B417" s="335"/>
      <c r="C417" s="86" t="s">
        <v>515</v>
      </c>
      <c r="D417" s="335"/>
      <c r="E417" s="86" t="s">
        <v>514</v>
      </c>
      <c r="F417" s="335"/>
      <c r="G417" s="86"/>
      <c r="H417" s="86"/>
      <c r="I417" s="86"/>
      <c r="J417" s="86"/>
      <c r="K417" s="86"/>
      <c r="L417" s="86"/>
      <c r="M417" s="86"/>
      <c r="N417" s="325"/>
    </row>
    <row r="418" spans="1:15">
      <c r="A418" s="351"/>
      <c r="B418" s="335"/>
      <c r="C418" s="335"/>
      <c r="D418" s="335"/>
      <c r="E418" s="335"/>
      <c r="F418" s="335"/>
      <c r="G418" s="335"/>
      <c r="H418" s="335"/>
      <c r="I418" s="335"/>
      <c r="J418" s="335"/>
      <c r="K418" s="335"/>
      <c r="L418" s="335"/>
      <c r="M418" s="335"/>
      <c r="N418" s="352"/>
    </row>
    <row r="419" spans="1:15">
      <c r="A419" s="331" t="s">
        <v>516</v>
      </c>
      <c r="B419" s="86"/>
      <c r="C419" s="86"/>
      <c r="D419" s="86"/>
      <c r="E419" s="86"/>
      <c r="F419" s="86"/>
      <c r="G419" s="86"/>
      <c r="H419" s="86"/>
      <c r="I419" s="86"/>
      <c r="J419" s="86"/>
      <c r="K419" s="86"/>
      <c r="L419" s="86"/>
      <c r="M419" s="86"/>
      <c r="N419" s="325"/>
    </row>
    <row r="420" spans="1:15">
      <c r="A420" s="331" t="s">
        <v>517</v>
      </c>
      <c r="B420" s="335"/>
      <c r="C420" s="86" t="s">
        <v>518</v>
      </c>
      <c r="D420" s="335"/>
      <c r="E420" s="86" t="s">
        <v>519</v>
      </c>
      <c r="F420" s="86"/>
      <c r="G420" s="335"/>
      <c r="H420" s="86" t="s">
        <v>520</v>
      </c>
      <c r="I420" s="86"/>
      <c r="J420" s="335"/>
      <c r="K420" s="86"/>
      <c r="L420" s="86"/>
      <c r="M420" s="86"/>
      <c r="N420" s="325"/>
    </row>
    <row r="421" spans="1:15">
      <c r="A421" s="331"/>
      <c r="B421" s="86"/>
      <c r="C421" s="86" t="s">
        <v>521</v>
      </c>
      <c r="D421" s="353"/>
      <c r="E421" s="86" t="s">
        <v>522</v>
      </c>
      <c r="F421" s="86"/>
      <c r="G421" s="353"/>
      <c r="H421" s="86" t="s">
        <v>523</v>
      </c>
      <c r="I421" s="335"/>
      <c r="J421" s="86"/>
      <c r="K421" s="86"/>
      <c r="L421" s="86"/>
      <c r="M421" s="86"/>
      <c r="N421" s="325"/>
    </row>
    <row r="422" spans="1:15" ht="45" customHeight="1">
      <c r="A422" s="351"/>
      <c r="B422" s="335"/>
      <c r="C422" s="335"/>
      <c r="D422" s="335"/>
      <c r="E422" s="335"/>
      <c r="F422" s="335"/>
      <c r="G422" s="335"/>
      <c r="H422" s="335"/>
      <c r="I422" s="335"/>
      <c r="J422" s="335"/>
      <c r="K422" s="335"/>
      <c r="L422" s="335"/>
      <c r="M422" s="335"/>
      <c r="N422" s="352"/>
    </row>
    <row r="423" spans="1:15">
      <c r="A423" s="127" t="s">
        <v>524</v>
      </c>
      <c r="B423" s="309" t="s">
        <v>525</v>
      </c>
      <c r="C423" s="353"/>
      <c r="D423" s="353"/>
      <c r="E423" s="353"/>
      <c r="F423" s="353"/>
      <c r="G423" s="353"/>
      <c r="H423" s="353"/>
      <c r="I423" s="353"/>
      <c r="J423" s="353"/>
      <c r="K423" s="353"/>
      <c r="L423" s="353"/>
      <c r="M423" s="353"/>
      <c r="N423" s="356"/>
    </row>
    <row r="424" spans="1:15">
      <c r="A424" s="327"/>
      <c r="B424" s="351" t="s">
        <v>526</v>
      </c>
      <c r="C424" s="335"/>
      <c r="D424" s="335"/>
      <c r="E424" s="335"/>
      <c r="F424" s="335"/>
      <c r="G424" s="335"/>
      <c r="H424" s="335"/>
      <c r="I424" s="335"/>
      <c r="J424" s="335"/>
      <c r="K424" s="335"/>
      <c r="L424" s="335"/>
      <c r="M424" s="335"/>
      <c r="N424" s="352"/>
    </row>
    <row r="425" spans="1:15">
      <c r="A425" s="307"/>
      <c r="B425" s="335" t="s">
        <v>527</v>
      </c>
      <c r="C425" s="335"/>
      <c r="D425" s="335"/>
      <c r="E425" s="335"/>
      <c r="F425" s="335"/>
      <c r="G425" s="335"/>
      <c r="H425" s="335"/>
      <c r="I425" s="335"/>
      <c r="J425" s="335"/>
      <c r="K425" s="335"/>
      <c r="L425" s="335"/>
      <c r="M425" s="335"/>
      <c r="N425" s="352"/>
    </row>
    <row r="426" spans="1:15" ht="15.75" thickBot="1">
      <c r="A426" s="338" t="s">
        <v>528</v>
      </c>
      <c r="B426" s="355"/>
      <c r="C426" s="355"/>
      <c r="D426" s="355"/>
      <c r="E426" s="355"/>
      <c r="F426" s="355"/>
      <c r="G426" s="355"/>
      <c r="H426" s="355"/>
      <c r="I426" s="355"/>
      <c r="J426" s="355"/>
      <c r="K426" s="355"/>
      <c r="L426" s="355"/>
      <c r="M426" s="355"/>
      <c r="N426" s="347"/>
    </row>
    <row r="427" spans="1:15">
      <c r="A427" s="999" t="s">
        <v>529</v>
      </c>
      <c r="B427" s="1000"/>
      <c r="C427" s="1000"/>
      <c r="D427" s="1001"/>
      <c r="E427" s="1008" t="s">
        <v>531</v>
      </c>
      <c r="F427" s="1009"/>
      <c r="G427" s="1009"/>
      <c r="H427" s="1009"/>
      <c r="I427" s="1010"/>
      <c r="J427" s="1017" t="s">
        <v>530</v>
      </c>
      <c r="K427" s="1018"/>
      <c r="L427" s="1018"/>
      <c r="M427" s="1018"/>
      <c r="N427" s="1019"/>
    </row>
    <row r="428" spans="1:15">
      <c r="A428" s="1002"/>
      <c r="B428" s="1003"/>
      <c r="C428" s="1003"/>
      <c r="D428" s="1004"/>
      <c r="E428" s="1011"/>
      <c r="F428" s="1012"/>
      <c r="G428" s="1012"/>
      <c r="H428" s="1012"/>
      <c r="I428" s="1013"/>
      <c r="J428" s="1020"/>
      <c r="K428" s="1021"/>
      <c r="L428" s="1021"/>
      <c r="M428" s="1021"/>
      <c r="N428" s="1022"/>
    </row>
    <row r="429" spans="1:15">
      <c r="A429" s="1002"/>
      <c r="B429" s="1003"/>
      <c r="C429" s="1003"/>
      <c r="D429" s="1004"/>
      <c r="E429" s="1011"/>
      <c r="F429" s="1012"/>
      <c r="G429" s="1012"/>
      <c r="H429" s="1012"/>
      <c r="I429" s="1013"/>
      <c r="J429" s="1020"/>
      <c r="K429" s="1021"/>
      <c r="L429" s="1021"/>
      <c r="M429" s="1021"/>
      <c r="N429" s="1022"/>
    </row>
    <row r="430" spans="1:15">
      <c r="A430" s="1002"/>
      <c r="B430" s="1003"/>
      <c r="C430" s="1003"/>
      <c r="D430" s="1004"/>
      <c r="E430" s="1011"/>
      <c r="F430" s="1012"/>
      <c r="G430" s="1012"/>
      <c r="H430" s="1012"/>
      <c r="I430" s="1013"/>
      <c r="J430" s="1020"/>
      <c r="K430" s="1021"/>
      <c r="L430" s="1021"/>
      <c r="M430" s="1021"/>
      <c r="N430" s="1022"/>
    </row>
    <row r="431" spans="1:15">
      <c r="A431" s="1002"/>
      <c r="B431" s="1003"/>
      <c r="C431" s="1003"/>
      <c r="D431" s="1004"/>
      <c r="E431" s="1011"/>
      <c r="F431" s="1012"/>
      <c r="G431" s="1012"/>
      <c r="H431" s="1012"/>
      <c r="I431" s="1013"/>
      <c r="J431" s="1020"/>
      <c r="K431" s="1021"/>
      <c r="L431" s="1021"/>
      <c r="M431" s="1021"/>
      <c r="N431" s="1022"/>
    </row>
    <row r="432" spans="1:15" ht="15.75" thickBot="1">
      <c r="A432" s="1005"/>
      <c r="B432" s="1006"/>
      <c r="C432" s="1006"/>
      <c r="D432" s="1007"/>
      <c r="E432" s="1014"/>
      <c r="F432" s="1015"/>
      <c r="G432" s="1015"/>
      <c r="H432" s="1015"/>
      <c r="I432" s="1016"/>
      <c r="J432" s="1023"/>
      <c r="K432" s="1024"/>
      <c r="L432" s="1024"/>
      <c r="M432" s="1024"/>
      <c r="N432" s="1025"/>
      <c r="O432" s="85"/>
    </row>
    <row r="433" spans="1:14" ht="15.75" thickBot="1">
      <c r="A433" s="332" t="s">
        <v>532</v>
      </c>
      <c r="B433" s="314"/>
      <c r="C433" s="314"/>
      <c r="D433" s="314"/>
      <c r="E433" s="314"/>
      <c r="F433" s="313"/>
      <c r="G433" s="313"/>
      <c r="H433" s="313"/>
      <c r="I433" s="313"/>
      <c r="J433" s="313"/>
      <c r="K433" s="313"/>
      <c r="L433" s="313"/>
      <c r="M433" s="313"/>
      <c r="N433" s="350"/>
    </row>
    <row r="434" spans="1:14">
      <c r="A434" s="331" t="s">
        <v>533</v>
      </c>
      <c r="B434" s="86"/>
      <c r="C434" s="86"/>
      <c r="D434" s="86"/>
      <c r="E434" s="86"/>
      <c r="F434" s="86"/>
      <c r="G434" s="86"/>
      <c r="H434" s="86"/>
      <c r="I434" s="86"/>
      <c r="J434" s="86"/>
      <c r="K434" s="86"/>
      <c r="L434" s="86"/>
      <c r="M434" s="86"/>
      <c r="N434" s="325"/>
    </row>
    <row r="435" spans="1:14">
      <c r="A435" s="331" t="s">
        <v>534</v>
      </c>
      <c r="B435" s="86"/>
      <c r="C435" s="86"/>
      <c r="D435" s="335">
        <f>M170</f>
        <v>1541</v>
      </c>
      <c r="E435" s="86" t="s">
        <v>535</v>
      </c>
      <c r="F435" s="86" t="s">
        <v>40</v>
      </c>
      <c r="G435" s="479">
        <f>B173</f>
        <v>55.172413793103445</v>
      </c>
      <c r="H435" s="86" t="s">
        <v>52</v>
      </c>
      <c r="I435" s="86" t="s">
        <v>536</v>
      </c>
      <c r="J435" s="479">
        <f>B174</f>
        <v>20.326678765880217</v>
      </c>
      <c r="K435" s="550" t="s">
        <v>52</v>
      </c>
      <c r="L435" s="119" t="s">
        <v>537</v>
      </c>
      <c r="M435" s="479">
        <f>B175</f>
        <v>24.500907441016334</v>
      </c>
      <c r="N435" s="325" t="s">
        <v>52</v>
      </c>
    </row>
    <row r="436" spans="1:14">
      <c r="A436" s="351"/>
      <c r="B436" s="335"/>
      <c r="C436" s="335"/>
      <c r="D436" s="335"/>
      <c r="E436" s="335"/>
      <c r="F436" s="335"/>
      <c r="G436" s="335"/>
      <c r="H436" s="335"/>
      <c r="I436" s="335"/>
      <c r="J436" s="335"/>
      <c r="K436" s="335"/>
      <c r="L436" s="335"/>
      <c r="M436" s="335"/>
      <c r="N436" s="352"/>
    </row>
    <row r="437" spans="1:14">
      <c r="A437" s="341" t="s">
        <v>538</v>
      </c>
      <c r="B437" s="166"/>
      <c r="C437" s="86"/>
      <c r="D437" s="86"/>
      <c r="E437" s="86"/>
      <c r="F437" s="86"/>
      <c r="G437" s="86"/>
      <c r="H437" s="86"/>
      <c r="I437" s="86"/>
      <c r="J437" s="86"/>
      <c r="K437" s="86"/>
      <c r="L437" s="86"/>
      <c r="M437" s="86"/>
      <c r="N437" s="325"/>
    </row>
    <row r="438" spans="1:14">
      <c r="A438" s="331"/>
      <c r="B438" s="86"/>
      <c r="C438" s="86"/>
      <c r="D438" s="86"/>
      <c r="E438" s="86"/>
      <c r="F438" s="86"/>
      <c r="G438" s="86"/>
      <c r="H438" s="86"/>
      <c r="I438" s="86"/>
      <c r="J438" s="86"/>
      <c r="K438" s="86"/>
      <c r="L438" s="86"/>
      <c r="M438" s="86"/>
      <c r="N438" s="325"/>
    </row>
    <row r="439" spans="1:14">
      <c r="A439" s="331"/>
      <c r="B439" s="86"/>
      <c r="C439" s="86"/>
      <c r="D439" s="86"/>
      <c r="E439" s="86"/>
      <c r="F439" s="86"/>
      <c r="G439" s="86"/>
      <c r="H439" s="86"/>
      <c r="I439" s="86"/>
      <c r="J439" s="86"/>
      <c r="K439" s="86"/>
      <c r="L439" s="86"/>
      <c r="M439" s="86"/>
      <c r="N439" s="325"/>
    </row>
    <row r="440" spans="1:14">
      <c r="A440" s="331"/>
      <c r="B440" s="86"/>
      <c r="C440" s="86"/>
      <c r="D440" s="86"/>
      <c r="E440" s="86"/>
      <c r="F440" s="86"/>
      <c r="G440" s="86"/>
      <c r="H440" s="86"/>
      <c r="I440" s="86"/>
      <c r="J440" s="86"/>
      <c r="K440" s="86"/>
      <c r="L440" s="86"/>
      <c r="M440" s="86"/>
      <c r="N440" s="325"/>
    </row>
    <row r="441" spans="1:14">
      <c r="A441" s="331"/>
      <c r="B441" s="86"/>
      <c r="C441" s="86"/>
      <c r="D441" s="86"/>
      <c r="E441" s="86"/>
      <c r="F441" s="86"/>
      <c r="G441" s="86"/>
      <c r="H441" s="86"/>
      <c r="I441" s="86"/>
      <c r="J441" s="86"/>
      <c r="K441" s="86"/>
      <c r="L441" s="86"/>
      <c r="M441" s="86"/>
      <c r="N441" s="325"/>
    </row>
    <row r="442" spans="1:14">
      <c r="A442" s="331"/>
      <c r="B442" s="86"/>
      <c r="C442" s="86"/>
      <c r="D442" s="86"/>
      <c r="E442" s="86"/>
      <c r="F442" s="86"/>
      <c r="G442" s="86"/>
      <c r="H442" s="86"/>
      <c r="I442" s="86"/>
      <c r="J442" s="86"/>
      <c r="K442" s="86"/>
      <c r="L442" s="86"/>
      <c r="M442" s="86"/>
      <c r="N442" s="325"/>
    </row>
    <row r="443" spans="1:14">
      <c r="A443" s="331"/>
      <c r="B443" s="86"/>
      <c r="C443" s="86"/>
      <c r="D443" s="86"/>
      <c r="E443" s="86"/>
      <c r="F443" s="86"/>
      <c r="G443" s="86"/>
      <c r="H443" s="86"/>
      <c r="I443" s="86"/>
      <c r="J443" s="86"/>
      <c r="K443" s="86"/>
      <c r="L443" s="86"/>
      <c r="M443" s="86"/>
      <c r="N443" s="325"/>
    </row>
    <row r="444" spans="1:14">
      <c r="A444" s="331"/>
      <c r="B444" s="86"/>
      <c r="C444" s="86"/>
      <c r="D444" s="86"/>
      <c r="E444" s="86"/>
      <c r="F444" s="86"/>
      <c r="G444" s="86"/>
      <c r="H444" s="86"/>
      <c r="I444" s="86"/>
      <c r="J444" s="86"/>
      <c r="K444" s="86"/>
      <c r="L444" s="86"/>
      <c r="M444" s="86"/>
      <c r="N444" s="325"/>
    </row>
    <row r="445" spans="1:14">
      <c r="A445" s="331"/>
      <c r="B445" s="86"/>
      <c r="C445" s="86"/>
      <c r="D445" s="86"/>
      <c r="E445" s="86"/>
      <c r="F445" s="86"/>
      <c r="G445" s="86"/>
      <c r="H445" s="86"/>
      <c r="I445" s="86"/>
      <c r="J445" s="86"/>
      <c r="K445" s="86"/>
      <c r="L445" s="86"/>
      <c r="M445" s="86"/>
      <c r="N445" s="325"/>
    </row>
    <row r="446" spans="1:14">
      <c r="A446" s="331"/>
      <c r="B446" s="86"/>
      <c r="C446" s="86"/>
      <c r="D446" s="86"/>
      <c r="E446" s="86"/>
      <c r="F446" s="86"/>
      <c r="G446" s="86"/>
      <c r="H446" s="86"/>
      <c r="I446" s="86"/>
      <c r="J446" s="86"/>
      <c r="K446" s="86"/>
      <c r="L446" s="86"/>
      <c r="M446" s="86"/>
      <c r="N446" s="325"/>
    </row>
    <row r="447" spans="1:14">
      <c r="A447" s="331"/>
      <c r="B447" s="86"/>
      <c r="C447" s="86"/>
      <c r="D447" s="86"/>
      <c r="E447" s="86"/>
      <c r="F447" s="86"/>
      <c r="G447" s="86"/>
      <c r="H447" s="86"/>
      <c r="I447" s="86"/>
      <c r="J447" s="86"/>
      <c r="K447" s="86"/>
      <c r="L447" s="86"/>
      <c r="M447" s="86"/>
      <c r="N447" s="325"/>
    </row>
    <row r="448" spans="1:14">
      <c r="A448" s="331"/>
      <c r="B448" s="86"/>
      <c r="C448" s="86"/>
      <c r="D448" s="86"/>
      <c r="E448" s="86"/>
      <c r="F448" s="86"/>
      <c r="G448" s="86"/>
      <c r="H448" s="86"/>
      <c r="I448" s="86"/>
      <c r="J448" s="86"/>
      <c r="K448" s="86"/>
      <c r="L448" s="86"/>
      <c r="M448" s="86"/>
      <c r="N448" s="325"/>
    </row>
    <row r="449" spans="1:14">
      <c r="A449" s="331"/>
      <c r="B449" s="86"/>
      <c r="C449" s="86"/>
      <c r="D449" s="86"/>
      <c r="E449" s="86"/>
      <c r="F449" s="86"/>
      <c r="G449" s="86"/>
      <c r="H449" s="86"/>
      <c r="I449" s="86"/>
      <c r="J449" s="86"/>
      <c r="K449" s="86"/>
      <c r="L449" s="86"/>
      <c r="M449" s="86"/>
      <c r="N449" s="325"/>
    </row>
    <row r="450" spans="1:14">
      <c r="A450" s="331"/>
      <c r="B450" s="86"/>
      <c r="C450" s="86"/>
      <c r="D450" s="86"/>
      <c r="E450" s="86"/>
      <c r="F450" s="86"/>
      <c r="G450" s="86"/>
      <c r="H450" s="86"/>
      <c r="I450" s="86"/>
      <c r="J450" s="86"/>
      <c r="K450" s="86"/>
      <c r="L450" s="86"/>
      <c r="M450" s="86"/>
      <c r="N450" s="325"/>
    </row>
    <row r="451" spans="1:14">
      <c r="A451" s="331"/>
      <c r="B451" s="86"/>
      <c r="C451" s="86"/>
      <c r="D451" s="86"/>
      <c r="E451" s="86"/>
      <c r="F451" s="86"/>
      <c r="G451" s="86"/>
      <c r="H451" s="86"/>
      <c r="I451" s="86"/>
      <c r="J451" s="86"/>
      <c r="K451" s="86"/>
      <c r="L451" s="86"/>
      <c r="M451" s="86"/>
      <c r="N451" s="325"/>
    </row>
    <row r="452" spans="1:14">
      <c r="A452" s="331"/>
      <c r="B452" s="86"/>
      <c r="C452" s="86"/>
      <c r="D452" s="86"/>
      <c r="E452" s="86"/>
      <c r="F452" s="86"/>
      <c r="G452" s="86"/>
      <c r="H452" s="86"/>
      <c r="I452" s="86"/>
      <c r="J452" s="86"/>
      <c r="K452" s="86"/>
      <c r="L452" s="86"/>
      <c r="M452" s="86"/>
      <c r="N452" s="325"/>
    </row>
    <row r="453" spans="1:14">
      <c r="A453" s="331"/>
      <c r="B453" s="86"/>
      <c r="C453" s="86"/>
      <c r="D453" s="86"/>
      <c r="E453" s="86"/>
      <c r="F453" s="86"/>
      <c r="G453" s="86"/>
      <c r="H453" s="86"/>
      <c r="I453" s="86"/>
      <c r="J453" s="86"/>
      <c r="K453" s="86"/>
      <c r="L453" s="86"/>
      <c r="M453" s="86"/>
      <c r="N453" s="325"/>
    </row>
    <row r="454" spans="1:14">
      <c r="A454" s="331"/>
      <c r="B454" s="86"/>
      <c r="C454" s="86"/>
      <c r="D454" s="86"/>
      <c r="E454" s="86"/>
      <c r="F454" s="86"/>
      <c r="G454" s="86"/>
      <c r="H454" s="86"/>
      <c r="I454" s="86"/>
      <c r="J454" s="86"/>
      <c r="K454" s="86"/>
      <c r="L454" s="86"/>
      <c r="M454" s="86"/>
      <c r="N454" s="325"/>
    </row>
    <row r="455" spans="1:14">
      <c r="A455" s="331"/>
      <c r="B455" s="86"/>
      <c r="C455" s="86"/>
      <c r="D455" s="86" t="s">
        <v>404</v>
      </c>
      <c r="E455" s="86"/>
      <c r="F455" s="86" t="str">
        <f>C38</f>
        <v>x</v>
      </c>
      <c r="G455" s="86"/>
      <c r="H455" s="86"/>
      <c r="I455" s="86"/>
      <c r="J455" s="86"/>
      <c r="K455" s="86"/>
      <c r="L455" s="86"/>
      <c r="M455" s="86"/>
      <c r="N455" s="325"/>
    </row>
    <row r="456" spans="1:14">
      <c r="A456" s="351"/>
      <c r="B456" s="335"/>
      <c r="C456" s="335"/>
      <c r="D456" s="335"/>
      <c r="E456" s="335"/>
      <c r="F456" s="335"/>
      <c r="G456" s="335"/>
      <c r="H456" s="335"/>
      <c r="I456" s="335"/>
      <c r="J456" s="335"/>
      <c r="K456" s="335"/>
      <c r="L456" s="335"/>
      <c r="M456" s="335"/>
      <c r="N456" s="352"/>
    </row>
    <row r="458" spans="1:14">
      <c r="A458" s="986" t="s">
        <v>171</v>
      </c>
      <c r="B458" s="986"/>
      <c r="C458" s="986"/>
      <c r="D458" s="986"/>
      <c r="E458" s="985" t="s">
        <v>172</v>
      </c>
      <c r="F458" s="985"/>
      <c r="G458" s="985"/>
      <c r="H458" s="985"/>
      <c r="I458" s="985"/>
      <c r="J458" s="985"/>
      <c r="K458" s="985"/>
      <c r="L458" s="985"/>
      <c r="M458" s="985"/>
      <c r="N458" s="985"/>
    </row>
    <row r="460" spans="1:14">
      <c r="A460" s="981" t="s">
        <v>173</v>
      </c>
      <c r="B460" s="981"/>
      <c r="C460" s="981"/>
      <c r="D460" s="981"/>
      <c r="E460" s="1026" t="s">
        <v>174</v>
      </c>
      <c r="F460" s="1026"/>
      <c r="G460" s="1026"/>
      <c r="H460" s="1026"/>
      <c r="I460" s="1026"/>
      <c r="J460" s="1026"/>
      <c r="K460" s="1026"/>
      <c r="L460" s="1026"/>
      <c r="M460" s="1026"/>
      <c r="N460" s="1026"/>
    </row>
    <row r="461" spans="1:14">
      <c r="E461" s="1026"/>
      <c r="F461" s="1026"/>
      <c r="G461" s="1026"/>
      <c r="H461" s="1026"/>
      <c r="I461" s="1026"/>
      <c r="J461" s="1026"/>
      <c r="K461" s="1026"/>
      <c r="L461" s="1026"/>
      <c r="M461" s="1026"/>
      <c r="N461" s="1026"/>
    </row>
    <row r="463" spans="1:14">
      <c r="A463" s="996" t="s">
        <v>175</v>
      </c>
      <c r="B463" s="996"/>
      <c r="C463" s="996"/>
      <c r="D463" s="996"/>
      <c r="E463" s="997" t="s">
        <v>176</v>
      </c>
      <c r="F463" s="997"/>
      <c r="G463" s="997"/>
      <c r="H463" s="997"/>
      <c r="I463" s="997"/>
      <c r="J463" s="997"/>
      <c r="K463" s="997"/>
      <c r="L463" s="997"/>
      <c r="M463" s="997"/>
      <c r="N463" s="997"/>
    </row>
    <row r="465" spans="1:14">
      <c r="A465" s="995" t="s">
        <v>177</v>
      </c>
      <c r="B465" s="995"/>
      <c r="C465" s="995"/>
      <c r="D465" s="995"/>
      <c r="E465" s="992" t="s">
        <v>178</v>
      </c>
      <c r="F465" s="992"/>
      <c r="G465" s="992"/>
      <c r="H465" s="992"/>
      <c r="I465" s="992"/>
      <c r="J465" s="992"/>
      <c r="K465" s="992"/>
      <c r="L465" s="992"/>
      <c r="M465" s="992"/>
      <c r="N465" s="992"/>
    </row>
    <row r="466" spans="1:14">
      <c r="E466" s="992"/>
      <c r="F466" s="992"/>
      <c r="G466" s="992"/>
      <c r="H466" s="992"/>
      <c r="I466" s="992"/>
      <c r="J466" s="992"/>
      <c r="K466" s="992"/>
      <c r="L466" s="992"/>
      <c r="M466" s="992"/>
      <c r="N466" s="992"/>
    </row>
    <row r="468" spans="1:14">
      <c r="A468" s="981" t="s">
        <v>179</v>
      </c>
      <c r="B468" s="981"/>
      <c r="C468" s="981"/>
      <c r="D468" s="981"/>
      <c r="E468" s="998" t="s">
        <v>180</v>
      </c>
      <c r="F468" s="998"/>
      <c r="G468" s="998"/>
      <c r="H468" s="998"/>
      <c r="I468" s="998"/>
      <c r="J468" s="998"/>
      <c r="K468" s="998"/>
      <c r="L468" s="998"/>
      <c r="M468" s="998"/>
      <c r="N468" s="998"/>
    </row>
    <row r="469" spans="1:14">
      <c r="E469" s="998"/>
      <c r="F469" s="998"/>
      <c r="G469" s="998"/>
      <c r="H469" s="998"/>
      <c r="I469" s="998"/>
      <c r="J469" s="998"/>
      <c r="K469" s="998"/>
      <c r="L469" s="998"/>
      <c r="M469" s="998"/>
      <c r="N469" s="998"/>
    </row>
    <row r="471" spans="1:14">
      <c r="A471" s="981" t="s">
        <v>181</v>
      </c>
      <c r="B471" s="981"/>
      <c r="C471" s="981"/>
      <c r="D471" s="981"/>
      <c r="E471" s="992" t="s">
        <v>182</v>
      </c>
      <c r="F471" s="992"/>
      <c r="G471" s="992"/>
      <c r="H471" s="992"/>
      <c r="I471" s="992"/>
      <c r="J471" s="992"/>
      <c r="K471" s="992"/>
      <c r="L471" s="992"/>
      <c r="M471" s="992"/>
      <c r="N471" s="992"/>
    </row>
    <row r="472" spans="1:14">
      <c r="E472" s="992"/>
      <c r="F472" s="992"/>
      <c r="G472" s="992"/>
      <c r="H472" s="992"/>
      <c r="I472" s="992"/>
      <c r="J472" s="992"/>
      <c r="K472" s="992"/>
      <c r="L472" s="992"/>
      <c r="M472" s="992"/>
      <c r="N472" s="992"/>
    </row>
    <row r="474" spans="1:14">
      <c r="A474" s="994" t="s">
        <v>20</v>
      </c>
      <c r="B474" s="994"/>
      <c r="C474" s="994"/>
      <c r="D474" s="994"/>
    </row>
    <row r="476" spans="1:14">
      <c r="A476" s="995" t="s">
        <v>183</v>
      </c>
      <c r="B476" s="995"/>
      <c r="C476" s="995"/>
      <c r="D476" s="995"/>
      <c r="E476" s="985" t="s">
        <v>184</v>
      </c>
      <c r="F476" s="985"/>
      <c r="G476" s="985"/>
      <c r="H476" s="985"/>
      <c r="I476" s="985"/>
      <c r="J476" s="985"/>
      <c r="K476" s="985"/>
      <c r="L476" s="985"/>
      <c r="M476" s="985"/>
      <c r="N476" s="985"/>
    </row>
    <row r="477" spans="1:14">
      <c r="E477" s="985"/>
      <c r="F477" s="985"/>
      <c r="G477" s="985"/>
      <c r="H477" s="985"/>
      <c r="I477" s="985"/>
      <c r="J477" s="985"/>
      <c r="K477" s="985"/>
      <c r="L477" s="985"/>
      <c r="M477" s="985"/>
      <c r="N477" s="985"/>
    </row>
    <row r="478" spans="1:14">
      <c r="E478" s="985"/>
      <c r="F478" s="985"/>
      <c r="G478" s="985"/>
      <c r="H478" s="985"/>
      <c r="I478" s="985"/>
      <c r="J478" s="985"/>
      <c r="K478" s="985"/>
      <c r="L478" s="985"/>
      <c r="M478" s="985"/>
      <c r="N478" s="985"/>
    </row>
    <row r="479" spans="1:14">
      <c r="E479" s="985"/>
      <c r="F479" s="985"/>
      <c r="G479" s="985"/>
      <c r="H479" s="985"/>
      <c r="I479" s="985"/>
      <c r="J479" s="985"/>
      <c r="K479" s="985"/>
      <c r="L479" s="985"/>
      <c r="M479" s="985"/>
      <c r="N479" s="985"/>
    </row>
    <row r="480" spans="1:14">
      <c r="E480" s="985"/>
      <c r="F480" s="985"/>
      <c r="G480" s="985"/>
      <c r="H480" s="985"/>
      <c r="I480" s="985"/>
      <c r="J480" s="985"/>
      <c r="K480" s="985"/>
      <c r="L480" s="985"/>
      <c r="M480" s="985"/>
      <c r="N480" s="985"/>
    </row>
    <row r="481" spans="1:14">
      <c r="E481" s="985"/>
      <c r="F481" s="985"/>
      <c r="G481" s="985"/>
      <c r="H481" s="985"/>
      <c r="I481" s="985"/>
      <c r="J481" s="985"/>
      <c r="K481" s="985"/>
      <c r="L481" s="985"/>
      <c r="M481" s="985"/>
      <c r="N481" s="985"/>
    </row>
    <row r="484" spans="1:14">
      <c r="A484" s="995" t="s">
        <v>185</v>
      </c>
      <c r="B484" s="995"/>
      <c r="C484" s="995"/>
      <c r="D484" s="995"/>
      <c r="E484" s="992" t="s">
        <v>186</v>
      </c>
      <c r="F484" s="992"/>
      <c r="G484" s="992"/>
      <c r="H484" s="992"/>
      <c r="I484" s="992"/>
      <c r="J484" s="992"/>
      <c r="K484" s="992"/>
      <c r="L484" s="992"/>
      <c r="M484" s="992"/>
      <c r="N484" s="992"/>
    </row>
    <row r="485" spans="1:14">
      <c r="E485" s="992"/>
      <c r="F485" s="992"/>
      <c r="G485" s="992"/>
      <c r="H485" s="992"/>
      <c r="I485" s="992"/>
      <c r="J485" s="992"/>
      <c r="K485" s="992"/>
      <c r="L485" s="992"/>
      <c r="M485" s="992"/>
      <c r="N485" s="992"/>
    </row>
    <row r="486" spans="1:14">
      <c r="E486" s="992"/>
      <c r="F486" s="992"/>
      <c r="G486" s="992"/>
      <c r="H486" s="992"/>
      <c r="I486" s="992"/>
      <c r="J486" s="992"/>
      <c r="K486" s="992"/>
      <c r="L486" s="992"/>
      <c r="M486" s="992"/>
      <c r="N486" s="992"/>
    </row>
    <row r="487" spans="1:14">
      <c r="E487" s="992"/>
      <c r="F487" s="992"/>
      <c r="G487" s="992"/>
      <c r="H487" s="992"/>
      <c r="I487" s="992"/>
      <c r="J487" s="992"/>
      <c r="K487" s="992"/>
      <c r="L487" s="992"/>
      <c r="M487" s="992"/>
      <c r="N487" s="992"/>
    </row>
    <row r="488" spans="1:14">
      <c r="E488" s="992"/>
      <c r="F488" s="992"/>
      <c r="G488" s="992"/>
      <c r="H488" s="992"/>
      <c r="I488" s="992"/>
      <c r="J488" s="992"/>
      <c r="K488" s="992"/>
      <c r="L488" s="992"/>
      <c r="M488" s="992"/>
      <c r="N488" s="992"/>
    </row>
    <row r="489" spans="1:14">
      <c r="E489" s="992"/>
      <c r="F489" s="992"/>
      <c r="G489" s="992"/>
      <c r="H489" s="992"/>
      <c r="I489" s="992"/>
      <c r="J489" s="992"/>
      <c r="K489" s="992"/>
      <c r="L489" s="992"/>
      <c r="M489" s="992"/>
      <c r="N489" s="992"/>
    </row>
    <row r="490" spans="1:14">
      <c r="E490" s="992"/>
      <c r="F490" s="992"/>
      <c r="G490" s="992"/>
      <c r="H490" s="992"/>
      <c r="I490" s="992"/>
      <c r="J490" s="992"/>
      <c r="K490" s="992"/>
      <c r="L490" s="992"/>
      <c r="M490" s="992"/>
      <c r="N490" s="992"/>
    </row>
    <row r="491" spans="1:14">
      <c r="E491" s="992"/>
      <c r="F491" s="992"/>
      <c r="G491" s="992"/>
      <c r="H491" s="992"/>
      <c r="I491" s="992"/>
      <c r="J491" s="992"/>
      <c r="K491" s="992"/>
      <c r="L491" s="992"/>
      <c r="M491" s="992"/>
      <c r="N491" s="992"/>
    </row>
    <row r="492" spans="1:14" ht="15.75" thickBot="1"/>
    <row r="493" spans="1:14" ht="15.75" thickBot="1">
      <c r="A493" s="986" t="s">
        <v>187</v>
      </c>
      <c r="B493" s="986"/>
      <c r="C493" s="986"/>
      <c r="D493" s="986"/>
      <c r="E493" s="990" t="s">
        <v>188</v>
      </c>
      <c r="F493" s="990"/>
      <c r="G493" s="990"/>
      <c r="H493" s="990"/>
      <c r="I493" s="990"/>
      <c r="J493" s="990"/>
      <c r="K493" s="990"/>
      <c r="L493" s="990"/>
      <c r="M493" s="990"/>
      <c r="N493" s="990"/>
    </row>
    <row r="494" spans="1:14" ht="15.75" thickBot="1">
      <c r="E494" s="990"/>
      <c r="F494" s="990"/>
      <c r="G494" s="990"/>
      <c r="H494" s="990"/>
      <c r="I494" s="990"/>
      <c r="J494" s="990"/>
      <c r="K494" s="990"/>
      <c r="L494" s="990"/>
      <c r="M494" s="990"/>
      <c r="N494" s="990"/>
    </row>
    <row r="495" spans="1:14" ht="15.75" thickBot="1">
      <c r="E495" s="990"/>
      <c r="F495" s="990"/>
      <c r="G495" s="990"/>
      <c r="H495" s="990"/>
      <c r="I495" s="990"/>
      <c r="J495" s="990"/>
      <c r="K495" s="990"/>
      <c r="L495" s="990"/>
      <c r="M495" s="990"/>
      <c r="N495" s="990"/>
    </row>
    <row r="496" spans="1:14">
      <c r="E496" s="990"/>
      <c r="F496" s="990"/>
      <c r="G496" s="990"/>
      <c r="H496" s="990"/>
      <c r="I496" s="990"/>
      <c r="J496" s="990"/>
      <c r="K496" s="990"/>
      <c r="L496" s="990"/>
      <c r="M496" s="990"/>
      <c r="N496" s="990"/>
    </row>
    <row r="497" spans="1:14">
      <c r="E497" s="32"/>
      <c r="F497" s="32"/>
      <c r="G497" s="32"/>
      <c r="H497" s="32"/>
      <c r="I497" s="32"/>
      <c r="J497" s="32"/>
      <c r="K497" s="32"/>
      <c r="L497" s="32"/>
      <c r="M497" s="32"/>
      <c r="N497" s="32"/>
    </row>
    <row r="498" spans="1:14">
      <c r="A498" s="991" t="s">
        <v>189</v>
      </c>
      <c r="B498" s="991"/>
      <c r="C498" s="991"/>
      <c r="D498" s="991"/>
      <c r="E498" s="992" t="s">
        <v>190</v>
      </c>
      <c r="F498" s="992"/>
      <c r="G498" s="992"/>
      <c r="H498" s="992"/>
      <c r="I498" s="992"/>
      <c r="J498" s="992"/>
      <c r="K498" s="992"/>
      <c r="L498" s="992"/>
      <c r="M498" s="992"/>
      <c r="N498" s="992"/>
    </row>
    <row r="499" spans="1:14">
      <c r="A499" s="33"/>
      <c r="B499" s="33"/>
      <c r="C499" s="33"/>
      <c r="D499" s="33"/>
      <c r="E499" s="992"/>
      <c r="F499" s="992"/>
      <c r="G499" s="992"/>
      <c r="H499" s="992"/>
      <c r="I499" s="992"/>
      <c r="J499" s="992"/>
      <c r="K499" s="992"/>
      <c r="L499" s="992"/>
      <c r="M499" s="992"/>
      <c r="N499" s="992"/>
    </row>
    <row r="500" spans="1:14">
      <c r="E500" s="992"/>
      <c r="F500" s="992"/>
      <c r="G500" s="992"/>
      <c r="H500" s="992"/>
      <c r="I500" s="992"/>
      <c r="J500" s="992"/>
      <c r="K500" s="992"/>
      <c r="L500" s="992"/>
      <c r="M500" s="992"/>
      <c r="N500" s="992"/>
    </row>
    <row r="501" spans="1:14">
      <c r="E501" s="992"/>
      <c r="F501" s="992"/>
      <c r="G501" s="992"/>
      <c r="H501" s="992"/>
      <c r="I501" s="992"/>
      <c r="J501" s="992"/>
      <c r="K501" s="992"/>
      <c r="L501" s="992"/>
      <c r="M501" s="992"/>
      <c r="N501" s="992"/>
    </row>
    <row r="502" spans="1:14" ht="15.75" thickBot="1"/>
    <row r="503" spans="1:14" ht="15.75" thickBot="1">
      <c r="A503" s="986" t="s">
        <v>191</v>
      </c>
      <c r="B503" s="986"/>
      <c r="C503" s="986"/>
      <c r="D503" s="986"/>
      <c r="E503" s="993" t="s">
        <v>192</v>
      </c>
      <c r="F503" s="993"/>
      <c r="G503" s="993"/>
      <c r="H503" s="993"/>
      <c r="I503" s="993"/>
      <c r="J503" s="993"/>
      <c r="K503" s="993"/>
      <c r="L503" s="993"/>
      <c r="M503" s="993"/>
      <c r="N503" s="993"/>
    </row>
    <row r="505" spans="1:14">
      <c r="A505" s="981" t="s">
        <v>193</v>
      </c>
      <c r="B505" s="981"/>
      <c r="C505" s="981"/>
      <c r="D505" s="981"/>
      <c r="E505" s="985" t="s">
        <v>194</v>
      </c>
      <c r="F505" s="985"/>
      <c r="G505" s="985"/>
      <c r="H505" s="985"/>
      <c r="I505" s="985"/>
      <c r="J505" s="985"/>
      <c r="K505" s="985"/>
      <c r="L505" s="985"/>
      <c r="M505" s="985"/>
      <c r="N505" s="985"/>
    </row>
    <row r="506" spans="1:14">
      <c r="E506" s="985"/>
      <c r="F506" s="985"/>
      <c r="G506" s="985"/>
      <c r="H506" s="985"/>
      <c r="I506" s="985"/>
      <c r="J506" s="985"/>
      <c r="K506" s="985"/>
      <c r="L506" s="985"/>
      <c r="M506" s="985"/>
      <c r="N506" s="985"/>
    </row>
    <row r="507" spans="1:14">
      <c r="E507" s="985"/>
      <c r="F507" s="985"/>
      <c r="G507" s="985"/>
      <c r="H507" s="985"/>
      <c r="I507" s="985"/>
      <c r="J507" s="985"/>
      <c r="K507" s="985"/>
      <c r="L507" s="985"/>
      <c r="M507" s="985"/>
      <c r="N507" s="985"/>
    </row>
    <row r="508" spans="1:14">
      <c r="E508" s="985"/>
      <c r="F508" s="985"/>
      <c r="G508" s="985"/>
      <c r="H508" s="985"/>
      <c r="I508" s="985"/>
      <c r="J508" s="985"/>
      <c r="K508" s="985"/>
      <c r="L508" s="985"/>
      <c r="M508" s="985"/>
      <c r="N508" s="985"/>
    </row>
    <row r="509" spans="1:14">
      <c r="E509" s="985"/>
      <c r="F509" s="985"/>
      <c r="G509" s="985"/>
      <c r="H509" s="985"/>
      <c r="I509" s="985"/>
      <c r="J509" s="985"/>
      <c r="K509" s="985"/>
      <c r="L509" s="985"/>
      <c r="M509" s="985"/>
      <c r="N509" s="985"/>
    </row>
    <row r="510" spans="1:14">
      <c r="E510" s="985"/>
      <c r="F510" s="985"/>
      <c r="G510" s="985"/>
      <c r="H510" s="985"/>
      <c r="I510" s="985"/>
      <c r="J510" s="985"/>
      <c r="K510" s="985"/>
      <c r="L510" s="985"/>
      <c r="M510" s="985"/>
      <c r="N510" s="985"/>
    </row>
    <row r="511" spans="1:14">
      <c r="E511" s="985"/>
      <c r="F511" s="985"/>
      <c r="G511" s="985"/>
      <c r="H511" s="985"/>
      <c r="I511" s="985"/>
      <c r="J511" s="985"/>
      <c r="K511" s="985"/>
      <c r="L511" s="985"/>
      <c r="M511" s="985"/>
      <c r="N511" s="985"/>
    </row>
    <row r="512" spans="1:14">
      <c r="C512" s="4"/>
      <c r="E512" s="985"/>
      <c r="F512" s="985"/>
      <c r="G512" s="985"/>
      <c r="H512" s="985"/>
      <c r="I512" s="985"/>
      <c r="J512" s="985"/>
      <c r="K512" s="985"/>
      <c r="L512" s="985"/>
      <c r="M512" s="985"/>
      <c r="N512" s="985"/>
    </row>
    <row r="513" spans="1:14">
      <c r="E513" s="985"/>
      <c r="F513" s="985"/>
      <c r="G513" s="985"/>
      <c r="H513" s="985"/>
      <c r="I513" s="985"/>
      <c r="J513" s="985"/>
      <c r="K513" s="985"/>
      <c r="L513" s="985"/>
      <c r="M513" s="985"/>
      <c r="N513" s="985"/>
    </row>
    <row r="514" spans="1:14" ht="15.75" thickBot="1">
      <c r="E514" s="32"/>
      <c r="F514" s="32"/>
      <c r="G514" s="32"/>
      <c r="H514" s="32"/>
      <c r="I514" s="32"/>
      <c r="J514" s="32"/>
      <c r="K514" s="32"/>
      <c r="L514" s="32"/>
      <c r="M514" s="32"/>
      <c r="N514" s="32"/>
    </row>
    <row r="515" spans="1:14" ht="15.75" thickBot="1">
      <c r="A515" s="986" t="s">
        <v>195</v>
      </c>
      <c r="B515" s="986"/>
      <c r="C515" s="986"/>
      <c r="D515" s="986"/>
      <c r="E515" s="987" t="s">
        <v>196</v>
      </c>
      <c r="F515" s="987"/>
      <c r="G515" s="987"/>
      <c r="H515" s="987"/>
      <c r="I515" s="987"/>
      <c r="J515" s="987"/>
      <c r="K515" s="987"/>
      <c r="L515" s="987"/>
      <c r="M515" s="987"/>
      <c r="N515" s="987"/>
    </row>
    <row r="519" spans="1:14" ht="15.75">
      <c r="A519" s="988" t="s">
        <v>29</v>
      </c>
      <c r="B519" s="988"/>
    </row>
    <row r="520" spans="1:14" ht="15.75" thickBot="1"/>
    <row r="521" spans="1:14" ht="15.75" thickBot="1">
      <c r="A521" s="989" t="s">
        <v>197</v>
      </c>
      <c r="B521" s="989"/>
      <c r="C521" s="989"/>
      <c r="D521" s="989"/>
      <c r="E521" s="989"/>
      <c r="F521" s="34" t="s">
        <v>198</v>
      </c>
      <c r="G521" s="35"/>
      <c r="H521" s="35"/>
      <c r="I521" s="35"/>
      <c r="J521" s="35"/>
      <c r="K521" s="35"/>
      <c r="L521" s="35"/>
      <c r="M521" s="35"/>
      <c r="N521" s="35"/>
    </row>
    <row r="523" spans="1:14">
      <c r="A523" s="981" t="s">
        <v>199</v>
      </c>
      <c r="B523" s="981"/>
      <c r="C523" s="981"/>
      <c r="D523" s="981"/>
      <c r="E523" s="981"/>
      <c r="F523" s="982" t="s">
        <v>200</v>
      </c>
      <c r="G523" s="982"/>
      <c r="H523" s="982"/>
      <c r="I523" s="982"/>
      <c r="J523" s="982"/>
      <c r="K523" s="982"/>
      <c r="L523" s="982"/>
      <c r="M523" s="982"/>
      <c r="N523" s="982"/>
    </row>
    <row r="524" spans="1:14">
      <c r="F524" s="982"/>
      <c r="G524" s="982"/>
      <c r="H524" s="982"/>
      <c r="I524" s="982"/>
      <c r="J524" s="982"/>
      <c r="K524" s="982"/>
      <c r="L524" s="982"/>
      <c r="M524" s="982"/>
      <c r="N524" s="982"/>
    </row>
    <row r="525" spans="1:14">
      <c r="F525" s="982"/>
      <c r="G525" s="982"/>
      <c r="H525" s="982"/>
      <c r="I525" s="982"/>
      <c r="J525" s="982"/>
      <c r="K525" s="982"/>
      <c r="L525" s="982"/>
      <c r="M525" s="982"/>
      <c r="N525" s="982"/>
    </row>
    <row r="527" spans="1:14">
      <c r="A527" s="983" t="s">
        <v>31</v>
      </c>
      <c r="B527" s="983"/>
    </row>
    <row r="531" spans="1:14">
      <c r="A531" s="984" t="s">
        <v>32</v>
      </c>
      <c r="B531" s="984"/>
      <c r="C531" s="984"/>
      <c r="D531" s="984"/>
      <c r="E531" s="984"/>
    </row>
    <row r="532" spans="1:14">
      <c r="I532" s="4"/>
    </row>
    <row r="534" spans="1:14">
      <c r="A534" s="981" t="s">
        <v>201</v>
      </c>
      <c r="B534" s="981"/>
      <c r="C534" s="981"/>
      <c r="D534" s="981"/>
      <c r="E534" s="981"/>
      <c r="F534" s="985" t="s">
        <v>202</v>
      </c>
      <c r="G534" s="985"/>
      <c r="H534" s="985"/>
      <c r="I534" s="985"/>
      <c r="J534" s="985"/>
      <c r="K534" s="985"/>
      <c r="L534" s="985"/>
      <c r="M534" s="985"/>
      <c r="N534" s="985"/>
    </row>
    <row r="535" spans="1:14">
      <c r="F535" s="985"/>
      <c r="G535" s="985"/>
      <c r="H535" s="985"/>
      <c r="I535" s="985"/>
      <c r="J535" s="985"/>
      <c r="K535" s="985"/>
      <c r="L535" s="985"/>
      <c r="M535" s="985"/>
      <c r="N535" s="985"/>
    </row>
    <row r="536" spans="1:14">
      <c r="F536" s="985"/>
      <c r="G536" s="985"/>
      <c r="H536" s="985"/>
      <c r="I536" s="985"/>
      <c r="J536" s="985"/>
      <c r="K536" s="985"/>
      <c r="L536" s="985"/>
      <c r="M536" s="985"/>
      <c r="N536" s="985"/>
    </row>
    <row r="537" spans="1:14">
      <c r="F537" s="985"/>
      <c r="G537" s="985"/>
      <c r="H537" s="985"/>
      <c r="I537" s="985"/>
      <c r="J537" s="985"/>
      <c r="K537" s="985"/>
      <c r="L537" s="985"/>
      <c r="M537" s="985"/>
      <c r="N537" s="985"/>
    </row>
    <row r="538" spans="1:14">
      <c r="F538" s="985"/>
      <c r="G538" s="985"/>
      <c r="H538" s="985"/>
      <c r="I538" s="985"/>
      <c r="J538" s="985"/>
      <c r="K538" s="985"/>
      <c r="L538" s="985"/>
      <c r="M538" s="985"/>
      <c r="N538" s="985"/>
    </row>
    <row r="539" spans="1:14">
      <c r="F539" s="985"/>
      <c r="G539" s="985"/>
      <c r="H539" s="985"/>
      <c r="I539" s="985"/>
      <c r="J539" s="985"/>
      <c r="K539" s="985"/>
      <c r="L539" s="985"/>
      <c r="M539" s="985"/>
      <c r="N539" s="985"/>
    </row>
    <row r="540" spans="1:14">
      <c r="F540" s="985"/>
      <c r="G540" s="985"/>
      <c r="H540" s="985"/>
      <c r="I540" s="985"/>
      <c r="J540" s="985"/>
      <c r="K540" s="985"/>
      <c r="L540" s="985"/>
      <c r="M540" s="985"/>
      <c r="N540" s="985"/>
    </row>
    <row r="541" spans="1:14">
      <c r="F541" s="985"/>
      <c r="G541" s="985"/>
      <c r="H541" s="985"/>
      <c r="I541" s="985"/>
      <c r="J541" s="985"/>
      <c r="K541" s="985"/>
      <c r="L541" s="985"/>
      <c r="M541" s="985"/>
      <c r="N541" s="985"/>
    </row>
    <row r="542" spans="1:14">
      <c r="F542" s="32"/>
      <c r="G542" s="32"/>
      <c r="H542" s="32"/>
      <c r="I542" s="32"/>
      <c r="J542" s="32"/>
      <c r="K542" s="32"/>
      <c r="L542" s="32"/>
      <c r="M542" s="32"/>
      <c r="N542" s="32"/>
    </row>
    <row r="543" spans="1:14">
      <c r="A543" s="981" t="s">
        <v>203</v>
      </c>
      <c r="B543" s="981"/>
      <c r="C543" s="981"/>
      <c r="D543" s="981"/>
      <c r="E543" s="981"/>
      <c r="F543" s="982" t="s">
        <v>204</v>
      </c>
      <c r="G543" s="982"/>
      <c r="H543" s="982"/>
      <c r="I543" s="982"/>
      <c r="J543" s="982"/>
      <c r="K543" s="982"/>
      <c r="L543" s="982"/>
      <c r="M543" s="982"/>
      <c r="N543" s="982"/>
    </row>
    <row r="544" spans="1:14">
      <c r="F544" s="982"/>
      <c r="G544" s="982"/>
      <c r="H544" s="982"/>
      <c r="I544" s="982"/>
      <c r="J544" s="982"/>
      <c r="K544" s="982"/>
      <c r="L544" s="982"/>
      <c r="M544" s="982"/>
      <c r="N544" s="982"/>
    </row>
    <row r="545" spans="1:14">
      <c r="F545" s="982"/>
      <c r="G545" s="982"/>
      <c r="H545" s="982"/>
      <c r="I545" s="982"/>
      <c r="J545" s="982"/>
      <c r="K545" s="982"/>
      <c r="L545" s="982"/>
      <c r="M545" s="982"/>
      <c r="N545" s="982"/>
    </row>
    <row r="546" spans="1:14">
      <c r="F546" s="982"/>
      <c r="G546" s="982"/>
      <c r="H546" s="982"/>
      <c r="I546" s="982"/>
      <c r="J546" s="982"/>
      <c r="K546" s="982"/>
      <c r="L546" s="982"/>
      <c r="M546" s="982"/>
      <c r="N546" s="982"/>
    </row>
    <row r="547" spans="1:14">
      <c r="F547" s="982"/>
      <c r="G547" s="982"/>
      <c r="H547" s="982"/>
      <c r="I547" s="982"/>
      <c r="J547" s="982"/>
      <c r="K547" s="982"/>
      <c r="L547" s="982"/>
      <c r="M547" s="982"/>
      <c r="N547" s="982"/>
    </row>
    <row r="549" spans="1:14">
      <c r="A549" s="981" t="s">
        <v>205</v>
      </c>
      <c r="B549" s="981"/>
      <c r="C549" s="981"/>
      <c r="D549" s="981"/>
      <c r="E549" s="981"/>
      <c r="F549" s="982" t="s">
        <v>206</v>
      </c>
      <c r="G549" s="982"/>
      <c r="H549" s="982"/>
      <c r="I549" s="982"/>
      <c r="J549" s="982"/>
      <c r="K549" s="982"/>
      <c r="L549" s="982"/>
      <c r="M549" s="982"/>
      <c r="N549" s="982"/>
    </row>
    <row r="550" spans="1:14">
      <c r="F550" s="982"/>
      <c r="G550" s="982"/>
      <c r="H550" s="982"/>
      <c r="I550" s="982"/>
      <c r="J550" s="982"/>
      <c r="K550" s="982"/>
      <c r="L550" s="982"/>
      <c r="M550" s="982"/>
      <c r="N550" s="982"/>
    </row>
    <row r="551" spans="1:14">
      <c r="F551" s="982"/>
      <c r="G551" s="982"/>
      <c r="H551" s="982"/>
      <c r="I551" s="982"/>
      <c r="J551" s="982"/>
      <c r="K551" s="982"/>
      <c r="L551" s="982"/>
      <c r="M551" s="982"/>
      <c r="N551" s="982"/>
    </row>
    <row r="552" spans="1:14">
      <c r="F552" s="982"/>
      <c r="G552" s="982"/>
      <c r="H552" s="982"/>
      <c r="I552" s="982"/>
      <c r="J552" s="982"/>
      <c r="K552" s="982"/>
      <c r="L552" s="982"/>
      <c r="M552" s="982"/>
      <c r="N552" s="982"/>
    </row>
    <row r="553" spans="1:14">
      <c r="F553" s="982"/>
      <c r="G553" s="982"/>
      <c r="H553" s="982"/>
      <c r="I553" s="982"/>
      <c r="J553" s="982"/>
      <c r="K553" s="982"/>
      <c r="L553" s="982"/>
      <c r="M553" s="982"/>
      <c r="N553" s="982"/>
    </row>
    <row r="554" spans="1:14">
      <c r="F554" s="982"/>
      <c r="G554" s="982"/>
      <c r="H554" s="982"/>
      <c r="I554" s="982"/>
      <c r="J554" s="982"/>
      <c r="K554" s="982"/>
      <c r="L554" s="982"/>
      <c r="M554" s="982"/>
      <c r="N554" s="982"/>
    </row>
  </sheetData>
  <mergeCells count="277">
    <mergeCell ref="F15:I15"/>
    <mergeCell ref="A17:C17"/>
    <mergeCell ref="H17:I17"/>
    <mergeCell ref="H18:I18"/>
    <mergeCell ref="A22:C22"/>
    <mergeCell ref="E22:M22"/>
    <mergeCell ref="B5:C5"/>
    <mergeCell ref="D6:E6"/>
    <mergeCell ref="G6:K6"/>
    <mergeCell ref="D8:E8"/>
    <mergeCell ref="H8:I8"/>
    <mergeCell ref="H9:I9"/>
    <mergeCell ref="A21:C21"/>
    <mergeCell ref="A18:C18"/>
    <mergeCell ref="A20:C20"/>
    <mergeCell ref="D19:K19"/>
    <mergeCell ref="B1:H1"/>
    <mergeCell ref="B2:H2"/>
    <mergeCell ref="B3:J3"/>
    <mergeCell ref="B4:I4"/>
    <mergeCell ref="K4:L4"/>
    <mergeCell ref="H14:I14"/>
    <mergeCell ref="H10:I10"/>
    <mergeCell ref="L10:N10"/>
    <mergeCell ref="H12:I12"/>
    <mergeCell ref="H13:I13"/>
    <mergeCell ref="M4:N4"/>
    <mergeCell ref="A12:C12"/>
    <mergeCell ref="A36:B36"/>
    <mergeCell ref="A38:B38"/>
    <mergeCell ref="A32:B32"/>
    <mergeCell ref="A34:B34"/>
    <mergeCell ref="A37:B37"/>
    <mergeCell ref="L38:M38"/>
    <mergeCell ref="A53:D53"/>
    <mergeCell ref="A54:C54"/>
    <mergeCell ref="A23:C23"/>
    <mergeCell ref="A24:C24"/>
    <mergeCell ref="F24:I24"/>
    <mergeCell ref="F27:G27"/>
    <mergeCell ref="K27:M27"/>
    <mergeCell ref="E28:F28"/>
    <mergeCell ref="A35:B35"/>
    <mergeCell ref="L35:M35"/>
    <mergeCell ref="A25:D25"/>
    <mergeCell ref="A26:D26"/>
    <mergeCell ref="E25:J25"/>
    <mergeCell ref="E26:F26"/>
    <mergeCell ref="E23:M23"/>
    <mergeCell ref="A52:N52"/>
    <mergeCell ref="A55:B55"/>
    <mergeCell ref="A57:B57"/>
    <mergeCell ref="A59:B59"/>
    <mergeCell ref="A60:C60"/>
    <mergeCell ref="O38:T38"/>
    <mergeCell ref="O39:T39"/>
    <mergeCell ref="O40:S40"/>
    <mergeCell ref="O41:S41"/>
    <mergeCell ref="A39:B39"/>
    <mergeCell ref="L39:M39"/>
    <mergeCell ref="A41:B41"/>
    <mergeCell ref="C41:N41"/>
    <mergeCell ref="A70:C70"/>
    <mergeCell ref="A73:B73"/>
    <mergeCell ref="A75:C75"/>
    <mergeCell ref="A78:B78"/>
    <mergeCell ref="C79:F79"/>
    <mergeCell ref="A80:C80"/>
    <mergeCell ref="A61:C61"/>
    <mergeCell ref="A62:B62"/>
    <mergeCell ref="A64:B64"/>
    <mergeCell ref="A66:B66"/>
    <mergeCell ref="A68:B68"/>
    <mergeCell ref="A69:C69"/>
    <mergeCell ref="D108:E108"/>
    <mergeCell ref="A109:F109"/>
    <mergeCell ref="D121:E121"/>
    <mergeCell ref="D122:E122"/>
    <mergeCell ref="D123:E123"/>
    <mergeCell ref="A124:F124"/>
    <mergeCell ref="A83:B83"/>
    <mergeCell ref="A93:C93"/>
    <mergeCell ref="F93:J93"/>
    <mergeCell ref="A94:F94"/>
    <mergeCell ref="D106:E106"/>
    <mergeCell ref="D107:E107"/>
    <mergeCell ref="P154:S154"/>
    <mergeCell ref="P155:S155"/>
    <mergeCell ref="A156:B156"/>
    <mergeCell ref="D156:E156"/>
    <mergeCell ref="G156:H156"/>
    <mergeCell ref="J156:K156"/>
    <mergeCell ref="M156:N156"/>
    <mergeCell ref="D136:E136"/>
    <mergeCell ref="D137:E137"/>
    <mergeCell ref="D138:E138"/>
    <mergeCell ref="A140:F140"/>
    <mergeCell ref="I152:M152"/>
    <mergeCell ref="P153:S153"/>
    <mergeCell ref="N151:N152"/>
    <mergeCell ref="L189:M189"/>
    <mergeCell ref="A186:B186"/>
    <mergeCell ref="E186:F186"/>
    <mergeCell ref="I186:J186"/>
    <mergeCell ref="A188:B188"/>
    <mergeCell ref="C188:H188"/>
    <mergeCell ref="I188:K188"/>
    <mergeCell ref="A177:C177"/>
    <mergeCell ref="B181:H181"/>
    <mergeCell ref="B182:K182"/>
    <mergeCell ref="M184:N184"/>
    <mergeCell ref="B185:C185"/>
    <mergeCell ref="K185:L185"/>
    <mergeCell ref="A187:C187"/>
    <mergeCell ref="C183:K183"/>
    <mergeCell ref="A190:B190"/>
    <mergeCell ref="J190:K190"/>
    <mergeCell ref="A191:B191"/>
    <mergeCell ref="J191:K191"/>
    <mergeCell ref="A192:B192"/>
    <mergeCell ref="J192:K192"/>
    <mergeCell ref="A189:B189"/>
    <mergeCell ref="C189:D189"/>
    <mergeCell ref="E189:F189"/>
    <mergeCell ref="G189:H189"/>
    <mergeCell ref="I189:K189"/>
    <mergeCell ref="A197:B197"/>
    <mergeCell ref="J197:K197"/>
    <mergeCell ref="I199:J199"/>
    <mergeCell ref="A204:B204"/>
    <mergeCell ref="A205:B205"/>
    <mergeCell ref="A207:B207"/>
    <mergeCell ref="J193:K193"/>
    <mergeCell ref="A194:B194"/>
    <mergeCell ref="J194:K194"/>
    <mergeCell ref="A195:B195"/>
    <mergeCell ref="J195:K195"/>
    <mergeCell ref="A196:B196"/>
    <mergeCell ref="J196:K196"/>
    <mergeCell ref="A208:B208"/>
    <mergeCell ref="A209:B209"/>
    <mergeCell ref="A210:B210"/>
    <mergeCell ref="A211:C211"/>
    <mergeCell ref="A212:B212"/>
    <mergeCell ref="E229:F229"/>
    <mergeCell ref="E230:F230"/>
    <mergeCell ref="E231:F231"/>
    <mergeCell ref="E232:F232"/>
    <mergeCell ref="E233:G233"/>
    <mergeCell ref="E235:F235"/>
    <mergeCell ref="E226:F226"/>
    <mergeCell ref="I226:K226"/>
    <mergeCell ref="E227:F227"/>
    <mergeCell ref="I227:K227"/>
    <mergeCell ref="E228:F228"/>
    <mergeCell ref="J248:K248"/>
    <mergeCell ref="D259:F259"/>
    <mergeCell ref="A268:N268"/>
    <mergeCell ref="B271:C271"/>
    <mergeCell ref="D271:M271"/>
    <mergeCell ref="B275:H275"/>
    <mergeCell ref="E236:F236"/>
    <mergeCell ref="E237:F237"/>
    <mergeCell ref="E238:F238"/>
    <mergeCell ref="E239:F239"/>
    <mergeCell ref="E240:F240"/>
    <mergeCell ref="J247:K247"/>
    <mergeCell ref="D280:E280"/>
    <mergeCell ref="F280:G280"/>
    <mergeCell ref="I280:J280"/>
    <mergeCell ref="K280:M280"/>
    <mergeCell ref="E281:F281"/>
    <mergeCell ref="A285:B285"/>
    <mergeCell ref="B276:H276"/>
    <mergeCell ref="B277:J277"/>
    <mergeCell ref="B278:G278"/>
    <mergeCell ref="I278:J278"/>
    <mergeCell ref="M278:N278"/>
    <mergeCell ref="A279:F279"/>
    <mergeCell ref="A291:B291"/>
    <mergeCell ref="L291:M291"/>
    <mergeCell ref="A292:B292"/>
    <mergeCell ref="L292:M292"/>
    <mergeCell ref="A302:D302"/>
    <mergeCell ref="E302:F302"/>
    <mergeCell ref="H302:I302"/>
    <mergeCell ref="K302:M302"/>
    <mergeCell ref="A287:B287"/>
    <mergeCell ref="A288:B288"/>
    <mergeCell ref="H288:J288"/>
    <mergeCell ref="L288:M288"/>
    <mergeCell ref="A289:B289"/>
    <mergeCell ref="A290:B290"/>
    <mergeCell ref="A306:D306"/>
    <mergeCell ref="K306:L306"/>
    <mergeCell ref="A307:F307"/>
    <mergeCell ref="C308:D308"/>
    <mergeCell ref="F308:N308"/>
    <mergeCell ref="E321:F321"/>
    <mergeCell ref="A303:D303"/>
    <mergeCell ref="K303:L303"/>
    <mergeCell ref="A304:D304"/>
    <mergeCell ref="K304:L304"/>
    <mergeCell ref="A305:D305"/>
    <mergeCell ref="K305:L305"/>
    <mergeCell ref="A328:C328"/>
    <mergeCell ref="A329:C329"/>
    <mergeCell ref="A330:C330"/>
    <mergeCell ref="A331:C331"/>
    <mergeCell ref="A332:C332"/>
    <mergeCell ref="A333:C333"/>
    <mergeCell ref="A322:C322"/>
    <mergeCell ref="A323:C323"/>
    <mergeCell ref="A324:C324"/>
    <mergeCell ref="A325:C325"/>
    <mergeCell ref="A326:C326"/>
    <mergeCell ref="A327:C327"/>
    <mergeCell ref="A353:N357"/>
    <mergeCell ref="A360:B360"/>
    <mergeCell ref="A362:E362"/>
    <mergeCell ref="A363:B363"/>
    <mergeCell ref="A364:E364"/>
    <mergeCell ref="A370:N370"/>
    <mergeCell ref="A334:C334"/>
    <mergeCell ref="A335:C335"/>
    <mergeCell ref="A336:C336"/>
    <mergeCell ref="A338:N342"/>
    <mergeCell ref="A343:N347"/>
    <mergeCell ref="A348:N352"/>
    <mergeCell ref="A427:D432"/>
    <mergeCell ref="E427:I432"/>
    <mergeCell ref="J427:N432"/>
    <mergeCell ref="A458:D458"/>
    <mergeCell ref="E458:N458"/>
    <mergeCell ref="A460:D460"/>
    <mergeCell ref="E460:N461"/>
    <mergeCell ref="A371:N371"/>
    <mergeCell ref="B372:D372"/>
    <mergeCell ref="B373:M373"/>
    <mergeCell ref="B374:E374"/>
    <mergeCell ref="K375:N375"/>
    <mergeCell ref="K415:N415"/>
    <mergeCell ref="A471:D471"/>
    <mergeCell ref="E471:N472"/>
    <mergeCell ref="A474:D474"/>
    <mergeCell ref="A476:D476"/>
    <mergeCell ref="E476:N481"/>
    <mergeCell ref="A484:D484"/>
    <mergeCell ref="E484:N491"/>
    <mergeCell ref="A463:D463"/>
    <mergeCell ref="E463:N463"/>
    <mergeCell ref="A465:D465"/>
    <mergeCell ref="E465:N466"/>
    <mergeCell ref="A468:D468"/>
    <mergeCell ref="E468:N469"/>
    <mergeCell ref="A505:D505"/>
    <mergeCell ref="E505:N513"/>
    <mergeCell ref="A515:D515"/>
    <mergeCell ref="E515:N515"/>
    <mergeCell ref="A519:B519"/>
    <mergeCell ref="A521:E521"/>
    <mergeCell ref="A493:D493"/>
    <mergeCell ref="E493:N496"/>
    <mergeCell ref="A498:D498"/>
    <mergeCell ref="E498:N501"/>
    <mergeCell ref="A503:D503"/>
    <mergeCell ref="E503:N503"/>
    <mergeCell ref="A543:E543"/>
    <mergeCell ref="F543:N547"/>
    <mergeCell ref="A549:E549"/>
    <mergeCell ref="F549:N554"/>
    <mergeCell ref="A523:E523"/>
    <mergeCell ref="F523:N525"/>
    <mergeCell ref="A527:B527"/>
    <mergeCell ref="A531:E531"/>
    <mergeCell ref="A534:E534"/>
    <mergeCell ref="F534:N541"/>
  </mergeCells>
  <dataValidations count="18">
    <dataValidation type="list" allowBlank="1" showInputMessage="1" showErrorMessage="1" sqref="I152">
      <formula1>$P$148:$P$152</formula1>
    </dataValidation>
    <dataValidation type="list" allowBlank="1" showInputMessage="1" showErrorMessage="1" sqref="F280:G280">
      <formula1>$P$270:$P$279</formula1>
    </dataValidation>
    <dataValidation type="list" allowBlank="1" showInputMessage="1" showErrorMessage="1" sqref="K280:M280">
      <formula1>$R$270:$R$279</formula1>
    </dataValidation>
    <dataValidation type="list" allowBlank="1" showInputMessage="1" showErrorMessage="1" sqref="D281">
      <formula1>$T$270:$T$281</formula1>
    </dataValidation>
    <dataValidation type="list" allowBlank="1" showInputMessage="1" showErrorMessage="1" sqref="G281">
      <formula1>$U$270:$U$281</formula1>
    </dataValidation>
    <dataValidation type="list" allowBlank="1" showInputMessage="1" showErrorMessage="1" sqref="C285">
      <formula1>$P$281:$P$282</formula1>
    </dataValidation>
    <dataValidation type="list" allowBlank="1" showInputMessage="1" showErrorMessage="1" sqref="L292:M292">
      <formula1>$R$281:$R$282</formula1>
    </dataValidation>
    <dataValidation type="list" allowBlank="1" showInputMessage="1" showErrorMessage="1" sqref="F158">
      <formula1>$U$134:$U$149</formula1>
    </dataValidation>
    <dataValidation type="list" allowBlank="1" showInputMessage="1" showErrorMessage="1" sqref="C363">
      <formula1>$O$362:$O$366</formula1>
    </dataValidation>
    <dataValidation type="list" allowBlank="1" showInputMessage="1" showErrorMessage="1" sqref="H374">
      <formula1>$O$371:$O$378</formula1>
    </dataValidation>
    <dataValidation type="list" allowBlank="1" showInputMessage="1" showErrorMessage="1" sqref="C41:N41">
      <formula1>$O$38:$O$42</formula1>
    </dataValidation>
    <dataValidation type="list" allowBlank="1" showInputMessage="1" showErrorMessage="1" sqref="K27:M27">
      <formula1>$R$268:$R$278</formula1>
    </dataValidation>
    <dataValidation type="list" allowBlank="1" showInputMessage="1" showErrorMessage="1" sqref="F27">
      <formula1>$P$269:$P$278</formula1>
    </dataValidation>
    <dataValidation type="list" allowBlank="1" showInputMessage="1" showErrorMessage="1" sqref="D28">
      <formula1>$T$269:$T$280</formula1>
    </dataValidation>
    <dataValidation type="list" allowBlank="1" showInputMessage="1" showErrorMessage="1" sqref="G28">
      <formula1>$U$269:$U$280</formula1>
    </dataValidation>
    <dataValidation type="list" allowBlank="1" showInputMessage="1" showErrorMessage="1" sqref="C32">
      <formula1>$P$280:$P$281</formula1>
    </dataValidation>
    <dataValidation type="list" allowBlank="1" showInputMessage="1" showErrorMessage="1" sqref="L39:M39">
      <formula1>$R$280:$R$281</formula1>
    </dataValidation>
    <dataValidation type="list" allowBlank="1" showInputMessage="1" showErrorMessage="1" sqref="E25:J25">
      <formula1>$Q$19:$Q$23</formula1>
    </dataValidation>
  </dataValidations>
  <pageMargins left="0.25" right="0.25" top="0.75" bottom="0.75" header="0.3" footer="0.3"/>
  <pageSetup firstPageNumber="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1"/>
  <sheetViews>
    <sheetView showGridLines="0" showRowColHeaders="0" topLeftCell="A227" zoomScaleNormal="100" zoomScalePageLayoutView="60" workbookViewId="0">
      <selection activeCell="R233" sqref="R233"/>
    </sheetView>
  </sheetViews>
  <sheetFormatPr baseColWidth="10" defaultRowHeight="15" outlineLevelRow="7"/>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5">
      <c r="A1" s="357" t="s">
        <v>539</v>
      </c>
      <c r="B1" s="1086" t="s">
        <v>71</v>
      </c>
      <c r="C1" s="1086"/>
      <c r="D1" s="1086"/>
      <c r="E1" s="1086"/>
      <c r="F1" s="1086"/>
      <c r="G1" s="1086"/>
      <c r="H1" s="1086"/>
      <c r="I1" s="357"/>
      <c r="J1" s="357"/>
      <c r="K1" s="357"/>
      <c r="L1" s="357"/>
      <c r="M1" s="357"/>
      <c r="N1" s="357"/>
      <c r="O1" s="541"/>
      <c r="P1" s="541"/>
      <c r="Q1" s="541"/>
      <c r="R1" s="541"/>
      <c r="S1" s="541"/>
      <c r="T1" s="542"/>
      <c r="U1" s="542"/>
      <c r="V1" s="542"/>
      <c r="W1" s="535"/>
      <c r="X1" s="535"/>
      <c r="Y1" s="535"/>
    </row>
    <row r="2" spans="1:25">
      <c r="A2" s="357" t="s">
        <v>540</v>
      </c>
      <c r="B2" s="1086" t="s">
        <v>547</v>
      </c>
      <c r="C2" s="1086"/>
      <c r="D2" s="1086"/>
      <c r="E2" s="1086"/>
      <c r="F2" s="1086"/>
      <c r="G2" s="1086"/>
      <c r="H2" s="1086"/>
      <c r="I2" s="357"/>
      <c r="J2" s="357"/>
      <c r="K2" s="357"/>
      <c r="L2" s="357"/>
      <c r="M2" s="357"/>
      <c r="N2" s="357"/>
      <c r="O2" s="541"/>
      <c r="P2" s="541"/>
      <c r="Q2" s="541"/>
      <c r="R2" s="541"/>
      <c r="S2" s="541"/>
      <c r="T2" s="542"/>
      <c r="U2" s="542"/>
      <c r="V2" s="542"/>
      <c r="W2" s="535"/>
      <c r="X2" s="535"/>
      <c r="Y2" s="535"/>
    </row>
    <row r="3" spans="1:25">
      <c r="A3" s="500"/>
      <c r="B3" s="1087" t="s">
        <v>1</v>
      </c>
      <c r="C3" s="1087"/>
      <c r="D3" s="1087"/>
      <c r="E3" s="1087"/>
      <c r="F3" s="1087"/>
      <c r="G3" s="1087"/>
      <c r="H3" s="1087"/>
      <c r="I3" s="1087"/>
      <c r="J3" s="1087"/>
      <c r="K3" s="500"/>
      <c r="L3" s="500"/>
      <c r="M3" s="500"/>
      <c r="N3" s="500"/>
      <c r="O3" s="541"/>
      <c r="P3" s="541"/>
      <c r="Q3" s="541"/>
      <c r="R3" s="541"/>
      <c r="S3" s="541"/>
      <c r="T3" s="542"/>
      <c r="U3" s="542"/>
      <c r="V3" s="542"/>
      <c r="W3" s="535"/>
      <c r="X3" s="535"/>
      <c r="Y3" s="535"/>
    </row>
    <row r="4" spans="1:25">
      <c r="A4" s="379" t="s">
        <v>2</v>
      </c>
      <c r="B4" s="1170" t="s">
        <v>648</v>
      </c>
      <c r="C4" s="1171"/>
      <c r="D4" s="1171"/>
      <c r="E4" s="1171"/>
      <c r="F4" s="1171"/>
      <c r="G4" s="1171"/>
      <c r="H4" s="1171"/>
      <c r="I4" s="1171"/>
      <c r="J4" s="358"/>
      <c r="K4" s="1172" t="s">
        <v>291</v>
      </c>
      <c r="L4" s="1172"/>
      <c r="M4" s="1175" t="s">
        <v>649</v>
      </c>
      <c r="N4" s="1176"/>
      <c r="O4" s="541"/>
      <c r="P4" s="541"/>
      <c r="Q4" s="541"/>
      <c r="R4" s="541"/>
      <c r="S4" s="541"/>
      <c r="T4" s="542"/>
      <c r="U4" s="542"/>
      <c r="V4" s="542"/>
      <c r="W4" s="535"/>
      <c r="X4" s="535"/>
      <c r="Y4" s="535"/>
    </row>
    <row r="5" spans="1:25">
      <c r="A5" s="380" t="s">
        <v>3</v>
      </c>
      <c r="B5" s="1183">
        <f ca="1">TODAY()</f>
        <v>43208</v>
      </c>
      <c r="C5" s="1183"/>
      <c r="D5" s="877"/>
      <c r="E5" s="877"/>
      <c r="F5" s="877"/>
      <c r="G5" s="877"/>
      <c r="H5" s="877"/>
      <c r="I5" s="877"/>
      <c r="J5" s="79"/>
      <c r="K5" s="877"/>
      <c r="L5" s="877"/>
      <c r="M5" s="78"/>
      <c r="N5" s="359"/>
      <c r="O5" s="541"/>
      <c r="P5" s="541"/>
      <c r="Q5" s="541"/>
      <c r="R5" s="541"/>
      <c r="S5" s="541"/>
      <c r="T5" s="542"/>
      <c r="U5" s="542"/>
      <c r="V5" s="542"/>
      <c r="W5" s="535"/>
      <c r="X5" s="535"/>
      <c r="Y5" s="535"/>
    </row>
    <row r="6" spans="1:25">
      <c r="A6" s="380" t="s">
        <v>234</v>
      </c>
      <c r="B6" s="877"/>
      <c r="C6" s="877"/>
      <c r="D6" s="1184">
        <v>24511</v>
      </c>
      <c r="E6" s="1183"/>
      <c r="F6" s="877"/>
      <c r="G6" s="1118" t="str">
        <f ca="1">DATEDIF(D6,TODAY(),"y")&amp;"_años_"&amp;DATEDIF(D6,TODAY(),"ym")&amp;"_meses_"&amp;DATEDIF(D6,TODAY(),"md")&amp;"_dias_"</f>
        <v>51_años_2_meses_10_dias_</v>
      </c>
      <c r="H6" s="1118"/>
      <c r="I6" s="1118"/>
      <c r="J6" s="1118"/>
      <c r="K6" s="1118"/>
      <c r="L6" s="877"/>
      <c r="M6" s="877"/>
      <c r="N6" s="360"/>
      <c r="O6" s="543"/>
      <c r="P6" s="541"/>
      <c r="Q6" s="541"/>
      <c r="R6" s="541"/>
      <c r="S6" s="541"/>
      <c r="T6" s="542"/>
      <c r="U6" s="542"/>
      <c r="V6" s="542"/>
      <c r="W6" s="535"/>
      <c r="X6" s="535"/>
      <c r="Y6" s="535"/>
    </row>
    <row r="7" spans="1:25">
      <c r="A7" s="380"/>
      <c r="B7" s="877"/>
      <c r="C7" s="877"/>
      <c r="D7" s="877"/>
      <c r="E7" s="877"/>
      <c r="F7" s="877"/>
      <c r="G7" s="877"/>
      <c r="H7" s="877"/>
      <c r="I7" s="877"/>
      <c r="J7" s="79"/>
      <c r="K7" s="877"/>
      <c r="L7" s="877"/>
      <c r="M7" s="78"/>
      <c r="N7" s="359"/>
      <c r="O7" s="541"/>
      <c r="P7" s="541"/>
      <c r="Q7" s="541"/>
      <c r="R7" s="541"/>
      <c r="S7" s="541"/>
      <c r="T7" s="542"/>
      <c r="U7" s="542"/>
      <c r="V7" s="542"/>
      <c r="W7" s="535"/>
      <c r="X7" s="535"/>
      <c r="Y7" s="535"/>
    </row>
    <row r="8" spans="1:25" ht="16.5" customHeight="1">
      <c r="A8" s="380" t="s">
        <v>73</v>
      </c>
      <c r="B8" s="79"/>
      <c r="C8" s="79"/>
      <c r="D8" s="1173" t="s">
        <v>569</v>
      </c>
      <c r="E8" s="1173"/>
      <c r="F8" s="169"/>
      <c r="G8" s="79"/>
      <c r="H8" s="1173" t="s">
        <v>396</v>
      </c>
      <c r="I8" s="1173"/>
      <c r="J8" s="169"/>
      <c r="K8" s="171" t="s">
        <v>402</v>
      </c>
      <c r="L8" s="869"/>
      <c r="M8" s="361"/>
      <c r="N8" s="360"/>
      <c r="O8" s="541"/>
      <c r="P8" s="541"/>
      <c r="Q8" s="541"/>
      <c r="R8" s="541"/>
      <c r="S8" s="541"/>
      <c r="T8" s="542"/>
      <c r="U8" s="542"/>
      <c r="V8" s="542"/>
      <c r="W8" s="535"/>
      <c r="X8" s="535"/>
      <c r="Y8" s="535"/>
    </row>
    <row r="9" spans="1:25" ht="15.75">
      <c r="A9" s="380" t="s">
        <v>4</v>
      </c>
      <c r="B9" s="79"/>
      <c r="C9" s="79"/>
      <c r="D9" s="139">
        <v>38</v>
      </c>
      <c r="E9" s="79" t="s">
        <v>5</v>
      </c>
      <c r="F9" s="169"/>
      <c r="G9" s="79"/>
      <c r="H9" s="1185">
        <f ca="1">B5</f>
        <v>43208</v>
      </c>
      <c r="I9" s="1185"/>
      <c r="J9" s="883">
        <v>1</v>
      </c>
      <c r="K9" s="501">
        <f>D10</f>
        <v>63</v>
      </c>
      <c r="L9" s="883"/>
      <c r="M9" s="79"/>
      <c r="N9" s="360"/>
      <c r="O9" s="541"/>
      <c r="P9" s="541"/>
      <c r="Q9" s="541"/>
      <c r="R9" s="541"/>
      <c r="S9" s="541"/>
      <c r="T9" s="542"/>
      <c r="U9" s="542"/>
      <c r="V9" s="542"/>
      <c r="W9" s="535"/>
      <c r="X9" s="535"/>
      <c r="Y9" s="535"/>
    </row>
    <row r="10" spans="1:25" ht="15.75">
      <c r="A10" s="380" t="s">
        <v>6</v>
      </c>
      <c r="B10" s="79"/>
      <c r="C10" s="79"/>
      <c r="D10" s="139">
        <v>63</v>
      </c>
      <c r="E10" s="79" t="s">
        <v>7</v>
      </c>
      <c r="F10" s="79"/>
      <c r="G10" s="79"/>
      <c r="H10" s="1173"/>
      <c r="I10" s="1173"/>
      <c r="J10" s="883">
        <v>2</v>
      </c>
      <c r="K10" s="501">
        <v>0</v>
      </c>
      <c r="L10" s="1173"/>
      <c r="M10" s="1173"/>
      <c r="N10" s="1174"/>
      <c r="O10" s="541"/>
      <c r="P10" s="541"/>
      <c r="Q10" s="541"/>
      <c r="R10" s="541"/>
      <c r="S10" s="541"/>
      <c r="T10" s="542"/>
      <c r="U10" s="542"/>
      <c r="V10" s="542"/>
      <c r="W10" s="535"/>
      <c r="X10" s="535"/>
      <c r="Y10" s="535"/>
    </row>
    <row r="11" spans="1:25" ht="15.75">
      <c r="A11" s="380" t="s">
        <v>568</v>
      </c>
      <c r="B11" s="79"/>
      <c r="C11" s="79"/>
      <c r="D11" s="139">
        <v>60</v>
      </c>
      <c r="E11" s="79" t="s">
        <v>7</v>
      </c>
      <c r="F11" s="79"/>
      <c r="G11" s="79"/>
      <c r="H11" s="883"/>
      <c r="I11" s="883"/>
      <c r="J11" s="883">
        <v>3</v>
      </c>
      <c r="K11" s="501">
        <v>0</v>
      </c>
      <c r="L11" s="883"/>
      <c r="M11" s="883"/>
      <c r="N11" s="884"/>
      <c r="O11" s="541"/>
      <c r="P11" s="541"/>
      <c r="Q11" s="541"/>
      <c r="R11" s="544"/>
      <c r="S11" s="541"/>
      <c r="T11" s="542"/>
      <c r="U11" s="542"/>
      <c r="V11" s="542"/>
      <c r="W11" s="535"/>
      <c r="X11" s="535"/>
      <c r="Y11" s="535"/>
    </row>
    <row r="12" spans="1:25" ht="15.75" outlineLevel="7">
      <c r="A12" s="1177" t="s">
        <v>541</v>
      </c>
      <c r="B12" s="1178"/>
      <c r="C12" s="1178"/>
      <c r="D12" s="604">
        <f>21.5*(D17*D17)</f>
        <v>50.329349999999998</v>
      </c>
      <c r="E12" s="79" t="s">
        <v>7</v>
      </c>
      <c r="F12" s="79"/>
      <c r="G12" s="79"/>
      <c r="H12" s="1173"/>
      <c r="I12" s="1173"/>
      <c r="J12" s="883">
        <v>4</v>
      </c>
      <c r="K12" s="502">
        <v>0</v>
      </c>
      <c r="L12" s="79"/>
      <c r="M12" s="361"/>
      <c r="N12" s="363"/>
      <c r="O12" s="541"/>
      <c r="P12" s="541"/>
      <c r="Q12" s="541"/>
      <c r="R12" s="541"/>
      <c r="S12" s="541"/>
      <c r="T12" s="542"/>
      <c r="U12" s="542"/>
      <c r="V12" s="542"/>
      <c r="W12" s="535"/>
      <c r="X12" s="535"/>
      <c r="Y12" s="535"/>
    </row>
    <row r="13" spans="1:25" ht="15.75" outlineLevel="7">
      <c r="A13" s="380" t="s">
        <v>9</v>
      </c>
      <c r="B13" s="79"/>
      <c r="C13" s="79"/>
      <c r="D13" s="604">
        <f>18.5*(D17*D17)</f>
        <v>43.306649999999998</v>
      </c>
      <c r="E13" s="79" t="s">
        <v>7</v>
      </c>
      <c r="F13" s="79"/>
      <c r="G13" s="79"/>
      <c r="H13" s="1173"/>
      <c r="I13" s="1173"/>
      <c r="J13" s="883">
        <v>5</v>
      </c>
      <c r="K13" s="501">
        <v>0</v>
      </c>
      <c r="L13" s="79"/>
      <c r="M13" s="79"/>
      <c r="N13" s="360"/>
      <c r="O13" s="541"/>
      <c r="P13" s="541"/>
      <c r="Q13" s="541"/>
      <c r="R13" s="541"/>
      <c r="S13" s="541"/>
      <c r="T13" s="542"/>
      <c r="U13" s="542"/>
      <c r="V13" s="542"/>
      <c r="W13" s="535"/>
      <c r="X13" s="535"/>
      <c r="Y13" s="535"/>
    </row>
    <row r="14" spans="1:25" ht="15.75">
      <c r="A14" s="380" t="s">
        <v>10</v>
      </c>
      <c r="B14" s="79"/>
      <c r="C14" s="79"/>
      <c r="D14" s="604">
        <f>24.9*(D17*D17)</f>
        <v>58.288409999999999</v>
      </c>
      <c r="E14" s="79" t="s">
        <v>7</v>
      </c>
      <c r="F14" s="79"/>
      <c r="G14" s="79"/>
      <c r="H14" s="1173"/>
      <c r="I14" s="1173"/>
      <c r="J14" s="883">
        <v>6</v>
      </c>
      <c r="K14" s="501">
        <v>0</v>
      </c>
      <c r="L14" s="79"/>
      <c r="M14" s="79"/>
      <c r="N14" s="360"/>
      <c r="O14" s="541"/>
      <c r="P14" s="897"/>
      <c r="Q14" s="541"/>
      <c r="R14" s="541"/>
      <c r="S14" s="541"/>
      <c r="T14" s="542"/>
      <c r="U14" s="542"/>
      <c r="V14" s="542"/>
      <c r="W14" s="535"/>
      <c r="X14" s="535"/>
      <c r="Y14" s="535"/>
    </row>
    <row r="15" spans="1:25" ht="15.75">
      <c r="A15" s="380" t="s">
        <v>566</v>
      </c>
      <c r="B15" s="79"/>
      <c r="C15" s="79"/>
      <c r="D15" s="604">
        <f>(D10/D12)*100</f>
        <v>125.17546918448181</v>
      </c>
      <c r="E15" s="79" t="s">
        <v>52</v>
      </c>
      <c r="F15" s="1179" t="str">
        <f>IF(D15&lt;=89.9,"BAJO PESO",IF(D15=90,"PESO ACEPTABLE",IF(D15&lt;120,"PESO ACEPTABLE",IF(D15&gt;120.1,"EXCESO O SOBREPESO"))))</f>
        <v>EXCESO O SOBREPESO</v>
      </c>
      <c r="G15" s="1179"/>
      <c r="H15" s="1179"/>
      <c r="I15" s="1179"/>
      <c r="J15" s="883"/>
      <c r="K15" s="608"/>
      <c r="L15" s="79"/>
      <c r="M15" s="79"/>
      <c r="N15" s="360"/>
      <c r="O15" s="541"/>
      <c r="P15" s="541"/>
      <c r="Q15" s="541"/>
      <c r="R15" s="541"/>
      <c r="S15" s="541"/>
      <c r="T15" s="542"/>
      <c r="U15" s="542"/>
      <c r="V15" s="542"/>
      <c r="W15" s="535"/>
      <c r="X15" s="535"/>
      <c r="Y15" s="535"/>
    </row>
    <row r="16" spans="1:25" s="81" customFormat="1" ht="15.75">
      <c r="A16" s="380" t="s">
        <v>567</v>
      </c>
      <c r="B16" s="79"/>
      <c r="C16" s="79"/>
      <c r="D16" s="604">
        <f>(D10/D11)*100</f>
        <v>105</v>
      </c>
      <c r="E16" s="79" t="s">
        <v>52</v>
      </c>
      <c r="F16" s="885" t="str">
        <f>IF(D16&lt;=48,"PESO MINIMO DE SOBREVIVENCIA",IF(D16&lt;54.9,"PESO MINIMO DE SOBREVIVENCIA",IF(D16=75,"DESNUTRICION SEVERA 3er GRADO",IF(D16&lt;=84.9,"DESNUTRICION MODERADA 2do GRADO",IF(D16=85,"DESNUTRICION LEVE 1er GRADO",IF(D16&lt;=90,"DESNUTRICION LEVE 1er GRAD0",IF(D16&gt;90.1,"SIN PROBLEMAS DE DESNUTRICION")))))))</f>
        <v>SIN PROBLEMAS DE DESNUTRICION</v>
      </c>
      <c r="G16" s="885"/>
      <c r="H16" s="885"/>
      <c r="I16" s="885"/>
      <c r="J16" s="883"/>
      <c r="K16" s="609"/>
      <c r="L16" s="79"/>
      <c r="M16" s="79"/>
      <c r="N16" s="360"/>
      <c r="O16" s="541"/>
      <c r="P16" s="541"/>
      <c r="Q16" s="541"/>
      <c r="R16" s="541"/>
      <c r="S16" s="541"/>
      <c r="T16" s="542"/>
      <c r="U16" s="542"/>
      <c r="V16" s="542"/>
      <c r="W16" s="535"/>
      <c r="X16" s="535"/>
      <c r="Y16" s="535"/>
    </row>
    <row r="17" spans="1:25" ht="15.75">
      <c r="A17" s="1177" t="s">
        <v>76</v>
      </c>
      <c r="B17" s="1178"/>
      <c r="C17" s="1178"/>
      <c r="D17" s="139">
        <v>1.53</v>
      </c>
      <c r="E17" s="79" t="s">
        <v>12</v>
      </c>
      <c r="F17" s="79"/>
      <c r="G17" s="491">
        <f>D17*100</f>
        <v>153</v>
      </c>
      <c r="H17" s="1173"/>
      <c r="I17" s="1173"/>
      <c r="J17" s="883"/>
      <c r="K17" s="608"/>
      <c r="L17" s="79"/>
      <c r="M17" s="79"/>
      <c r="N17" s="360"/>
      <c r="O17" s="541"/>
      <c r="P17" s="541"/>
      <c r="Q17" s="541"/>
      <c r="R17" s="541"/>
      <c r="S17" s="541"/>
      <c r="T17" s="542"/>
      <c r="U17" s="542"/>
      <c r="V17" s="542"/>
      <c r="W17" s="535"/>
      <c r="X17" s="535"/>
      <c r="Y17" s="535"/>
    </row>
    <row r="18" spans="1:25" ht="15.75">
      <c r="A18" s="1177" t="s">
        <v>13</v>
      </c>
      <c r="B18" s="1178"/>
      <c r="C18" s="1178"/>
      <c r="D18" s="605">
        <f>D10/(D17*D17)</f>
        <v>26.91272587466359</v>
      </c>
      <c r="E18" s="364" t="s">
        <v>14</v>
      </c>
      <c r="F18" s="79"/>
      <c r="G18" s="79"/>
      <c r="H18" s="1173"/>
      <c r="I18" s="1173"/>
      <c r="J18" s="883"/>
      <c r="K18" s="608"/>
      <c r="L18" s="79"/>
      <c r="M18" s="79"/>
      <c r="N18" s="360"/>
      <c r="O18" s="541"/>
      <c r="P18" s="541"/>
      <c r="Q18" s="541"/>
      <c r="R18" s="541"/>
      <c r="S18" s="541"/>
      <c r="T18" s="542"/>
      <c r="U18" s="542"/>
      <c r="V18" s="542"/>
      <c r="W18" s="535"/>
      <c r="X18" s="535"/>
      <c r="Y18" s="535"/>
    </row>
    <row r="19" spans="1:25" ht="18.75">
      <c r="A19" s="1180" t="s">
        <v>210</v>
      </c>
      <c r="B19" s="1181"/>
      <c r="C19" s="1181"/>
      <c r="D19" s="611">
        <f>(D10/D12)*100</f>
        <v>125.17546918448181</v>
      </c>
      <c r="E19" s="478" t="s">
        <v>52</v>
      </c>
      <c r="F19" s="1199" t="str">
        <f>IF(D19&lt;70,"SUGIERE DEPLECION SEVERA",IF(D19=70,"SUGIERE DEPLECION MODERADA",IF(D19&lt;80,"SUGIERE DEPLECION MODERADA",IF(D19=80,"SUGIERE DEPLECION LEVE",IF(D19&lt;=90,"SUGIERE DEPLECION LEVE",IF(D19&gt;=91,"SIN DEPLECION"))))))</f>
        <v>SIN DEPLECION</v>
      </c>
      <c r="G19" s="1199"/>
      <c r="H19" s="1199"/>
      <c r="I19" s="1199"/>
      <c r="J19" s="1199"/>
      <c r="K19" s="1199"/>
      <c r="L19" s="1199"/>
      <c r="M19" s="1199"/>
      <c r="N19" s="367"/>
      <c r="O19" s="541"/>
      <c r="P19" s="541"/>
      <c r="Q19" s="541"/>
      <c r="R19" s="541"/>
      <c r="S19" s="541"/>
      <c r="T19" s="542"/>
      <c r="U19" s="542"/>
      <c r="V19" s="542"/>
      <c r="W19" s="535"/>
      <c r="X19" s="535"/>
      <c r="Y19" s="535"/>
    </row>
    <row r="20" spans="1:25" s="80" customFormat="1" ht="18.75">
      <c r="A20" s="380" t="s">
        <v>15</v>
      </c>
      <c r="B20" s="79"/>
      <c r="C20" s="1203" t="str">
        <f>IF(D18&gt;=40, "OBESIDAD TERCER GRADO", IF(D18&gt;=30, "OBESIDAD SEGUNDO GRADO", IF(D18&gt;=25.1, "OBESIDAD PRIMER GRADO", IF(D18&gt;=18.5, "PESO NORMAL", IF(D18&gt;=17, "DESNUTRICION PRIMER GRADO", IF(D18&gt;=16, "DESNUTRICION SEGUNDO GRADO", IF(D18&lt;16, "DESNUTRICION TERCER GRADO")))))))</f>
        <v>OBESIDAD PRIMER GRADO</v>
      </c>
      <c r="D20" s="1203"/>
      <c r="E20" s="1203"/>
      <c r="F20" s="1203"/>
      <c r="G20" s="1203"/>
      <c r="H20" s="1203"/>
      <c r="I20" s="1203"/>
      <c r="J20" s="1203"/>
      <c r="K20" s="1203"/>
      <c r="L20" s="79"/>
      <c r="M20" s="79"/>
      <c r="N20" s="360"/>
      <c r="O20" s="541"/>
      <c r="P20" s="541"/>
      <c r="Q20" s="703" t="s">
        <v>595</v>
      </c>
      <c r="R20" s="541"/>
      <c r="S20" s="541"/>
      <c r="T20" s="542"/>
      <c r="U20" s="542"/>
      <c r="V20" s="542"/>
      <c r="W20" s="535"/>
      <c r="X20" s="535"/>
      <c r="Y20" s="535"/>
    </row>
    <row r="21" spans="1:25" ht="15.75">
      <c r="A21" s="1204" t="s">
        <v>622</v>
      </c>
      <c r="B21" s="1204"/>
      <c r="C21" s="1204"/>
      <c r="D21" s="901">
        <v>31</v>
      </c>
      <c r="E21" s="899"/>
      <c r="F21" s="899"/>
      <c r="G21" s="899"/>
      <c r="H21" s="899"/>
      <c r="I21" s="899"/>
      <c r="J21" s="899"/>
      <c r="K21" s="899"/>
      <c r="L21" s="899"/>
      <c r="M21" s="899"/>
      <c r="N21" s="899"/>
      <c r="O21" s="541"/>
      <c r="P21" s="541"/>
      <c r="Q21" s="703" t="s">
        <v>596</v>
      </c>
      <c r="R21" s="541"/>
      <c r="S21" s="541"/>
      <c r="T21" s="542"/>
      <c r="U21" s="542"/>
      <c r="V21" s="542"/>
      <c r="W21" s="535"/>
      <c r="X21" s="535"/>
      <c r="Y21" s="535"/>
    </row>
    <row r="22" spans="1:25" ht="15.75">
      <c r="A22" s="1196"/>
      <c r="B22" s="1196"/>
      <c r="C22" s="1196"/>
      <c r="D22" s="898"/>
      <c r="E22" s="899"/>
      <c r="F22" s="899"/>
      <c r="G22" s="899"/>
      <c r="H22" s="899"/>
      <c r="I22" s="899"/>
      <c r="J22" s="899"/>
      <c r="K22" s="899"/>
      <c r="L22" s="899"/>
      <c r="M22" s="899"/>
      <c r="N22" s="899"/>
      <c r="O22" s="541"/>
      <c r="P22" s="541"/>
      <c r="Q22" s="703" t="s">
        <v>597</v>
      </c>
      <c r="R22" s="541"/>
      <c r="S22" s="541"/>
      <c r="T22" s="542"/>
      <c r="U22" s="542"/>
      <c r="V22" s="542"/>
      <c r="W22" s="535"/>
      <c r="X22" s="535"/>
      <c r="Y22" s="535"/>
    </row>
    <row r="23" spans="1:25" ht="15.75">
      <c r="A23" s="1196"/>
      <c r="B23" s="1196"/>
      <c r="C23" s="1196"/>
      <c r="D23" s="900"/>
      <c r="E23" s="1197"/>
      <c r="F23" s="1197"/>
      <c r="G23" s="1197"/>
      <c r="H23" s="1197"/>
      <c r="I23" s="1197"/>
      <c r="J23" s="1197"/>
      <c r="K23" s="1197"/>
      <c r="L23" s="1197"/>
      <c r="M23" s="1197"/>
      <c r="N23" s="899"/>
      <c r="O23" s="541"/>
      <c r="P23" s="541"/>
      <c r="Q23" s="703" t="s">
        <v>598</v>
      </c>
      <c r="R23" s="541"/>
      <c r="S23" s="541"/>
      <c r="T23" s="542"/>
      <c r="U23" s="542"/>
      <c r="V23" s="542"/>
      <c r="W23" s="535"/>
      <c r="X23" s="535"/>
      <c r="Y23" s="535"/>
    </row>
    <row r="24" spans="1:25" ht="15.75">
      <c r="A24" s="1150" t="s">
        <v>542</v>
      </c>
      <c r="B24" s="1151"/>
      <c r="C24" s="1151"/>
      <c r="D24" s="896">
        <v>70</v>
      </c>
      <c r="E24" s="1198" t="str">
        <f>IF(D24&gt;=88,"MEDICION DE RIESGO SUSTANCIALMENTE INCREMENTADO",IF(D24&lt;=87.9," MEDICION DE RIESGO INCREMENTADO",IF(D24&gt;=80," MEDICION DE RIESGO  INCREMENTADO")))</f>
        <v xml:space="preserve"> MEDICION DE RIESGO INCREMENTADO</v>
      </c>
      <c r="F24" s="1198"/>
      <c r="G24" s="1198"/>
      <c r="H24" s="1198"/>
      <c r="I24" s="1198"/>
      <c r="J24" s="1198"/>
      <c r="K24" s="1198"/>
      <c r="L24" s="1198"/>
      <c r="M24" s="1198"/>
      <c r="N24" s="1198"/>
      <c r="O24" s="541"/>
      <c r="P24" s="541"/>
      <c r="Q24" s="703" t="s">
        <v>599</v>
      </c>
      <c r="R24" s="541"/>
      <c r="S24" s="541"/>
      <c r="T24" s="542"/>
      <c r="U24" s="542"/>
      <c r="V24" s="542"/>
      <c r="W24" s="535"/>
      <c r="X24" s="535"/>
      <c r="Y24" s="535"/>
    </row>
    <row r="25" spans="1:25" ht="16.5" thickBot="1">
      <c r="A25" s="1152" t="s">
        <v>543</v>
      </c>
      <c r="B25" s="1153"/>
      <c r="C25" s="1153"/>
      <c r="D25" s="698">
        <v>14</v>
      </c>
      <c r="E25" s="491">
        <f>(D17*100)/D25</f>
        <v>10.928571428571429</v>
      </c>
      <c r="F25" s="1195" t="str">
        <f>IF(E25&gt;=10.9,"COMPLEXION PEQUEÑA",IF(E25&gt;=9.9,"COMPLEXION MEDIANA",IF(E25&lt;=9.8,"COMPLEXION GRANDE")))</f>
        <v>COMPLEXION PEQUEÑA</v>
      </c>
      <c r="G25" s="1195"/>
      <c r="H25" s="1195"/>
      <c r="I25" s="1195"/>
      <c r="J25" s="79"/>
      <c r="K25" s="79"/>
      <c r="L25" s="79"/>
      <c r="M25" s="79"/>
      <c r="N25" s="360"/>
      <c r="O25" s="541"/>
      <c r="P25" s="541"/>
      <c r="Q25" s="541"/>
      <c r="R25" s="541"/>
      <c r="S25" s="541"/>
      <c r="T25" s="542"/>
      <c r="U25" s="542"/>
      <c r="V25" s="542"/>
      <c r="W25" s="535"/>
      <c r="X25" s="535"/>
      <c r="Y25" s="535"/>
    </row>
    <row r="26" spans="1:25" ht="15.75" thickBot="1">
      <c r="A26" s="1157" t="s">
        <v>594</v>
      </c>
      <c r="B26" s="1158"/>
      <c r="C26" s="1158"/>
      <c r="D26" s="1159"/>
      <c r="E26" s="1163" t="s">
        <v>598</v>
      </c>
      <c r="F26" s="1164"/>
      <c r="G26" s="1164"/>
      <c r="H26" s="1164"/>
      <c r="I26" s="1164"/>
      <c r="J26" s="1165"/>
      <c r="K26" s="699"/>
      <c r="L26" s="699"/>
      <c r="M26" s="699"/>
      <c r="N26" s="700"/>
      <c r="O26" s="541"/>
      <c r="P26" s="541"/>
      <c r="Q26" s="541"/>
      <c r="R26" s="541"/>
      <c r="S26" s="541"/>
      <c r="T26" s="542"/>
      <c r="U26" s="542"/>
      <c r="V26" s="542"/>
      <c r="W26" s="535"/>
      <c r="X26" s="535"/>
      <c r="Y26" s="535"/>
    </row>
    <row r="27" spans="1:25" ht="16.5" thickBot="1">
      <c r="A27" s="1160" t="s">
        <v>593</v>
      </c>
      <c r="B27" s="1161"/>
      <c r="C27" s="1161"/>
      <c r="D27" s="1162"/>
      <c r="E27" s="1163">
        <f>(100-P28)/100*(D10)</f>
        <v>62.055</v>
      </c>
      <c r="F27" s="1165"/>
      <c r="G27" s="701" t="s">
        <v>7</v>
      </c>
      <c r="H27" s="701"/>
      <c r="I27" s="701"/>
      <c r="J27" s="701"/>
      <c r="K27" s="701"/>
      <c r="L27" s="701"/>
      <c r="M27" s="701"/>
      <c r="N27" s="702"/>
      <c r="O27" s="541"/>
      <c r="P27" s="541"/>
      <c r="Q27" s="541"/>
      <c r="R27" s="541"/>
      <c r="S27" s="541"/>
      <c r="T27" s="542"/>
      <c r="U27" s="542"/>
      <c r="V27" s="542"/>
      <c r="W27" s="535"/>
      <c r="X27" s="535"/>
      <c r="Y27" s="535"/>
    </row>
    <row r="28" spans="1:25">
      <c r="A28" s="381"/>
      <c r="B28" s="370"/>
      <c r="C28" s="370"/>
      <c r="D28" s="868" t="s">
        <v>323</v>
      </c>
      <c r="E28" s="868"/>
      <c r="F28" s="1155"/>
      <c r="G28" s="1155"/>
      <c r="H28" s="370"/>
      <c r="I28" s="868" t="s">
        <v>328</v>
      </c>
      <c r="J28" s="868"/>
      <c r="K28" s="1156" t="s">
        <v>332</v>
      </c>
      <c r="L28" s="1156"/>
      <c r="M28" s="1156"/>
      <c r="N28" s="371"/>
      <c r="O28" s="541"/>
      <c r="P28" s="541" t="str">
        <f>LEFT(E26,3)</f>
        <v>1.5</v>
      </c>
      <c r="Q28" s="541"/>
      <c r="R28" s="541"/>
      <c r="S28" s="541"/>
      <c r="T28" s="542"/>
      <c r="U28" s="542"/>
      <c r="V28" s="542"/>
      <c r="W28" s="535"/>
      <c r="X28" s="535"/>
      <c r="Y28" s="535"/>
    </row>
    <row r="29" spans="1:25">
      <c r="A29" s="381" t="s">
        <v>335</v>
      </c>
      <c r="B29" s="370"/>
      <c r="C29" s="372" t="s">
        <v>400</v>
      </c>
      <c r="D29" s="492">
        <v>3</v>
      </c>
      <c r="E29" s="1079" t="s">
        <v>401</v>
      </c>
      <c r="F29" s="1079"/>
      <c r="G29" s="493"/>
      <c r="H29" s="370"/>
      <c r="I29" s="370"/>
      <c r="J29" s="370"/>
      <c r="K29" s="370"/>
      <c r="L29" s="370"/>
      <c r="M29" s="370"/>
      <c r="N29" s="371"/>
      <c r="O29" s="541"/>
      <c r="P29" s="541"/>
      <c r="Q29" s="541"/>
      <c r="R29" s="541"/>
      <c r="S29" s="541"/>
      <c r="T29" s="542"/>
      <c r="U29" s="542"/>
      <c r="V29" s="542"/>
      <c r="W29" s="535"/>
      <c r="X29" s="535"/>
      <c r="Y29" s="535"/>
    </row>
    <row r="30" spans="1:25">
      <c r="A30" s="381"/>
      <c r="B30" s="370"/>
      <c r="C30" s="370"/>
      <c r="D30" s="370"/>
      <c r="E30" s="370"/>
      <c r="F30" s="370"/>
      <c r="G30" s="370"/>
      <c r="H30" s="370"/>
      <c r="I30" s="370"/>
      <c r="J30" s="370"/>
      <c r="K30" s="370"/>
      <c r="L30" s="370"/>
      <c r="M30" s="370"/>
      <c r="N30" s="371"/>
      <c r="O30" s="541"/>
      <c r="P30" s="541"/>
      <c r="Q30" s="541"/>
      <c r="R30" s="541"/>
      <c r="S30" s="541"/>
      <c r="T30" s="542"/>
      <c r="U30" s="542"/>
      <c r="V30" s="542"/>
      <c r="W30" s="535"/>
      <c r="X30" s="535"/>
      <c r="Y30" s="535"/>
    </row>
    <row r="31" spans="1:25">
      <c r="A31" s="381"/>
      <c r="B31" s="370"/>
      <c r="C31" s="370"/>
      <c r="D31" s="370"/>
      <c r="E31" s="370"/>
      <c r="F31" s="370"/>
      <c r="G31" s="370"/>
      <c r="H31" s="370"/>
      <c r="I31" s="370"/>
      <c r="J31" s="370"/>
      <c r="K31" s="370"/>
      <c r="L31" s="370"/>
      <c r="M31" s="370"/>
      <c r="N31" s="371"/>
      <c r="O31" s="541"/>
      <c r="P31" s="541"/>
      <c r="Q31" s="541"/>
      <c r="R31" s="541"/>
      <c r="S31" s="541"/>
      <c r="T31" s="542"/>
      <c r="U31" s="542"/>
      <c r="V31" s="542"/>
      <c r="W31" s="535"/>
      <c r="X31" s="535"/>
      <c r="Y31" s="535"/>
    </row>
    <row r="32" spans="1:25">
      <c r="A32" s="381" t="s">
        <v>338</v>
      </c>
      <c r="B32" s="370"/>
      <c r="C32" s="370"/>
      <c r="D32" s="370"/>
      <c r="E32" s="370"/>
      <c r="F32" s="374"/>
      <c r="G32" s="370"/>
      <c r="H32" s="370"/>
      <c r="I32" s="370"/>
      <c r="J32" s="370"/>
      <c r="K32" s="370"/>
      <c r="L32" s="370"/>
      <c r="M32" s="370"/>
      <c r="N32" s="371"/>
      <c r="O32" s="541"/>
      <c r="P32" s="541"/>
      <c r="Q32" s="541"/>
      <c r="R32" s="541"/>
      <c r="S32" s="541"/>
      <c r="T32" s="542"/>
      <c r="U32" s="542"/>
      <c r="V32" s="542"/>
      <c r="W32" s="535"/>
      <c r="X32" s="535"/>
      <c r="Y32" s="535"/>
    </row>
    <row r="33" spans="1:25">
      <c r="A33" s="1084" t="s">
        <v>339</v>
      </c>
      <c r="B33" s="1147"/>
      <c r="C33" s="496" t="s">
        <v>340</v>
      </c>
      <c r="D33" s="370"/>
      <c r="E33" s="370"/>
      <c r="F33" s="370"/>
      <c r="G33" s="370"/>
      <c r="H33" s="370"/>
      <c r="I33" s="370"/>
      <c r="J33" s="370"/>
      <c r="K33" s="370"/>
      <c r="L33" s="370"/>
      <c r="M33" s="370"/>
      <c r="N33" s="371"/>
      <c r="O33" s="541"/>
      <c r="P33" s="541"/>
      <c r="Q33" s="541"/>
      <c r="R33" s="541"/>
      <c r="S33" s="541"/>
      <c r="T33" s="542"/>
      <c r="U33" s="542"/>
      <c r="V33" s="542"/>
      <c r="W33" s="535"/>
      <c r="X33" s="535"/>
      <c r="Y33" s="535"/>
    </row>
    <row r="34" spans="1:25">
      <c r="A34" s="381"/>
      <c r="B34" s="370"/>
      <c r="C34" s="370"/>
      <c r="D34" s="370"/>
      <c r="E34" s="370"/>
      <c r="F34" s="370"/>
      <c r="G34" s="370"/>
      <c r="H34" s="370"/>
      <c r="I34" s="370"/>
      <c r="J34" s="370"/>
      <c r="K34" s="370"/>
      <c r="L34" s="370"/>
      <c r="M34" s="370"/>
      <c r="N34" s="371"/>
      <c r="O34" s="541"/>
      <c r="P34" s="541"/>
      <c r="Q34" s="541"/>
      <c r="R34" s="541"/>
      <c r="S34" s="541"/>
      <c r="T34" s="542"/>
      <c r="U34" s="542"/>
      <c r="V34" s="542"/>
      <c r="W34" s="535"/>
      <c r="X34" s="535"/>
      <c r="Y34" s="535"/>
    </row>
    <row r="35" spans="1:25">
      <c r="A35" s="1078" t="s">
        <v>342</v>
      </c>
      <c r="B35" s="1079"/>
      <c r="C35" s="370"/>
      <c r="D35" s="370"/>
      <c r="E35" s="370"/>
      <c r="F35" s="370"/>
      <c r="G35" s="370"/>
      <c r="H35" s="370"/>
      <c r="I35" s="370"/>
      <c r="J35" s="370"/>
      <c r="K35" s="370"/>
      <c r="L35" s="370"/>
      <c r="M35" s="370"/>
      <c r="N35" s="371"/>
      <c r="O35" s="541"/>
      <c r="P35" s="541"/>
      <c r="Q35" s="541"/>
      <c r="R35" s="541"/>
      <c r="S35" s="541"/>
      <c r="T35" s="542"/>
      <c r="U35" s="542"/>
      <c r="V35" s="542"/>
      <c r="W35" s="535"/>
      <c r="X35" s="535"/>
      <c r="Y35" s="535"/>
    </row>
    <row r="36" spans="1:25">
      <c r="A36" s="1080" t="s">
        <v>343</v>
      </c>
      <c r="B36" s="1081"/>
      <c r="C36" s="370"/>
      <c r="D36" s="375" t="s">
        <v>348</v>
      </c>
      <c r="E36" s="375"/>
      <c r="F36" s="375"/>
      <c r="G36" s="376"/>
      <c r="H36" s="1076" t="s">
        <v>353</v>
      </c>
      <c r="I36" s="1076"/>
      <c r="J36" s="1076"/>
      <c r="K36" s="370"/>
      <c r="L36" s="1076" t="s">
        <v>357</v>
      </c>
      <c r="M36" s="1076"/>
      <c r="N36" s="371"/>
      <c r="O36" s="541"/>
      <c r="P36" s="541"/>
      <c r="Q36" s="541"/>
      <c r="R36" s="541"/>
      <c r="S36" s="541"/>
      <c r="T36" s="542"/>
      <c r="U36" s="542"/>
      <c r="V36" s="542"/>
      <c r="W36" s="535"/>
      <c r="X36" s="535"/>
      <c r="Y36" s="535"/>
    </row>
    <row r="37" spans="1:25">
      <c r="A37" s="1074" t="s">
        <v>344</v>
      </c>
      <c r="B37" s="1075"/>
      <c r="C37" s="494"/>
      <c r="D37" s="370" t="s">
        <v>349</v>
      </c>
      <c r="E37" s="370"/>
      <c r="F37" s="370"/>
      <c r="G37" s="494"/>
      <c r="H37" s="370" t="s">
        <v>354</v>
      </c>
      <c r="I37" s="370"/>
      <c r="J37" s="494" t="s">
        <v>405</v>
      </c>
      <c r="K37" s="370"/>
      <c r="L37" s="370" t="s">
        <v>358</v>
      </c>
      <c r="M37" s="370"/>
      <c r="N37" s="494"/>
      <c r="O37" s="541"/>
      <c r="P37" s="541"/>
      <c r="Q37" s="541"/>
      <c r="R37" s="541"/>
      <c r="S37" s="541"/>
      <c r="T37" s="542"/>
      <c r="U37" s="542"/>
      <c r="V37" s="542"/>
      <c r="W37" s="535"/>
      <c r="X37" s="535"/>
      <c r="Y37" s="535"/>
    </row>
    <row r="38" spans="1:25">
      <c r="A38" s="1074" t="s">
        <v>345</v>
      </c>
      <c r="B38" s="1075"/>
      <c r="C38" s="494" t="s">
        <v>403</v>
      </c>
      <c r="D38" s="370" t="s">
        <v>350</v>
      </c>
      <c r="E38" s="370"/>
      <c r="F38" s="370"/>
      <c r="G38" s="494" t="s">
        <v>403</v>
      </c>
      <c r="H38" s="370" t="s">
        <v>355</v>
      </c>
      <c r="I38" s="370"/>
      <c r="J38" s="494"/>
      <c r="K38" s="370"/>
      <c r="L38" s="370" t="s">
        <v>359</v>
      </c>
      <c r="M38" s="370"/>
      <c r="N38" s="494"/>
      <c r="O38" s="541"/>
      <c r="P38" s="541"/>
      <c r="Q38" s="541"/>
      <c r="R38" s="541"/>
      <c r="S38" s="541"/>
      <c r="T38" s="542"/>
      <c r="U38" s="542"/>
      <c r="V38" s="542"/>
      <c r="W38" s="535"/>
      <c r="X38" s="535"/>
      <c r="Y38" s="535"/>
    </row>
    <row r="39" spans="1:25">
      <c r="A39" s="1074" t="s">
        <v>346</v>
      </c>
      <c r="B39" s="1075"/>
      <c r="C39" s="494"/>
      <c r="D39" s="370" t="s">
        <v>351</v>
      </c>
      <c r="E39" s="370"/>
      <c r="F39" s="370"/>
      <c r="G39" s="494"/>
      <c r="H39" s="370" t="s">
        <v>356</v>
      </c>
      <c r="I39" s="370"/>
      <c r="J39" s="494"/>
      <c r="K39" s="370"/>
      <c r="L39" s="1076" t="s">
        <v>360</v>
      </c>
      <c r="M39" s="1076"/>
      <c r="N39" s="377"/>
      <c r="O39" s="1141" t="s">
        <v>555</v>
      </c>
      <c r="P39" s="1142"/>
      <c r="Q39" s="1142"/>
      <c r="R39" s="1142"/>
      <c r="S39" s="1142"/>
      <c r="T39" s="1142"/>
      <c r="U39" s="542"/>
      <c r="V39" s="542"/>
      <c r="W39" s="535"/>
      <c r="X39" s="535"/>
      <c r="Y39" s="535"/>
    </row>
    <row r="40" spans="1:25">
      <c r="A40" s="1074" t="s">
        <v>347</v>
      </c>
      <c r="B40" s="1075"/>
      <c r="C40" s="494"/>
      <c r="D40" s="370" t="s">
        <v>352</v>
      </c>
      <c r="E40" s="370"/>
      <c r="F40" s="370"/>
      <c r="G40" s="494"/>
      <c r="H40" s="370"/>
      <c r="I40" s="370"/>
      <c r="J40" s="495"/>
      <c r="K40" s="370"/>
      <c r="L40" s="1075" t="s">
        <v>362</v>
      </c>
      <c r="M40" s="1075"/>
      <c r="N40" s="494"/>
      <c r="O40" s="1143" t="s">
        <v>551</v>
      </c>
      <c r="P40" s="1141"/>
      <c r="Q40" s="1141"/>
      <c r="R40" s="1141"/>
      <c r="S40" s="1141"/>
      <c r="T40" s="1141"/>
      <c r="U40" s="542"/>
      <c r="V40" s="542"/>
      <c r="W40" s="535"/>
      <c r="X40" s="535"/>
      <c r="Y40" s="535"/>
    </row>
    <row r="41" spans="1:25" ht="16.5" thickBot="1">
      <c r="A41" s="382"/>
      <c r="B41" s="212"/>
      <c r="C41" s="212"/>
      <c r="D41" s="378"/>
      <c r="E41" s="86"/>
      <c r="F41" s="86"/>
      <c r="G41" s="86"/>
      <c r="H41" s="86"/>
      <c r="I41" s="86"/>
      <c r="J41" s="86"/>
      <c r="K41" s="86"/>
      <c r="L41" s="86"/>
      <c r="M41" s="86"/>
      <c r="N41" s="325"/>
      <c r="O41" s="1143" t="s">
        <v>556</v>
      </c>
      <c r="P41" s="1142"/>
      <c r="Q41" s="1142"/>
      <c r="R41" s="1142"/>
      <c r="S41" s="1142"/>
      <c r="T41" s="542"/>
      <c r="U41" s="542"/>
      <c r="V41" s="542"/>
      <c r="W41" s="535"/>
      <c r="X41" s="535"/>
      <c r="Y41" s="535"/>
    </row>
    <row r="42" spans="1:25" ht="15.75" thickBot="1">
      <c r="A42" s="1048" t="s">
        <v>404</v>
      </c>
      <c r="B42" s="1030"/>
      <c r="C42" s="1144" t="s">
        <v>555</v>
      </c>
      <c r="D42" s="1145"/>
      <c r="E42" s="1145"/>
      <c r="F42" s="1145"/>
      <c r="G42" s="1145"/>
      <c r="H42" s="1145"/>
      <c r="I42" s="1145"/>
      <c r="J42" s="1145"/>
      <c r="K42" s="1145"/>
      <c r="L42" s="1145"/>
      <c r="M42" s="1145"/>
      <c r="N42" s="1146"/>
      <c r="O42" s="1143" t="s">
        <v>557</v>
      </c>
      <c r="P42" s="1142"/>
      <c r="Q42" s="1142"/>
      <c r="R42" s="1142"/>
      <c r="S42" s="1142"/>
      <c r="T42" s="542"/>
      <c r="U42" s="542"/>
      <c r="V42" s="542"/>
      <c r="W42" s="535"/>
      <c r="X42" s="535"/>
      <c r="Y42" s="535"/>
    </row>
    <row r="43" spans="1:25" ht="15.75">
      <c r="A43" s="382"/>
      <c r="B43" s="212"/>
      <c r="C43" s="212"/>
      <c r="D43" s="378"/>
      <c r="E43" s="86"/>
      <c r="F43" s="86"/>
      <c r="G43" s="86"/>
      <c r="H43" s="86"/>
      <c r="I43" s="86"/>
      <c r="J43" s="86"/>
      <c r="K43" s="86"/>
      <c r="L43" s="86"/>
      <c r="M43" s="86"/>
      <c r="N43" s="325"/>
      <c r="O43" s="541" t="s">
        <v>629</v>
      </c>
      <c r="P43" s="541"/>
      <c r="Q43" s="541"/>
      <c r="R43" s="541"/>
      <c r="S43" s="541"/>
      <c r="T43" s="542"/>
      <c r="U43" s="542"/>
      <c r="V43" s="542"/>
      <c r="W43" s="535"/>
      <c r="X43" s="535"/>
      <c r="Y43" s="535"/>
    </row>
    <row r="44" spans="1:25" ht="15.75">
      <c r="A44" s="382"/>
      <c r="B44" s="212"/>
      <c r="C44" s="212"/>
      <c r="D44" s="378"/>
      <c r="E44" s="86"/>
      <c r="F44" s="86"/>
      <c r="G44" s="86"/>
      <c r="H44" s="86"/>
      <c r="I44" s="86"/>
      <c r="J44" s="86"/>
      <c r="K44" s="86"/>
      <c r="L44" s="86"/>
      <c r="M44" s="86"/>
      <c r="N44" s="325"/>
      <c r="O44" s="541"/>
      <c r="P44" s="541"/>
      <c r="Q44" s="541"/>
      <c r="R44" s="541"/>
      <c r="S44" s="541"/>
      <c r="T44" s="542"/>
      <c r="U44" s="542"/>
      <c r="V44" s="542"/>
      <c r="W44" s="535"/>
      <c r="X44" s="535"/>
      <c r="Y44" s="535"/>
    </row>
    <row r="45" spans="1:25" ht="15.75">
      <c r="A45" s="383"/>
      <c r="B45" s="384"/>
      <c r="C45" s="384"/>
      <c r="D45" s="385"/>
      <c r="E45" s="335"/>
      <c r="F45" s="335"/>
      <c r="G45" s="335"/>
      <c r="H45" s="335"/>
      <c r="I45" s="335"/>
      <c r="J45" s="335"/>
      <c r="K45" s="335"/>
      <c r="L45" s="335"/>
      <c r="M45" s="335"/>
      <c r="N45" s="352"/>
      <c r="O45" s="541"/>
      <c r="P45" s="541"/>
      <c r="Q45" s="541"/>
      <c r="R45" s="541"/>
      <c r="S45" s="541"/>
      <c r="T45" s="542"/>
      <c r="U45" s="542"/>
      <c r="V45" s="542"/>
      <c r="W45" s="535"/>
      <c r="X45" s="535"/>
      <c r="Y45" s="535"/>
    </row>
    <row r="46" spans="1:25" ht="15.75">
      <c r="A46" s="882"/>
      <c r="B46" s="882"/>
      <c r="C46" s="882"/>
      <c r="D46" s="3"/>
      <c r="O46" s="541"/>
      <c r="P46" s="541"/>
      <c r="Q46" s="541"/>
      <c r="R46" s="541"/>
      <c r="S46" s="541"/>
      <c r="T46" s="542"/>
      <c r="U46" s="542"/>
      <c r="V46" s="542"/>
      <c r="W46" s="535"/>
      <c r="X46" s="535"/>
      <c r="Y46" s="535"/>
    </row>
    <row r="47" spans="1:25" ht="15.75">
      <c r="A47" s="882"/>
      <c r="B47" s="882"/>
      <c r="C47" s="882"/>
      <c r="D47" s="3"/>
      <c r="O47" s="541"/>
      <c r="P47" s="541"/>
      <c r="Q47" s="541"/>
      <c r="R47" s="541"/>
      <c r="S47" s="541"/>
      <c r="T47" s="542"/>
      <c r="U47" s="542"/>
      <c r="V47" s="542"/>
      <c r="W47" s="535"/>
      <c r="X47" s="535"/>
      <c r="Y47" s="535"/>
    </row>
    <row r="48" spans="1:25">
      <c r="C48" s="881" t="s">
        <v>211</v>
      </c>
      <c r="D48" s="881" t="s">
        <v>217</v>
      </c>
      <c r="E48" s="36"/>
      <c r="F48" s="36"/>
      <c r="G48" s="36"/>
      <c r="H48" s="36"/>
      <c r="O48" s="541"/>
      <c r="P48" s="541"/>
      <c r="Q48" s="541"/>
      <c r="R48" s="541"/>
      <c r="S48" s="541"/>
      <c r="T48" s="542"/>
      <c r="U48" s="542"/>
      <c r="V48" s="542"/>
      <c r="W48" s="535"/>
      <c r="X48" s="535"/>
      <c r="Y48" s="535"/>
    </row>
    <row r="49" spans="1:25">
      <c r="A49" s="43" t="s">
        <v>213</v>
      </c>
      <c r="B49" s="43"/>
      <c r="C49" s="41"/>
      <c r="D49" s="41" t="s">
        <v>218</v>
      </c>
      <c r="E49" s="140"/>
      <c r="G49" s="141"/>
      <c r="I49" s="141"/>
      <c r="K49" s="141"/>
      <c r="M49" s="142"/>
      <c r="O49" s="541"/>
      <c r="P49" s="541"/>
      <c r="Q49" s="541"/>
      <c r="R49" s="541"/>
      <c r="S49" s="541"/>
      <c r="T49" s="542"/>
      <c r="U49" s="542"/>
      <c r="V49" s="542"/>
      <c r="W49" s="535"/>
      <c r="X49" s="535"/>
      <c r="Y49" s="535"/>
    </row>
    <row r="50" spans="1:25">
      <c r="A50" s="43" t="s">
        <v>214</v>
      </c>
      <c r="B50" s="43"/>
      <c r="C50" s="41"/>
      <c r="D50" s="41" t="s">
        <v>218</v>
      </c>
      <c r="E50" s="140"/>
      <c r="G50" s="141"/>
      <c r="I50" s="141"/>
      <c r="K50" s="141"/>
      <c r="M50" s="142"/>
      <c r="O50" s="541"/>
      <c r="P50" s="541"/>
      <c r="Q50" s="541"/>
      <c r="R50" s="541"/>
      <c r="S50" s="541"/>
      <c r="T50" s="542"/>
      <c r="U50" s="542"/>
      <c r="V50" s="542"/>
      <c r="W50" s="535"/>
      <c r="X50" s="535"/>
      <c r="Y50" s="535"/>
    </row>
    <row r="51" spans="1:25">
      <c r="A51" s="43" t="s">
        <v>215</v>
      </c>
      <c r="B51" s="43"/>
      <c r="C51" s="41"/>
      <c r="D51" s="41" t="s">
        <v>218</v>
      </c>
      <c r="E51" s="140"/>
      <c r="G51" s="141"/>
      <c r="I51" s="141"/>
      <c r="K51" s="141"/>
      <c r="M51" s="142"/>
      <c r="O51" s="541"/>
      <c r="P51" s="541"/>
      <c r="Q51" s="541"/>
      <c r="R51" s="541"/>
      <c r="S51" s="541"/>
      <c r="T51" s="542"/>
      <c r="U51" s="542"/>
      <c r="V51" s="542"/>
      <c r="W51" s="535"/>
      <c r="X51" s="535"/>
      <c r="Y51" s="535"/>
    </row>
    <row r="52" spans="1:25">
      <c r="A52" s="43" t="s">
        <v>216</v>
      </c>
      <c r="B52" s="43"/>
      <c r="C52" s="41"/>
      <c r="D52" s="41" t="s">
        <v>218</v>
      </c>
      <c r="E52" s="140"/>
      <c r="G52" s="141"/>
      <c r="I52" s="141"/>
      <c r="K52" s="141"/>
      <c r="M52" s="142"/>
      <c r="O52" s="541"/>
      <c r="P52" s="541"/>
      <c r="Q52" s="541"/>
      <c r="R52" s="541"/>
      <c r="S52" s="541"/>
      <c r="T52" s="542"/>
      <c r="U52" s="542"/>
      <c r="V52" s="542"/>
      <c r="W52" s="535"/>
      <c r="X52" s="535"/>
      <c r="Y52" s="535"/>
    </row>
    <row r="53" spans="1:25">
      <c r="A53" s="1148" t="s">
        <v>20</v>
      </c>
      <c r="B53" s="1148"/>
      <c r="C53" s="1148"/>
      <c r="D53" s="1148"/>
      <c r="E53" s="31"/>
      <c r="O53" s="541"/>
      <c r="P53" s="541"/>
      <c r="Q53" s="541"/>
      <c r="R53" s="541"/>
      <c r="S53" s="541"/>
      <c r="T53" s="542"/>
      <c r="U53" s="542"/>
      <c r="V53" s="542"/>
      <c r="W53" s="535"/>
      <c r="X53" s="535"/>
      <c r="Y53" s="535"/>
    </row>
    <row r="54" spans="1:25">
      <c r="A54" s="1149" t="s">
        <v>21</v>
      </c>
      <c r="B54" s="1149"/>
      <c r="C54" s="1149"/>
      <c r="D54" s="4"/>
      <c r="O54" s="541"/>
      <c r="P54" s="541"/>
      <c r="Q54" s="541"/>
      <c r="R54" s="541"/>
      <c r="S54" s="541"/>
      <c r="T54" s="542"/>
      <c r="U54" s="542"/>
      <c r="V54" s="542"/>
      <c r="W54" s="535"/>
      <c r="X54" s="535"/>
      <c r="Y54" s="535"/>
    </row>
    <row r="55" spans="1:25">
      <c r="A55" s="1135" t="s">
        <v>22</v>
      </c>
      <c r="B55" s="1135"/>
      <c r="C55" s="48" t="s">
        <v>226</v>
      </c>
      <c r="D55" s="44" t="s">
        <v>219</v>
      </c>
      <c r="E55" s="141">
        <v>11</v>
      </c>
      <c r="F55" s="1" t="str">
        <f>IF(E55=0,"ND",IF(E55&lt;12,"BAJO",IF(E55=11.9,"BAJO",IF(E55=12,"NORMAL",IF(E55&lt;=16,"NORMAL",IF(E55&gt;=16.1,"ALTO"))))))</f>
        <v>BAJO</v>
      </c>
      <c r="G55" s="141">
        <v>0</v>
      </c>
      <c r="H55" s="1" t="str">
        <f>IF(G55=0,"ND",IF(G55&lt;12,"BAJO",IF(G55=11.9,"BAJO",IF(G55=12,"NORMAL",IF(G55&lt;=16,"NORMAL",IF(G55&gt;=16.1,"ALTO"))))))</f>
        <v>ND</v>
      </c>
      <c r="I55" s="141">
        <v>0</v>
      </c>
      <c r="J55" s="1" t="str">
        <f>IF(I55=0,"ND",IF(I55&lt;12,"BAJO",IF(I55=11.9,"BAJO",IF(I55=12,"NORMAL",IF(I55&lt;=16,"NORMAL",IF(I55&gt;=16.1,"ALTO"))))))</f>
        <v>ND</v>
      </c>
      <c r="K55" s="141">
        <v>0</v>
      </c>
      <c r="L55" s="1" t="str">
        <f>IF(K55=0,"ND",IF(K55&lt;12,"BAJO",IF(K55=11.9,"BAJO",IF(K55=12,"NORMAL",IF(K55&lt;=16,"NORMAL",IF(K55&gt;=16.1,"ALTO"))))))</f>
        <v>ND</v>
      </c>
      <c r="M55" s="141">
        <v>0</v>
      </c>
      <c r="N55" s="1" t="str">
        <f>IF(M55=0,"ND",IF(M55&lt;12,"BAJO",IF(M55=11.9,"BAJO",IF(M55=12,"NORMAL",IF(M55&lt;=16,"NORMAL",IF(M55&gt;=16.1,"ALTO"))))))</f>
        <v>ND</v>
      </c>
      <c r="O55" s="541"/>
      <c r="P55" s="541"/>
      <c r="Q55" s="541"/>
      <c r="R55" s="541"/>
      <c r="S55" s="541"/>
      <c r="T55" s="542"/>
      <c r="U55" s="542"/>
      <c r="V55" s="542"/>
      <c r="W55" s="535"/>
      <c r="X55" s="535"/>
      <c r="Y55" s="535"/>
    </row>
    <row r="56" spans="1:25" s="62" customFormat="1">
      <c r="A56" s="59"/>
      <c r="B56" s="59"/>
      <c r="C56" s="66"/>
      <c r="D56" s="67">
        <v>0</v>
      </c>
      <c r="E56" s="62">
        <v>0</v>
      </c>
      <c r="O56" s="540"/>
      <c r="P56" s="540"/>
      <c r="Q56" s="540"/>
      <c r="R56" s="540"/>
      <c r="S56" s="540"/>
      <c r="T56" s="540"/>
      <c r="U56" s="540"/>
      <c r="V56" s="540"/>
      <c r="W56" s="536"/>
      <c r="X56" s="536"/>
      <c r="Y56" s="536"/>
    </row>
    <row r="57" spans="1:25">
      <c r="A57" s="1135" t="s">
        <v>23</v>
      </c>
      <c r="B57" s="1135"/>
      <c r="C57" s="46" t="s">
        <v>227</v>
      </c>
      <c r="D57" s="42" t="s">
        <v>52</v>
      </c>
      <c r="E57" s="141">
        <v>32</v>
      </c>
      <c r="F57" s="1" t="str">
        <f>IF(E57=0,"ND",IF(E57&lt;36,"BAJO",IF(E57=35.9,"BAJO",IF(E57=36,"NORMAL",IF(E57&lt;=47,"NORMAL",IF(E57&gt;=47.1,"ALTO"))))))</f>
        <v>BAJO</v>
      </c>
      <c r="G57" s="141">
        <v>0</v>
      </c>
      <c r="H57" s="1" t="str">
        <f>IF(G57=0,"ND",IF(G57&lt;36,"BAJO",IF(G57=35.9,"BAJO",IF(G57=36,"NORMAL",IF(G57&lt;=47,"NORMAL",IF(G57&gt;=47.1,"ALTO"))))))</f>
        <v>ND</v>
      </c>
      <c r="I57" s="141">
        <v>0</v>
      </c>
      <c r="J57" s="1" t="str">
        <f>IF(I57=0,"ND",IF(I57&lt;36,"BAJO",IF(I57=35.9,"BAJO",IF(I57=36,"NORMAL",IF(I57&lt;=47,"NORMAL",IF(I57&gt;=47.1,"ALTO"))))))</f>
        <v>ND</v>
      </c>
      <c r="K57" s="141">
        <v>0</v>
      </c>
      <c r="L57" s="1" t="str">
        <f>IF(K57=0,"ND",IF(K57&lt;36,"BAJO",IF(K57=35.9,"BAJO",IF(K57=36,"NORMAL",IF(K57&lt;=47,"NORMAL",IF(K57&gt;=47.1,"ALTO"))))))</f>
        <v>ND</v>
      </c>
      <c r="M57" s="141">
        <v>0</v>
      </c>
      <c r="N57" s="1" t="str">
        <f>IF(M57=0,"ND",IF(M57&lt;36,"BAJO",IF(M57=35.9,"BAJO",IF(M57=36,"NORMAL",IF(M57&lt;=47,"NORMAL",IF(M57&gt;=47.1,"ALTO"))))))</f>
        <v>ND</v>
      </c>
      <c r="O57" s="542"/>
      <c r="P57" s="542"/>
      <c r="Q57" s="542"/>
      <c r="R57" s="542"/>
      <c r="S57" s="542"/>
      <c r="T57" s="542"/>
      <c r="U57" s="542"/>
      <c r="V57" s="542"/>
      <c r="W57" s="535"/>
      <c r="X57" s="535"/>
      <c r="Y57" s="535"/>
    </row>
    <row r="58" spans="1:25" s="62" customFormat="1">
      <c r="A58" s="59"/>
      <c r="B58" s="59"/>
      <c r="C58" s="60"/>
      <c r="D58" s="61"/>
      <c r="O58" s="540"/>
      <c r="P58" s="540"/>
      <c r="Q58" s="540"/>
      <c r="R58" s="540"/>
      <c r="S58" s="540"/>
      <c r="T58" s="540"/>
      <c r="U58" s="540"/>
      <c r="V58" s="540"/>
      <c r="W58" s="536"/>
      <c r="X58" s="536"/>
      <c r="Y58" s="536"/>
    </row>
    <row r="59" spans="1:25">
      <c r="A59" s="1135" t="s">
        <v>24</v>
      </c>
      <c r="B59" s="1135"/>
      <c r="C59" s="46" t="s">
        <v>228</v>
      </c>
      <c r="D59" s="42" t="s">
        <v>220</v>
      </c>
      <c r="E59" s="141">
        <v>12.7</v>
      </c>
      <c r="F59" s="1" t="str">
        <f>IF(E59=0,"ND",IF(E59&lt;4000,"BAJO",IF(E59=4000,"NORMAL",IF(E59&lt;=11000,"NORMAL",IF(E59&gt;=11001,"ALTO")))))</f>
        <v>BAJO</v>
      </c>
      <c r="G59" s="141"/>
      <c r="H59" s="1" t="str">
        <f>IF(G59=0,"ND",IF(G59&lt;4000,"BAJO",IF(G59=4000,"NORMAL",IF(G59&lt;=11000,"NORMAL",IF(G59&gt;=11001,"ALTO")))))</f>
        <v>ND</v>
      </c>
      <c r="I59" s="143"/>
      <c r="J59" s="1" t="str">
        <f>IF(I59=0,"ND",IF(I59&lt;4000,"BAJO",IF(I59=4000,"NORMAL",IF(I59&lt;=11000,"NORMAL",IF(I59&gt;=11001,"ALTO")))))</f>
        <v>ND</v>
      </c>
      <c r="K59" s="143">
        <v>0</v>
      </c>
      <c r="L59" s="1" t="str">
        <f>IF(K59=0,"ND",IF(K59&lt;4000,"BAJO",IF(K59=4000,"NORMAL",IF(K59&lt;=11000,"NORMAL",IF(K59&gt;=11001,"ALTO")))))</f>
        <v>ND</v>
      </c>
      <c r="M59" s="143">
        <v>0</v>
      </c>
      <c r="N59" s="1" t="str">
        <f>IF(M59=0,"ND",IF(M59&lt;4000,"BAJO",IF(M59=4000,"NORMAL",IF(M59&lt;=11000,"NORMAL",IF(M59&gt;=11001,"ALTO")))))</f>
        <v>ND</v>
      </c>
      <c r="O59" s="542"/>
      <c r="P59" s="542"/>
      <c r="Q59" s="542"/>
      <c r="R59" s="542"/>
      <c r="S59" s="542"/>
      <c r="T59" s="542"/>
      <c r="U59" s="542"/>
      <c r="V59" s="542"/>
      <c r="W59" s="535"/>
      <c r="X59" s="535"/>
      <c r="Y59" s="535"/>
    </row>
    <row r="60" spans="1:25">
      <c r="A60" s="984"/>
      <c r="B60" s="984"/>
      <c r="C60" s="984"/>
      <c r="D60" s="4"/>
      <c r="O60" s="542"/>
      <c r="P60" s="542"/>
      <c r="Q60" s="542"/>
      <c r="R60" s="542"/>
      <c r="S60" s="542"/>
      <c r="T60" s="542"/>
      <c r="U60" s="542"/>
      <c r="V60" s="542"/>
      <c r="W60" s="535"/>
      <c r="X60" s="535"/>
      <c r="Y60" s="535"/>
    </row>
    <row r="61" spans="1:25">
      <c r="A61" s="1138" t="s">
        <v>20</v>
      </c>
      <c r="B61" s="1138"/>
      <c r="C61" s="1138"/>
      <c r="D61" s="4"/>
      <c r="O61" s="542"/>
      <c r="P61" s="542"/>
      <c r="Q61" s="542"/>
      <c r="R61" s="542"/>
      <c r="S61" s="542"/>
      <c r="T61" s="542"/>
      <c r="U61" s="542"/>
      <c r="V61" s="542"/>
      <c r="W61" s="535"/>
      <c r="X61" s="535"/>
      <c r="Y61" s="535"/>
    </row>
    <row r="62" spans="1:25">
      <c r="A62" s="1135" t="s">
        <v>25</v>
      </c>
      <c r="B62" s="1135"/>
      <c r="C62" s="56" t="s">
        <v>229</v>
      </c>
      <c r="D62" s="57" t="s">
        <v>221</v>
      </c>
      <c r="E62" s="144">
        <v>109</v>
      </c>
      <c r="F62" s="1" t="str">
        <f>IF(E62=0,"ND",IF(E62&lt;65,"BAJO",IF(E62=64.9,"BAJO",IF(E62=65,"NORMAL",IF(E62&lt;=110,"NORMAL",IF(E62&gt;=110.1,"ALTO"))))))</f>
        <v>NORMAL</v>
      </c>
      <c r="G62" s="144"/>
      <c r="H62" s="1" t="str">
        <f>IF(G62=0,"ND",IF(G62&lt;65,"BAJO",IF(G62=64.9,"BAJO",IF(G62=65,"NORMAL",IF(G62&lt;=110,"NORMAL",IF(G62&gt;=110.1,"ALTO"))))))</f>
        <v>ND</v>
      </c>
      <c r="I62" s="144"/>
      <c r="J62" s="1" t="str">
        <f>IF(I62=0,"ND",IF(I62&lt;65,"BAJO",IF(I62=64.9,"BAJO",IF(I62=65,"NORMAL",IF(I62&lt;=110,"NORMAL",IF(I62&gt;=110.1,"ALTO"))))))</f>
        <v>ND</v>
      </c>
      <c r="K62" s="144"/>
      <c r="L62" s="1" t="str">
        <f>IF(K62=0,"ND",IF(K62&lt;65,"BAJO",IF(K62=64.9,"BAJO",IF(K62=65,"NORMAL",IF(K62&lt;=110,"NORMAL",IF(K62&gt;=110.1,"ALTO"))))))</f>
        <v>ND</v>
      </c>
      <c r="M62" s="144"/>
      <c r="N62" s="1" t="str">
        <f>IF(M62=0,"ND",IF(M62&lt;65,"BAJO",IF(M62=64.9,"BAJO",IF(M62=65,"NORMAL",IF(M62&lt;=110,"NORMAL",IF(M62&gt;=110.1,"ALTO"))))))</f>
        <v>ND</v>
      </c>
      <c r="O62" s="542"/>
      <c r="P62" s="542"/>
      <c r="Q62" s="542"/>
      <c r="R62" s="542"/>
      <c r="S62" s="542"/>
      <c r="T62" s="542"/>
      <c r="U62" s="542"/>
      <c r="V62" s="542"/>
      <c r="W62" s="535"/>
      <c r="X62" s="535"/>
      <c r="Y62" s="535"/>
    </row>
    <row r="63" spans="1:25" s="62" customFormat="1">
      <c r="A63" s="59"/>
      <c r="B63" s="59"/>
      <c r="C63" s="60"/>
      <c r="D63" s="61"/>
      <c r="O63" s="540"/>
      <c r="P63" s="540"/>
      <c r="Q63" s="540"/>
      <c r="R63" s="540"/>
      <c r="S63" s="540"/>
      <c r="T63" s="540"/>
      <c r="U63" s="540"/>
      <c r="V63" s="540"/>
      <c r="W63" s="536"/>
      <c r="X63" s="536"/>
      <c r="Y63" s="536"/>
    </row>
    <row r="64" spans="1:25">
      <c r="A64" s="1135" t="s">
        <v>26</v>
      </c>
      <c r="B64" s="1135"/>
      <c r="C64" s="70" t="s">
        <v>230</v>
      </c>
      <c r="D64" s="69" t="s">
        <v>221</v>
      </c>
      <c r="E64" s="145">
        <v>41</v>
      </c>
      <c r="F64" s="1" t="str">
        <f>IF(E64=0,"ND",IF(E64&lt;14,"BAJO",IF(E64=13.9,"BAJO",IF(E64=14,"NORMAL",IF(E64&lt;=44,"NORMAL",IF(E64&gt;=44.1,"ALTO"))))))</f>
        <v>NORMAL</v>
      </c>
      <c r="G64" s="145"/>
      <c r="H64" s="1" t="str">
        <f>IF(G64=0,"ND",IF(G64&lt;14,"BAJO",IF(G64=13.9,"BAJO",IF(G64=14,"NORMAL",IF(G64&lt;=44,"NORMAL",IF(G64&gt;=44.1,"ALTO"))))))</f>
        <v>ND</v>
      </c>
      <c r="I64" s="145"/>
      <c r="J64" s="1" t="str">
        <f>IF(I64=0,"ND",IF(I64&lt;14,"BAJO",IF(I64=13.9,"BAJO",IF(I64=14,"NORMAL",IF(I64&lt;=44,"NORMAL",IF(I64&gt;=44.1,"ALTO"))))))</f>
        <v>ND</v>
      </c>
      <c r="K64" s="145"/>
      <c r="L64" s="1" t="str">
        <f>IF(K64=0,"ND",IF(K64&lt;14,"BAJO",IF(K64=13.9,"BAJO",IF(K64=14,"NORMAL",IF(K64&lt;=44,"NORMAL",IF(K64&gt;=44.1,"ALTO"))))))</f>
        <v>ND</v>
      </c>
      <c r="M64" s="145"/>
      <c r="N64" s="1" t="str">
        <f>IF(M64=0,"ND",IF(M64&lt;14,"BAJO",IF(M64=13.9,"BAJO",IF(M64=14,"NORMAL",IF(M64&lt;=44,"NORMAL",IF(M64&gt;=44.1,"ALTO"))))))</f>
        <v>ND</v>
      </c>
      <c r="O64" s="542"/>
      <c r="P64" s="542"/>
      <c r="Q64" s="542"/>
      <c r="R64" s="542"/>
      <c r="S64" s="542"/>
      <c r="T64" s="542"/>
      <c r="U64" s="542"/>
      <c r="V64" s="542"/>
      <c r="W64" s="535"/>
      <c r="X64" s="535"/>
      <c r="Y64" s="535"/>
    </row>
    <row r="65" spans="1:25" s="62" customFormat="1">
      <c r="A65" s="59"/>
      <c r="B65" s="59"/>
      <c r="C65" s="71"/>
      <c r="D65" s="61"/>
      <c r="O65" s="540"/>
      <c r="P65" s="540"/>
      <c r="Q65" s="540"/>
      <c r="R65" s="540"/>
      <c r="S65" s="540"/>
      <c r="T65" s="540"/>
      <c r="U65" s="540"/>
      <c r="V65" s="540"/>
      <c r="W65" s="536"/>
      <c r="X65" s="536"/>
      <c r="Y65" s="536"/>
    </row>
    <row r="66" spans="1:25">
      <c r="A66" s="1135" t="s">
        <v>27</v>
      </c>
      <c r="B66" s="1135"/>
      <c r="C66" s="68" t="s">
        <v>225</v>
      </c>
      <c r="D66" s="69" t="s">
        <v>221</v>
      </c>
      <c r="E66" s="145">
        <v>0</v>
      </c>
      <c r="F66" s="1" t="str">
        <f>IF(E66=0,"ND",IF(E66&lt;3.4,"BAJO",IF(E66&lt;=3.39,"BAJO",IF(E66=3.4,"NORMAL",IF(E66&lt;=7,"NORMAL",IF(E66&gt;=7.1,"ALTO"))))))</f>
        <v>ND</v>
      </c>
      <c r="G66" s="145"/>
      <c r="H66" s="1" t="str">
        <f>IF(G66=0,"ND",IF(G66&lt;3.4,"BAJO",IF(G66&lt;=3.39,"BAJO",IF(G66=3.4,"NORMAL",IF(G66&lt;=7,"NORMAL",IF(G66&gt;=7.1,"ALTO"))))))</f>
        <v>ND</v>
      </c>
      <c r="I66" s="145"/>
      <c r="J66" s="1" t="str">
        <f>IF(I66=0,"ND",IF(I66&lt;3.4,"BAJO",IF(I66&lt;=3.39,"BAJO",IF(I66=3.4,"NORMAL",IF(I66&lt;=7,"NORMAL",IF(I66&gt;=7.1,"ALTO"))))))</f>
        <v>ND</v>
      </c>
      <c r="K66" s="145"/>
      <c r="L66" s="1" t="str">
        <f>IF(K66=0,"ND",IF(K66&lt;3.4,"BAJO",IF(K66&lt;=3.39,"BAJO",IF(K66=3.4,"NORMAL",IF(K66&lt;=7,"NORMAL",IF(K66&gt;=7.1,"ALTO"))))))</f>
        <v>ND</v>
      </c>
      <c r="M66" s="145"/>
      <c r="N66" s="1" t="str">
        <f>IF(M66=0,"ND",IF(M66&lt;3.4,"BAJO",IF(M66&lt;=3.39,"BAJO",IF(M66=3.4,"NORMAL",IF(M66&lt;=7,"NORMAL",IF(M66&gt;=7.1,"ALTO"))))))</f>
        <v>ND</v>
      </c>
      <c r="O66" s="542"/>
      <c r="P66" s="542"/>
      <c r="Q66" s="542"/>
      <c r="R66" s="542"/>
      <c r="S66" s="542"/>
      <c r="T66" s="542"/>
      <c r="U66" s="542"/>
      <c r="V66" s="542"/>
      <c r="W66" s="535"/>
      <c r="X66" s="535"/>
      <c r="Y66" s="535"/>
    </row>
    <row r="67" spans="1:25" s="62" customFormat="1">
      <c r="A67" s="59"/>
      <c r="B67" s="59"/>
      <c r="C67" s="60"/>
      <c r="D67" s="61"/>
      <c r="O67" s="540"/>
      <c r="P67" s="540"/>
      <c r="Q67" s="540"/>
      <c r="R67" s="540"/>
      <c r="S67" s="540"/>
      <c r="T67" s="540"/>
      <c r="U67" s="540"/>
      <c r="V67" s="540"/>
      <c r="W67" s="536"/>
      <c r="X67" s="536"/>
      <c r="Y67" s="536"/>
    </row>
    <row r="68" spans="1:25">
      <c r="A68" s="1135" t="s">
        <v>28</v>
      </c>
      <c r="B68" s="1135"/>
      <c r="C68" s="64" t="s">
        <v>231</v>
      </c>
      <c r="D68" s="58" t="s">
        <v>221</v>
      </c>
      <c r="E68" s="143"/>
      <c r="F68" s="1" t="str">
        <f>IF(E68=0,"ND",IF(E68&lt;0.5,"BAJO",IF(E68=0.49,"BAJO",IF(E68=0.5,"NORMAL",IF(E68&lt;=1.6,"NORMAL",IF(E68&gt;=1.61,"ALTO"))))))</f>
        <v>ND</v>
      </c>
      <c r="G68" s="143"/>
      <c r="H68" s="1" t="str">
        <f>IF(G68=0,"ND",IF(G68&lt;0.5,"BAJO",IF(G68=0.49,"BAJO",IF(G68=0.5,"NORMAL",IF(G68&lt;=1.6,"NORMAL",IF(G68&gt;=1.61,"ALTO"))))))</f>
        <v>ND</v>
      </c>
      <c r="I68" s="143"/>
      <c r="J68" s="1" t="str">
        <f>IF(I68=0,"ND",IF(I68&lt;0.5,"BAJO",IF(I68=0.49,"BAJO",IF(I68=0.5,"NORMAL",IF(I68&lt;=1.6,"NORMAL",IF(I68&gt;=1.61,"ALTO"))))))</f>
        <v>ND</v>
      </c>
      <c r="K68" s="143"/>
      <c r="L68" s="1" t="str">
        <f>IF(K68=0,"ND",IF(K68&lt;0.5,"BAJO",IF(K68=0.49,"BAJO",IF(K68=0.5,"NORMAL",IF(K68&lt;=1.6,"NORMAL",IF(K68&gt;=1.61,"ALTO"))))))</f>
        <v>ND</v>
      </c>
      <c r="M68" s="143"/>
      <c r="N68" s="1" t="str">
        <f>IF(M68=0,"ND",IF(M68&lt;0.5,"BAJO",IF(M68=0.49,"BAJO",IF(M68=0.5,"NORMAL",IF(M68&lt;=1.6,"NORMAL",IF(M68&gt;=1.61,"ALTO"))))))</f>
        <v>ND</v>
      </c>
      <c r="O68" s="542"/>
      <c r="P68" s="542"/>
      <c r="Q68" s="542"/>
      <c r="R68" s="542"/>
      <c r="S68" s="542"/>
      <c r="T68" s="542"/>
      <c r="U68" s="542"/>
      <c r="V68" s="542"/>
      <c r="W68" s="535"/>
      <c r="X68" s="535"/>
      <c r="Y68" s="535"/>
    </row>
    <row r="69" spans="1:25">
      <c r="A69" s="984"/>
      <c r="B69" s="984"/>
      <c r="C69" s="984"/>
      <c r="D69" s="4"/>
      <c r="O69" s="542"/>
      <c r="P69" s="542"/>
      <c r="Q69" s="542"/>
      <c r="R69" s="542"/>
      <c r="S69" s="542"/>
      <c r="T69" s="542"/>
      <c r="U69" s="542"/>
      <c r="V69" s="542"/>
      <c r="W69" s="535"/>
      <c r="X69" s="535"/>
      <c r="Y69" s="535"/>
    </row>
    <row r="70" spans="1:25">
      <c r="A70" s="1138" t="s">
        <v>29</v>
      </c>
      <c r="B70" s="1138"/>
      <c r="C70" s="1138"/>
      <c r="D70" s="4"/>
      <c r="O70" s="542"/>
      <c r="P70" s="542"/>
      <c r="Q70" s="542"/>
      <c r="R70" s="542"/>
      <c r="S70" s="542"/>
      <c r="T70" s="542"/>
      <c r="U70" s="542"/>
      <c r="V70" s="542"/>
      <c r="W70" s="535"/>
      <c r="X70" s="535"/>
      <c r="Y70" s="535"/>
    </row>
    <row r="71" spans="1:25">
      <c r="A71" s="881" t="s">
        <v>30</v>
      </c>
      <c r="B71" s="881"/>
      <c r="C71" s="56" t="s">
        <v>224</v>
      </c>
      <c r="D71" s="57" t="s">
        <v>219</v>
      </c>
      <c r="E71" s="144">
        <v>0</v>
      </c>
      <c r="F71" s="1" t="str">
        <f>IF(E71=0,"ND",IF(E71&lt;6.4,"BAJO",IF(E71=6.39,"BAJO",IF(E71=6.4,"NORMAL",IF(E71&lt;=8.3,"NORMAL",IF(E71&gt;=8.31,"ALTO"))))))</f>
        <v>ND</v>
      </c>
      <c r="G71" s="144"/>
      <c r="H71" s="1" t="str">
        <f>IF(G71=0,"ND",IF(G71&lt;6.4,"BAJO",IF(G71=6.39,"BAJO",IF(G71=6.4,"NORMAL",IF(G71&lt;=8.3,"NORMAL",IF(G71&gt;=8.31,"ALTO"))))))</f>
        <v>ND</v>
      </c>
      <c r="I71" s="144"/>
      <c r="J71" s="1" t="str">
        <f>IF(I71=0,"ND",IF(I71&lt;6.4,"BAJO",IF(I71=6.39,"BAJO",IF(I71=6.4,"NORMAL",IF(I71&lt;=8.3,"NORMAL",IF(I71&gt;=8.31,"ALTO"))))))</f>
        <v>ND</v>
      </c>
      <c r="K71" s="144"/>
      <c r="L71" s="1" t="str">
        <f>IF(K71=0,"ND",IF(K71&lt;6.4,"BAJO",IF(K71=6.39,"BAJO",IF(K71=6.4,"NORMAL",IF(K71&lt;=8.3,"NORMAL",IF(K71&gt;=8.31,"ALTO"))))))</f>
        <v>ND</v>
      </c>
      <c r="M71" s="144"/>
      <c r="N71" s="1" t="str">
        <f>IF(M71=0,"ND",IF(M71&lt;6.4,"BAJO",IF(M71=6.39,"BAJO",IF(M71=6.4,"NORMAL",IF(M71&lt;=8.3,"NORMAL",IF(M71&gt;=8.31,"ALTO"))))))</f>
        <v>ND</v>
      </c>
      <c r="O71" s="542"/>
      <c r="P71" s="542"/>
      <c r="Q71" s="542"/>
      <c r="R71" s="542"/>
      <c r="S71" s="542"/>
      <c r="T71" s="542"/>
      <c r="U71" s="542"/>
      <c r="V71" s="542"/>
      <c r="W71" s="535"/>
      <c r="X71" s="535"/>
      <c r="Y71" s="535"/>
    </row>
    <row r="72" spans="1:25" s="62" customFormat="1">
      <c r="A72" s="65"/>
      <c r="B72" s="65"/>
      <c r="C72" s="60"/>
      <c r="D72" s="61"/>
      <c r="O72" s="540"/>
      <c r="P72" s="540"/>
      <c r="Q72" s="540"/>
      <c r="R72" s="540"/>
      <c r="S72" s="540"/>
      <c r="T72" s="540"/>
      <c r="U72" s="540"/>
      <c r="V72" s="540"/>
      <c r="W72" s="536"/>
      <c r="X72" s="536"/>
      <c r="Y72" s="536"/>
    </row>
    <row r="73" spans="1:25">
      <c r="A73" s="1139" t="s">
        <v>31</v>
      </c>
      <c r="B73" s="1139"/>
      <c r="C73" s="64" t="s">
        <v>212</v>
      </c>
      <c r="D73" s="58" t="s">
        <v>219</v>
      </c>
      <c r="E73" s="143">
        <v>0</v>
      </c>
      <c r="F73" s="1" t="str">
        <f>IF(E73=0,"ND",IF(E73&lt;3.4,"BAJO",IF(E73=3.39,"BAJO",IF(E73=3.4,"NORMAL",IF(E73&lt;=5,"NORMAL",IF(E73&gt;=5.01,"ALTO"))))))</f>
        <v>ND</v>
      </c>
      <c r="G73" s="143"/>
      <c r="H73" s="1" t="str">
        <f>IF(G73=0,"ND",IF(G73&lt;3.4,"BAJO",IF(G73=3.39,"BAJO",IF(G73=3.4,"NORMAL",IF(G73&lt;=5,"NORMAL",IF(G73&gt;=5.01,"ALTO"))))))</f>
        <v>ND</v>
      </c>
      <c r="I73" s="143"/>
      <c r="J73" s="1" t="str">
        <f>IF(I73=0,"ND",IF(I73&lt;3.4,"BAJO",IF(I73=3.39,"BAJO",IF(I73=3.4,"NORMAL",IF(I73&lt;=5,"NORMAL",IF(I73&gt;=5.01,"ALTO"))))))</f>
        <v>ND</v>
      </c>
      <c r="K73" s="143"/>
      <c r="L73" s="1" t="str">
        <f>IF(K73=0,"ND",IF(K73&lt;3.4,"BAJO",IF(K73=3.39,"BAJO",IF(K73=3.4,"NORMAL",IF(K73&lt;=5,"NORMAL",IF(K73&gt;=5.01,"ALTO"))))))</f>
        <v>ND</v>
      </c>
      <c r="M73" s="143"/>
      <c r="N73" s="1" t="str">
        <f>IF(M73=0,"ND",IF(M73&lt;3.4,"BAJO",IF(M73=3.39,"BAJO",IF(M73=3.4,"NORMAL",IF(M73&lt;=5,"NORMAL",IF(M73&gt;=5.01,"ALTO"))))))</f>
        <v>ND</v>
      </c>
      <c r="O73" s="542"/>
      <c r="P73" s="542"/>
      <c r="Q73" s="542"/>
      <c r="R73" s="542"/>
      <c r="S73" s="542"/>
      <c r="T73" s="542"/>
      <c r="U73" s="542"/>
      <c r="V73" s="542"/>
      <c r="W73" s="535"/>
      <c r="X73" s="535"/>
      <c r="Y73" s="535"/>
    </row>
    <row r="74" spans="1:25">
      <c r="A74" s="5"/>
      <c r="B74" s="5"/>
      <c r="C74" s="5"/>
      <c r="D74" s="4"/>
      <c r="O74" s="542"/>
      <c r="P74" s="542"/>
      <c r="Q74" s="542"/>
      <c r="R74" s="542"/>
      <c r="S74" s="542"/>
      <c r="T74" s="542"/>
      <c r="U74" s="542"/>
      <c r="V74" s="542"/>
      <c r="W74" s="535"/>
      <c r="X74" s="535"/>
      <c r="Y74" s="535"/>
    </row>
    <row r="75" spans="1:25">
      <c r="A75" s="1138" t="s">
        <v>32</v>
      </c>
      <c r="B75" s="1138"/>
      <c r="C75" s="1138"/>
      <c r="D75" s="4"/>
      <c r="O75" s="542"/>
      <c r="P75" s="542"/>
      <c r="Q75" s="542"/>
      <c r="R75" s="542"/>
      <c r="S75" s="542"/>
      <c r="T75" s="542"/>
      <c r="U75" s="542"/>
      <c r="V75" s="542"/>
      <c r="W75" s="535"/>
      <c r="X75" s="535"/>
      <c r="Y75" s="535"/>
    </row>
    <row r="76" spans="1:25">
      <c r="A76" s="879" t="s">
        <v>33</v>
      </c>
      <c r="B76" s="879"/>
      <c r="C76" s="46" t="s">
        <v>232</v>
      </c>
      <c r="D76" s="42" t="s">
        <v>221</v>
      </c>
      <c r="E76" s="141">
        <v>0</v>
      </c>
      <c r="F76" s="1" t="str">
        <f>IF(E76=0,"ND",IF(E76&lt;140,"BAJO",IF(E76=139.9,"BAJO",IF(E76=140,"NORMAL",IF(E76&lt;=200,"NORMAL",IF(E76&gt;=200.1,"ALTO"))))))</f>
        <v>ND</v>
      </c>
      <c r="G76" s="141"/>
      <c r="H76" s="1" t="str">
        <f>IF(G76=0,"ND",IF(G76&lt;140,"BAJO",IF(G76=139.9,"BAJO",IF(G76=140,"NORMAL",IF(G76&lt;=200,"NORMAL",IF(G76&gt;=200.1,"ALTO"))))))</f>
        <v>ND</v>
      </c>
      <c r="I76" s="141"/>
      <c r="J76" s="1" t="str">
        <f>IF(I76=0,"ND",IF(I76&lt;140,"BAJO",IF(I76=139.9,"BAJO",IF(I76=140,"NORMAL",IF(I76&lt;=200,"NORMAL",IF(I76&gt;=200.1,"ALTO"))))))</f>
        <v>ND</v>
      </c>
      <c r="K76" s="141"/>
      <c r="L76" s="1" t="str">
        <f>IF(K76=0,"ND",IF(K76&lt;140,"BAJO",IF(K76=139.9,"BAJO",IF(K76=140,"NORMAL",IF(K76&lt;=200,"NORMAL",IF(K76&gt;=200.1,"ALTO"))))))</f>
        <v>ND</v>
      </c>
      <c r="M76" s="141"/>
      <c r="N76" s="1" t="str">
        <f>IF(M76=0,"ND",IF(M76&lt;140,"BAJO",IF(M76=139.9,"BAJO",IF(M76=140,"NORMAL",IF(M76&lt;=200,"NORMAL",IF(M76&gt;=200.1,"ALTO"))))))</f>
        <v>ND</v>
      </c>
      <c r="O76" s="542"/>
      <c r="P76" s="542"/>
      <c r="Q76" s="542"/>
      <c r="R76" s="542"/>
      <c r="S76" s="542"/>
      <c r="T76" s="542"/>
      <c r="U76" s="542"/>
      <c r="V76" s="542"/>
      <c r="W76" s="535"/>
      <c r="X76" s="535"/>
      <c r="Y76" s="535"/>
    </row>
    <row r="77" spans="1:25" s="63" customFormat="1">
      <c r="A77" s="59"/>
      <c r="B77" s="59"/>
      <c r="C77" s="60"/>
      <c r="D77" s="61"/>
      <c r="E77" s="62"/>
      <c r="F77" s="62"/>
      <c r="G77" s="62"/>
      <c r="H77" s="62"/>
      <c r="I77" s="62"/>
      <c r="J77" s="62"/>
      <c r="K77" s="62"/>
      <c r="L77" s="62"/>
      <c r="M77" s="62"/>
      <c r="O77" s="542"/>
      <c r="P77" s="542"/>
      <c r="Q77" s="542"/>
      <c r="R77" s="542"/>
      <c r="S77" s="542"/>
      <c r="T77" s="542"/>
      <c r="U77" s="542"/>
      <c r="V77" s="542"/>
      <c r="W77" s="535"/>
      <c r="X77" s="535"/>
      <c r="Y77" s="535"/>
    </row>
    <row r="78" spans="1:25">
      <c r="A78" s="1135" t="s">
        <v>34</v>
      </c>
      <c r="B78" s="1135"/>
      <c r="C78" s="47" t="s">
        <v>233</v>
      </c>
      <c r="D78" s="42" t="s">
        <v>221</v>
      </c>
      <c r="E78" s="141">
        <v>0</v>
      </c>
      <c r="F78" s="1" t="str">
        <f>IF(E78=0,"ND",IF(E78&lt;40,"BAJO",IF(E78=39.9,"BAJO",IF(E78=40,"NORMAL",IF(E78&lt;=160,"NORMAL",IF(E78&gt;=160.1,"ALTO",IF(E78=0,"ND")))))))</f>
        <v>ND</v>
      </c>
      <c r="G78" s="141"/>
      <c r="H78" s="84" t="str">
        <f>IF(G78=0,"ND",IF(G78&lt;40,"BAJO",IF(G78=39.9,"BAJO",IF(G78=40,"NORMAL",IF(G78&lt;=160,"NORMAL",IF(G78&gt;=160.1,"ALTO"))))))</f>
        <v>ND</v>
      </c>
      <c r="I78" s="141"/>
      <c r="J78" s="1" t="str">
        <f>IF(I78=0,"ND",IF(I78&lt;40,"BAJO",IF(I78=39.9,"BAJO",IF(I78=40,"NORMAL",IF(I78&lt;=160,"NORMAL",IF(I78&gt;=160.1,"ALTO"))))))</f>
        <v>ND</v>
      </c>
      <c r="K78" s="141"/>
      <c r="L78" s="1" t="str">
        <f>IF(K78=0,"ND",IF(K78&lt;40,"BAJO",IF(K78=39.9,"BAJO",IF(K78=40,"NORMAL",IF(K78&lt;=160,"NORMAL",IF(K78&gt;=160.1,"ALTO"))))))</f>
        <v>ND</v>
      </c>
      <c r="M78" s="141"/>
      <c r="N78" s="1" t="str">
        <f>IF(M78=0,"ND",IF(M78&lt;40,"BAJO",IF(M78=39.9,"BAJO",IF(M78=40,"NORMAL",IF(M78&lt;=160,"NORMAL",IF(M78&gt;=160.1,"ALTO"))))))</f>
        <v>ND</v>
      </c>
      <c r="O78" s="542"/>
      <c r="P78" s="542"/>
      <c r="Q78" s="542"/>
      <c r="R78" s="542"/>
      <c r="S78" s="542"/>
      <c r="T78" s="542"/>
      <c r="U78" s="542"/>
      <c r="V78" s="542"/>
      <c r="W78" s="535"/>
      <c r="X78" s="535"/>
      <c r="Y78" s="535"/>
    </row>
    <row r="79" spans="1:25" s="63" customFormat="1">
      <c r="A79" s="59" t="s">
        <v>237</v>
      </c>
      <c r="B79" s="59"/>
      <c r="C79" s="1140"/>
      <c r="D79" s="1140"/>
      <c r="E79" s="1140"/>
      <c r="F79" s="1140"/>
      <c r="G79" s="62"/>
      <c r="I79" s="62"/>
      <c r="K79" s="62"/>
      <c r="M79" s="62"/>
      <c r="O79" s="542"/>
      <c r="P79" s="542"/>
      <c r="Q79" s="542"/>
      <c r="R79" s="542"/>
      <c r="S79" s="542"/>
      <c r="T79" s="542"/>
      <c r="U79" s="542"/>
      <c r="V79" s="542"/>
      <c r="W79" s="535"/>
      <c r="X79" s="535"/>
      <c r="Y79" s="535"/>
    </row>
    <row r="80" spans="1:25">
      <c r="A80" s="1138" t="s">
        <v>35</v>
      </c>
      <c r="B80" s="1138"/>
      <c r="C80" s="1138"/>
      <c r="D80" s="4"/>
      <c r="E80" s="45"/>
      <c r="O80" s="542"/>
      <c r="P80" s="542"/>
      <c r="Q80" s="542"/>
      <c r="R80" s="542"/>
      <c r="S80" s="542"/>
      <c r="T80" s="542"/>
      <c r="U80" s="542"/>
      <c r="V80" s="542"/>
      <c r="W80" s="535"/>
      <c r="X80" s="535"/>
      <c r="Y80" s="535"/>
    </row>
    <row r="81" spans="1:25">
      <c r="A81" s="880"/>
      <c r="B81" s="880"/>
      <c r="C81" s="880"/>
      <c r="D81" s="4"/>
      <c r="E81" s="45"/>
      <c r="O81" s="542"/>
      <c r="P81" s="542"/>
      <c r="Q81" s="542"/>
      <c r="R81" s="542"/>
      <c r="S81" s="542"/>
      <c r="T81" s="542"/>
      <c r="U81" s="542"/>
      <c r="V81" s="542"/>
      <c r="W81" s="535"/>
      <c r="X81" s="535"/>
      <c r="Y81" s="535"/>
    </row>
    <row r="82" spans="1:25">
      <c r="A82" s="880"/>
      <c r="B82" s="880"/>
      <c r="C82" s="880"/>
      <c r="D82" s="4"/>
      <c r="E82" s="45"/>
      <c r="O82" s="542"/>
      <c r="P82" s="542"/>
      <c r="Q82" s="542"/>
      <c r="R82" s="542"/>
      <c r="S82" s="542"/>
      <c r="T82" s="542"/>
      <c r="U82" s="542"/>
      <c r="V82" s="542"/>
      <c r="W82" s="535"/>
      <c r="X82" s="535"/>
      <c r="Y82" s="535"/>
    </row>
    <row r="83" spans="1:25">
      <c r="A83" s="1135" t="s">
        <v>222</v>
      </c>
      <c r="B83" s="1136"/>
      <c r="C83" s="49" t="s">
        <v>223</v>
      </c>
      <c r="D83" s="42" t="s">
        <v>221</v>
      </c>
      <c r="E83" s="141">
        <v>0</v>
      </c>
      <c r="F83" s="1" t="str">
        <f>IF(E83=0,"ND",IF(E83&lt;9,"BAJO",IF(E83=8.9,"BAJO",IF(E83=9,"NORMAL",IF(E83&lt;=20,"NORMAL",IF(E83&gt;=20.1,"ALTO"))))))</f>
        <v>ND</v>
      </c>
      <c r="G83" s="141">
        <v>0</v>
      </c>
      <c r="H83" s="1" t="str">
        <f>IF(G83=0,"ND",IF(G83&lt;9,"BAJO",IF(G83=8.9,"BAJO",IF(G83=9,"NORMAL",IF(G83&lt;=20,"NORMAL",IF(G83&gt;=20.1,"ALTO"))))))</f>
        <v>ND</v>
      </c>
      <c r="I83" s="141"/>
      <c r="J83" s="1" t="str">
        <f>IF(I83=0,"ND",IF(I83&lt;9,"BAJO",IF(I83=8.9,"BAJO",IF(I83=9,"NORMAL",IF(I83&lt;=20,"NORMAL",IF(I83&gt;=20.1,"ALTO"))))))</f>
        <v>ND</v>
      </c>
      <c r="K83" s="141"/>
      <c r="L83" s="1" t="str">
        <f>IF(K83=0,"ND",IF(K83&lt;9,"BAJO",IF(K83=8.9,"BAJO",IF(K83=9,"NORMAL",IF(K83&lt;=20,"NORMAL",IF(K83&gt;=20.1,"ALTO"))))))</f>
        <v>ND</v>
      </c>
      <c r="M83" s="141"/>
      <c r="N83" s="1" t="str">
        <f>IF(M83=0,"ND",IF(M83&lt;9,"BAJO",IF(M83=8.9,"BAJO",IF(M83=9,"NORMAL",IF(M83&lt;=20,"NORMAL",IF(M83&gt;=20.1,"ALTO"))))))</f>
        <v>ND</v>
      </c>
      <c r="O83" s="542"/>
      <c r="P83" s="542"/>
      <c r="Q83" s="542"/>
      <c r="R83" s="542"/>
      <c r="S83" s="542"/>
      <c r="T83" s="542"/>
      <c r="U83" s="542"/>
      <c r="V83" s="542"/>
      <c r="W83" s="535"/>
      <c r="X83" s="535"/>
      <c r="Y83" s="535"/>
    </row>
    <row r="84" spans="1:25">
      <c r="A84" s="879"/>
      <c r="B84" s="879"/>
      <c r="C84" s="117"/>
      <c r="D84" s="118"/>
      <c r="E84" s="85"/>
      <c r="F84" s="84"/>
      <c r="G84" s="85"/>
      <c r="H84" s="84"/>
      <c r="I84" s="85"/>
      <c r="J84" s="84"/>
      <c r="K84" s="85"/>
      <c r="L84" s="84"/>
      <c r="M84" s="85"/>
      <c r="O84" s="542"/>
      <c r="P84" s="542"/>
      <c r="Q84" s="542"/>
      <c r="R84" s="542"/>
      <c r="S84" s="542"/>
      <c r="T84" s="542"/>
      <c r="U84" s="542"/>
      <c r="V84" s="542"/>
      <c r="W84" s="535"/>
      <c r="X84" s="535"/>
      <c r="Y84" s="535"/>
    </row>
    <row r="85" spans="1:25">
      <c r="A85" s="879"/>
      <c r="B85" s="879"/>
      <c r="C85" s="117"/>
      <c r="D85" s="118"/>
      <c r="E85" s="85"/>
      <c r="F85" s="84"/>
      <c r="G85" s="85"/>
      <c r="H85" s="84"/>
      <c r="I85" s="85"/>
      <c r="J85" s="84"/>
      <c r="K85" s="85"/>
      <c r="L85" s="84"/>
      <c r="M85" s="85"/>
      <c r="O85" s="542"/>
      <c r="P85" s="542"/>
      <c r="Q85" s="542"/>
      <c r="R85" s="542"/>
      <c r="S85" s="542"/>
      <c r="T85" s="542"/>
      <c r="U85" s="542"/>
      <c r="V85" s="542"/>
      <c r="W85" s="535"/>
      <c r="X85" s="535"/>
      <c r="Y85" s="535"/>
    </row>
    <row r="86" spans="1:25">
      <c r="A86" s="879"/>
      <c r="B86" s="879"/>
      <c r="C86" s="117"/>
      <c r="D86" s="118"/>
      <c r="E86" s="85"/>
      <c r="F86" s="84"/>
      <c r="G86" s="85"/>
      <c r="H86" s="84"/>
      <c r="I86" s="85"/>
      <c r="J86" s="84"/>
      <c r="K86" s="85"/>
      <c r="L86" s="84"/>
      <c r="M86" s="85"/>
      <c r="O86" s="542"/>
      <c r="P86" s="542"/>
      <c r="Q86" s="542"/>
      <c r="R86" s="542"/>
      <c r="S86" s="542"/>
      <c r="T86" s="542"/>
      <c r="U86" s="542"/>
      <c r="V86" s="542"/>
      <c r="W86" s="535"/>
      <c r="X86" s="535"/>
      <c r="Y86" s="535"/>
    </row>
    <row r="87" spans="1:25">
      <c r="A87" s="879"/>
      <c r="B87" s="879"/>
      <c r="C87" s="117"/>
      <c r="D87" s="118"/>
      <c r="E87" s="85"/>
      <c r="F87" s="84"/>
      <c r="G87" s="85"/>
      <c r="H87" s="84"/>
      <c r="I87" s="85"/>
      <c r="J87" s="84"/>
      <c r="K87" s="85"/>
      <c r="L87" s="84"/>
      <c r="M87" s="85"/>
      <c r="O87" s="542"/>
      <c r="P87" s="542"/>
      <c r="Q87" s="542"/>
      <c r="R87" s="542"/>
      <c r="S87" s="542"/>
      <c r="T87" s="542"/>
      <c r="U87" s="542"/>
      <c r="V87" s="542"/>
      <c r="W87" s="535"/>
      <c r="X87" s="535"/>
      <c r="Y87" s="535"/>
    </row>
    <row r="88" spans="1:25">
      <c r="A88" s="879"/>
      <c r="B88" s="879"/>
      <c r="C88" s="117"/>
      <c r="D88" s="118"/>
      <c r="E88" s="85"/>
      <c r="F88" s="84"/>
      <c r="G88" s="85"/>
      <c r="H88" s="84"/>
      <c r="I88" s="85"/>
      <c r="J88" s="84"/>
      <c r="K88" s="85"/>
      <c r="L88" s="84"/>
      <c r="M88" s="85"/>
      <c r="O88" s="542"/>
      <c r="P88" s="542"/>
      <c r="Q88" s="542"/>
      <c r="R88" s="542"/>
      <c r="S88" s="542"/>
      <c r="T88" s="542"/>
      <c r="U88" s="542"/>
      <c r="V88" s="542"/>
      <c r="W88" s="535"/>
      <c r="X88" s="535"/>
      <c r="Y88" s="535"/>
    </row>
    <row r="89" spans="1:25">
      <c r="A89" s="879"/>
      <c r="B89" s="879"/>
      <c r="C89" s="117"/>
      <c r="D89" s="118"/>
      <c r="E89" s="85"/>
      <c r="F89" s="84"/>
      <c r="G89" s="85"/>
      <c r="H89" s="84"/>
      <c r="I89" s="85"/>
      <c r="J89" s="84"/>
      <c r="K89" s="85"/>
      <c r="L89" s="84"/>
      <c r="M89" s="85"/>
      <c r="O89" s="542"/>
      <c r="P89" s="542"/>
      <c r="Q89" s="542"/>
      <c r="R89" s="542"/>
      <c r="S89" s="542"/>
      <c r="T89" s="542"/>
      <c r="U89" s="542"/>
      <c r="V89" s="542"/>
      <c r="W89" s="535"/>
      <c r="X89" s="535"/>
      <c r="Y89" s="535"/>
    </row>
    <row r="90" spans="1:25">
      <c r="A90" s="892"/>
      <c r="B90" s="892"/>
      <c r="C90" s="117"/>
      <c r="D90" s="118"/>
      <c r="E90" s="85"/>
      <c r="F90" s="84"/>
      <c r="G90" s="85"/>
      <c r="H90" s="84"/>
      <c r="I90" s="85"/>
      <c r="J90" s="84"/>
      <c r="K90" s="85"/>
      <c r="L90" s="84"/>
      <c r="M90" s="85"/>
      <c r="N90" s="84"/>
      <c r="O90" s="542"/>
      <c r="P90" s="542"/>
      <c r="Q90" s="542"/>
      <c r="R90" s="542"/>
      <c r="S90" s="542"/>
      <c r="T90" s="542"/>
      <c r="U90" s="542"/>
      <c r="V90" s="542"/>
      <c r="W90" s="535"/>
      <c r="X90" s="535"/>
      <c r="Y90" s="535"/>
    </row>
    <row r="91" spans="1:25">
      <c r="A91" s="892"/>
      <c r="B91" s="892"/>
      <c r="C91" s="117"/>
      <c r="D91" s="118"/>
      <c r="E91" s="85"/>
      <c r="F91" s="84"/>
      <c r="G91" s="85"/>
      <c r="H91" s="84"/>
      <c r="I91" s="85"/>
      <c r="J91" s="84"/>
      <c r="K91" s="85"/>
      <c r="L91" s="84"/>
      <c r="M91" s="85"/>
      <c r="N91" s="84"/>
      <c r="O91" s="542"/>
      <c r="P91" s="542"/>
      <c r="Q91" s="542"/>
      <c r="R91" s="542"/>
      <c r="S91" s="542"/>
      <c r="T91" s="542"/>
      <c r="U91" s="542"/>
      <c r="V91" s="542"/>
      <c r="W91" s="535"/>
      <c r="X91" s="535"/>
      <c r="Y91" s="535"/>
    </row>
    <row r="92" spans="1:25">
      <c r="A92" s="892"/>
      <c r="B92" s="892"/>
      <c r="C92" s="117"/>
      <c r="D92" s="118"/>
      <c r="E92" s="85"/>
      <c r="F92" s="84"/>
      <c r="G92" s="85"/>
      <c r="H92" s="84"/>
      <c r="I92" s="85"/>
      <c r="J92" s="84"/>
      <c r="K92" s="85"/>
      <c r="L92" s="84"/>
      <c r="M92" s="85"/>
      <c r="N92" s="84"/>
      <c r="O92" s="542"/>
      <c r="P92" s="542"/>
      <c r="Q92" s="542"/>
      <c r="R92" s="542"/>
      <c r="S92" s="542"/>
      <c r="T92" s="542"/>
      <c r="U92" s="542"/>
      <c r="V92" s="542"/>
      <c r="W92" s="535"/>
      <c r="X92" s="535"/>
      <c r="Y92" s="535"/>
    </row>
    <row r="93" spans="1:25">
      <c r="A93" s="984"/>
      <c r="B93" s="984"/>
      <c r="C93" s="984"/>
      <c r="D93" s="4"/>
      <c r="F93" s="1137" t="s">
        <v>37</v>
      </c>
      <c r="G93" s="1137"/>
      <c r="H93" s="1137"/>
      <c r="I93" s="1137"/>
      <c r="J93" s="1137"/>
      <c r="O93" s="542"/>
      <c r="P93" s="542"/>
      <c r="Q93" s="542"/>
      <c r="R93" s="542"/>
      <c r="S93" s="542"/>
      <c r="T93" s="542"/>
      <c r="U93" s="542"/>
      <c r="V93" s="542"/>
      <c r="W93" s="535"/>
      <c r="X93" s="535"/>
      <c r="Y93" s="535"/>
    </row>
    <row r="94" spans="1:25">
      <c r="A94" s="1131" t="s">
        <v>82</v>
      </c>
      <c r="B94" s="1131"/>
      <c r="C94" s="1131"/>
      <c r="D94" s="1131"/>
      <c r="E94" s="1131"/>
      <c r="F94" s="1131"/>
      <c r="G94" s="2"/>
      <c r="H94" s="2"/>
      <c r="I94" s="2"/>
      <c r="O94" s="542"/>
      <c r="P94" s="542"/>
      <c r="Q94" s="542"/>
      <c r="R94" s="542"/>
      <c r="S94" s="542"/>
      <c r="T94" s="542"/>
      <c r="U94" s="542"/>
      <c r="V94" s="542"/>
      <c r="W94" s="535"/>
      <c r="X94" s="535"/>
      <c r="Y94" s="535"/>
    </row>
    <row r="95" spans="1:25">
      <c r="A95" s="4"/>
      <c r="B95" s="4" t="s">
        <v>39</v>
      </c>
      <c r="C95" s="53" t="s">
        <v>40</v>
      </c>
      <c r="D95" s="54" t="s">
        <v>41</v>
      </c>
      <c r="E95" s="55" t="s">
        <v>42</v>
      </c>
      <c r="F95" s="4" t="s">
        <v>43</v>
      </c>
      <c r="G95" s="2"/>
      <c r="H95" s="2"/>
      <c r="I95" s="2"/>
      <c r="O95" s="542"/>
      <c r="P95" s="542"/>
      <c r="Q95" s="542"/>
      <c r="R95" s="542"/>
      <c r="S95" s="542"/>
      <c r="T95" s="542"/>
      <c r="U95" s="542"/>
      <c r="V95" s="542"/>
      <c r="W95" s="535"/>
      <c r="X95" s="535"/>
      <c r="Y95" s="535"/>
    </row>
    <row r="96" spans="1:25">
      <c r="A96" s="4" t="s">
        <v>44</v>
      </c>
      <c r="B96" s="146">
        <v>1</v>
      </c>
      <c r="C96" s="50">
        <f>B96*12</f>
        <v>12</v>
      </c>
      <c r="D96" s="51">
        <f>B96*9</f>
        <v>9</v>
      </c>
      <c r="E96" s="52">
        <f>B96*5</f>
        <v>5</v>
      </c>
      <c r="F96" s="9">
        <f t="shared" ref="F96:F103" si="0">(C96*4)+(D96*4)+(E96*9)</f>
        <v>129</v>
      </c>
      <c r="G96" s="2"/>
      <c r="H96" s="2"/>
      <c r="I96" s="2"/>
      <c r="O96" s="542"/>
      <c r="P96" s="542"/>
      <c r="Q96" s="542"/>
      <c r="R96" s="542"/>
      <c r="S96" s="542"/>
      <c r="T96" s="542"/>
      <c r="U96" s="542"/>
      <c r="V96" s="542"/>
      <c r="W96" s="535"/>
      <c r="X96" s="535"/>
      <c r="Y96" s="535"/>
    </row>
    <row r="97" spans="1:25">
      <c r="A97" s="4" t="s">
        <v>45</v>
      </c>
      <c r="B97" s="146">
        <v>0</v>
      </c>
      <c r="C97" s="6">
        <v>0</v>
      </c>
      <c r="D97" s="7">
        <f>B97*7</f>
        <v>0</v>
      </c>
      <c r="E97" s="8">
        <f>B97*4</f>
        <v>0</v>
      </c>
      <c r="F97" s="9">
        <f t="shared" si="0"/>
        <v>0</v>
      </c>
      <c r="G97" s="2"/>
      <c r="H97" s="2"/>
      <c r="I97" s="2"/>
      <c r="O97" s="542"/>
      <c r="P97" s="542"/>
      <c r="Q97" s="542"/>
      <c r="R97" s="542"/>
      <c r="S97" s="542"/>
      <c r="T97" s="542"/>
      <c r="U97" s="542"/>
      <c r="V97" s="542"/>
      <c r="W97" s="535"/>
      <c r="X97" s="535"/>
      <c r="Y97" s="535"/>
    </row>
    <row r="98" spans="1:25">
      <c r="A98" s="4" t="s">
        <v>46</v>
      </c>
      <c r="B98" s="146">
        <v>0</v>
      </c>
      <c r="C98" s="6">
        <f>B98*15</f>
        <v>0</v>
      </c>
      <c r="D98" s="7">
        <f>B98*0</f>
        <v>0</v>
      </c>
      <c r="E98" s="8">
        <f>B98*0</f>
        <v>0</v>
      </c>
      <c r="F98" s="9">
        <f t="shared" si="0"/>
        <v>0</v>
      </c>
      <c r="G98" s="2"/>
      <c r="H98" s="2"/>
      <c r="I98" s="2"/>
      <c r="O98" s="542"/>
      <c r="P98" s="542"/>
      <c r="Q98" s="542"/>
      <c r="R98" s="542"/>
      <c r="S98" s="542"/>
      <c r="T98" s="542"/>
      <c r="U98" s="542"/>
      <c r="V98" s="542"/>
      <c r="W98" s="535"/>
      <c r="X98" s="535"/>
      <c r="Y98" s="535"/>
    </row>
    <row r="99" spans="1:25">
      <c r="A99" s="4" t="s">
        <v>47</v>
      </c>
      <c r="B99" s="146">
        <v>0</v>
      </c>
      <c r="C99" s="6">
        <f>B99*4</f>
        <v>0</v>
      </c>
      <c r="D99" s="7">
        <f>B99*2</f>
        <v>0</v>
      </c>
      <c r="E99" s="8"/>
      <c r="F99" s="9">
        <f t="shared" si="0"/>
        <v>0</v>
      </c>
      <c r="G99" s="2"/>
      <c r="H99" s="2"/>
      <c r="I99" s="2"/>
      <c r="O99" s="542"/>
      <c r="P99" s="542"/>
      <c r="Q99" s="542"/>
      <c r="R99" s="542"/>
      <c r="S99" s="542"/>
      <c r="T99" s="542"/>
      <c r="U99" s="542"/>
      <c r="V99" s="542"/>
      <c r="W99" s="535"/>
      <c r="X99" s="535"/>
      <c r="Y99" s="535"/>
    </row>
    <row r="100" spans="1:25">
      <c r="A100" s="4" t="s">
        <v>48</v>
      </c>
      <c r="B100" s="146">
        <v>1</v>
      </c>
      <c r="C100" s="6">
        <f>B100*15</f>
        <v>15</v>
      </c>
      <c r="D100" s="7">
        <f>B100*2</f>
        <v>2</v>
      </c>
      <c r="E100" s="8">
        <f>B100*0</f>
        <v>0</v>
      </c>
      <c r="F100" s="9">
        <f t="shared" si="0"/>
        <v>68</v>
      </c>
      <c r="G100" s="2"/>
      <c r="H100" s="2"/>
      <c r="I100" s="2"/>
      <c r="O100" s="542"/>
      <c r="P100" s="542"/>
      <c r="Q100" s="542"/>
      <c r="R100" s="542"/>
      <c r="S100" s="542"/>
      <c r="T100" s="542"/>
      <c r="U100" s="542"/>
      <c r="V100" s="542"/>
      <c r="W100" s="535"/>
      <c r="X100" s="535"/>
      <c r="Y100" s="535"/>
    </row>
    <row r="101" spans="1:25">
      <c r="A101" s="4" t="s">
        <v>49</v>
      </c>
      <c r="B101" s="146">
        <v>0</v>
      </c>
      <c r="C101" s="6">
        <f>B101*20</f>
        <v>0</v>
      </c>
      <c r="D101" s="7">
        <f>B101*8</f>
        <v>0</v>
      </c>
      <c r="E101" s="8">
        <f>B101*1</f>
        <v>0</v>
      </c>
      <c r="F101" s="9">
        <f t="shared" si="0"/>
        <v>0</v>
      </c>
      <c r="G101" s="2"/>
      <c r="H101" s="2"/>
      <c r="I101" s="2"/>
      <c r="O101" s="542"/>
      <c r="P101" s="542"/>
      <c r="Q101" s="542"/>
      <c r="R101" s="542"/>
      <c r="S101" s="542"/>
      <c r="T101" s="542"/>
      <c r="U101" s="542"/>
      <c r="V101" s="542"/>
      <c r="W101" s="535"/>
      <c r="X101" s="535"/>
      <c r="Y101" s="535"/>
    </row>
    <row r="102" spans="1:25">
      <c r="A102" s="4" t="s">
        <v>50</v>
      </c>
      <c r="B102" s="146">
        <v>0</v>
      </c>
      <c r="C102" s="6">
        <f>B102*0</f>
        <v>0</v>
      </c>
      <c r="D102" s="7">
        <f>B102*0</f>
        <v>0</v>
      </c>
      <c r="E102" s="8">
        <f>B102*5</f>
        <v>0</v>
      </c>
      <c r="F102" s="9">
        <f t="shared" si="0"/>
        <v>0</v>
      </c>
      <c r="G102" s="2"/>
      <c r="H102" s="2"/>
      <c r="I102" s="2"/>
      <c r="O102" s="542"/>
      <c r="P102" s="542"/>
      <c r="Q102" s="542"/>
      <c r="R102" s="542"/>
      <c r="S102" s="542"/>
      <c r="T102" s="542"/>
      <c r="U102" s="542"/>
      <c r="V102" s="542"/>
      <c r="W102" s="535"/>
      <c r="X102" s="535"/>
      <c r="Y102" s="535"/>
    </row>
    <row r="103" spans="1:25">
      <c r="A103" s="4" t="s">
        <v>51</v>
      </c>
      <c r="B103" s="146">
        <v>1</v>
      </c>
      <c r="C103" s="6">
        <f>B103*10</f>
        <v>10</v>
      </c>
      <c r="D103" s="7">
        <f>B103*0</f>
        <v>0</v>
      </c>
      <c r="E103" s="10">
        <f>B103*0</f>
        <v>0</v>
      </c>
      <c r="F103" s="11">
        <f t="shared" si="0"/>
        <v>40</v>
      </c>
      <c r="O103" s="542"/>
      <c r="P103" s="542"/>
      <c r="Q103" s="542"/>
      <c r="R103" s="542"/>
      <c r="S103" s="542"/>
      <c r="T103" s="542"/>
      <c r="U103" s="542"/>
      <c r="V103" s="542"/>
      <c r="W103" s="535"/>
      <c r="X103" s="535"/>
      <c r="Y103" s="535"/>
    </row>
    <row r="104" spans="1:25">
      <c r="A104" s="4"/>
      <c r="B104" s="12"/>
      <c r="C104" s="6">
        <f>SUM(C96:C103)</f>
        <v>37</v>
      </c>
      <c r="D104" s="7">
        <f>SUM(D96:D103)</f>
        <v>11</v>
      </c>
      <c r="E104" s="10">
        <f>SUM(E96:E103)</f>
        <v>5</v>
      </c>
      <c r="F104" s="11">
        <f>SUM(F96:F103)</f>
        <v>237</v>
      </c>
      <c r="O104" s="542"/>
      <c r="P104" s="542"/>
      <c r="Q104" s="542"/>
      <c r="R104" s="542"/>
      <c r="S104" s="542"/>
      <c r="T104" s="542"/>
      <c r="U104" s="542"/>
      <c r="V104" s="542"/>
      <c r="W104" s="535"/>
      <c r="X104" s="535"/>
      <c r="Y104" s="535"/>
    </row>
    <row r="105" spans="1:25">
      <c r="B105" s="1" t="s">
        <v>52</v>
      </c>
      <c r="C105" s="1" t="s">
        <v>53</v>
      </c>
      <c r="D105" s="1" t="s">
        <v>54</v>
      </c>
      <c r="O105" s="542"/>
      <c r="P105" s="542"/>
      <c r="Q105" s="542"/>
      <c r="R105" s="542"/>
      <c r="S105" s="542"/>
      <c r="T105" s="542"/>
      <c r="U105" s="542"/>
      <c r="V105" s="542"/>
      <c r="W105" s="535"/>
      <c r="X105" s="535"/>
      <c r="Y105" s="535"/>
    </row>
    <row r="106" spans="1:25">
      <c r="A106" s="13" t="s">
        <v>55</v>
      </c>
      <c r="B106" s="14">
        <f>(D106*100)/F104</f>
        <v>62.447257383966246</v>
      </c>
      <c r="C106" s="1">
        <f>C104</f>
        <v>37</v>
      </c>
      <c r="D106" s="1130">
        <f>C106*4</f>
        <v>148</v>
      </c>
      <c r="E106" s="1130"/>
      <c r="O106" s="542"/>
      <c r="P106" s="542"/>
      <c r="Q106" s="542"/>
      <c r="R106" s="542"/>
      <c r="S106" s="542"/>
      <c r="T106" s="542"/>
      <c r="U106" s="542"/>
      <c r="V106" s="542"/>
      <c r="W106" s="535"/>
      <c r="X106" s="535"/>
      <c r="Y106" s="535"/>
    </row>
    <row r="107" spans="1:25">
      <c r="A107" s="15" t="s">
        <v>29</v>
      </c>
      <c r="B107" s="16">
        <f>(D107*100)/F104</f>
        <v>18.565400843881857</v>
      </c>
      <c r="C107" s="1">
        <f>D104</f>
        <v>11</v>
      </c>
      <c r="D107" s="1130">
        <f>C107*4</f>
        <v>44</v>
      </c>
      <c r="E107" s="1130"/>
      <c r="O107" s="542"/>
      <c r="P107" s="542"/>
      <c r="Q107" s="542"/>
      <c r="R107" s="542"/>
      <c r="S107" s="542"/>
      <c r="T107" s="542"/>
      <c r="U107" s="542"/>
      <c r="V107" s="542"/>
      <c r="W107" s="535"/>
      <c r="X107" s="535"/>
      <c r="Y107" s="535"/>
    </row>
    <row r="108" spans="1:25">
      <c r="A108" s="17" t="s">
        <v>56</v>
      </c>
      <c r="B108" s="18">
        <f>(D108*100)/F104</f>
        <v>18.9873417721519</v>
      </c>
      <c r="C108" s="1">
        <f>E104</f>
        <v>5</v>
      </c>
      <c r="D108" s="1130">
        <f>C108*9</f>
        <v>45</v>
      </c>
      <c r="E108" s="1130"/>
      <c r="O108" s="542"/>
      <c r="P108" s="542"/>
      <c r="Q108" s="542"/>
      <c r="R108" s="542"/>
      <c r="S108" s="542"/>
      <c r="T108" s="542"/>
      <c r="U108" s="542"/>
      <c r="V108" s="542"/>
      <c r="W108" s="535"/>
      <c r="X108" s="535"/>
      <c r="Y108" s="535"/>
    </row>
    <row r="109" spans="1:25">
      <c r="A109" s="1131" t="s">
        <v>84</v>
      </c>
      <c r="B109" s="1131"/>
      <c r="C109" s="1131"/>
      <c r="D109" s="1131"/>
      <c r="E109" s="1131"/>
      <c r="F109" s="1131"/>
      <c r="O109" s="542"/>
      <c r="P109" s="542"/>
      <c r="Q109" s="542"/>
      <c r="R109" s="542"/>
      <c r="S109" s="542"/>
      <c r="T109" s="542"/>
      <c r="U109" s="542"/>
      <c r="V109" s="542"/>
      <c r="W109" s="535"/>
      <c r="X109" s="535"/>
      <c r="Y109" s="535"/>
    </row>
    <row r="110" spans="1:25">
      <c r="A110" s="4"/>
      <c r="B110" s="4" t="s">
        <v>39</v>
      </c>
      <c r="C110" s="53" t="s">
        <v>40</v>
      </c>
      <c r="D110" s="54" t="s">
        <v>41</v>
      </c>
      <c r="E110" s="55" t="s">
        <v>42</v>
      </c>
      <c r="F110" s="4" t="s">
        <v>43</v>
      </c>
      <c r="O110" s="542"/>
      <c r="P110" s="542"/>
      <c r="Q110" s="542"/>
      <c r="R110" s="542"/>
      <c r="S110" s="542"/>
      <c r="T110" s="542"/>
      <c r="U110" s="542"/>
      <c r="V110" s="542"/>
      <c r="W110" s="535"/>
      <c r="X110" s="535"/>
      <c r="Y110" s="535"/>
    </row>
    <row r="111" spans="1:25">
      <c r="A111" s="4" t="s">
        <v>44</v>
      </c>
      <c r="B111" s="146">
        <v>1</v>
      </c>
      <c r="C111" s="50">
        <f>B111*12</f>
        <v>12</v>
      </c>
      <c r="D111" s="51">
        <f>B111*9</f>
        <v>9</v>
      </c>
      <c r="E111" s="52">
        <f>B111*5</f>
        <v>5</v>
      </c>
      <c r="F111" s="9">
        <f t="shared" ref="F111:F118" si="1">(C111*4)+(D111*4)+(E111*9)</f>
        <v>129</v>
      </c>
      <c r="O111" s="542"/>
      <c r="P111" s="542"/>
      <c r="Q111" s="542"/>
      <c r="R111" s="542"/>
      <c r="S111" s="542"/>
      <c r="T111" s="542"/>
      <c r="U111" s="542"/>
      <c r="V111" s="542"/>
      <c r="W111" s="535"/>
      <c r="X111" s="535"/>
      <c r="Y111" s="535"/>
    </row>
    <row r="112" spans="1:25">
      <c r="A112" s="4" t="s">
        <v>45</v>
      </c>
      <c r="B112" s="146">
        <v>0</v>
      </c>
      <c r="C112" s="6">
        <v>0</v>
      </c>
      <c r="D112" s="7">
        <f>B112*7</f>
        <v>0</v>
      </c>
      <c r="E112" s="8">
        <f>B112*4</f>
        <v>0</v>
      </c>
      <c r="F112" s="9">
        <f t="shared" si="1"/>
        <v>0</v>
      </c>
      <c r="O112" s="542"/>
      <c r="P112" s="542"/>
      <c r="Q112" s="542"/>
      <c r="R112" s="542"/>
      <c r="S112" s="542"/>
      <c r="T112" s="542"/>
      <c r="U112" s="542"/>
      <c r="V112" s="542"/>
      <c r="W112" s="535"/>
      <c r="X112" s="535"/>
      <c r="Y112" s="535"/>
    </row>
    <row r="113" spans="1:25">
      <c r="A113" s="4" t="s">
        <v>46</v>
      </c>
      <c r="B113" s="146">
        <v>0.5</v>
      </c>
      <c r="C113" s="6">
        <f>B113*15</f>
        <v>7.5</v>
      </c>
      <c r="D113" s="7">
        <f>B113*0</f>
        <v>0</v>
      </c>
      <c r="E113" s="8">
        <f>B113*0</f>
        <v>0</v>
      </c>
      <c r="F113" s="9">
        <f t="shared" si="1"/>
        <v>30</v>
      </c>
      <c r="O113" s="542"/>
      <c r="P113" s="542"/>
      <c r="Q113" s="542"/>
      <c r="R113" s="542"/>
      <c r="S113" s="542"/>
      <c r="T113" s="542"/>
      <c r="U113" s="542"/>
      <c r="V113" s="542"/>
      <c r="W113" s="535"/>
      <c r="X113" s="535"/>
      <c r="Y113" s="535"/>
    </row>
    <row r="114" spans="1:25">
      <c r="A114" s="4" t="s">
        <v>47</v>
      </c>
      <c r="B114" s="146">
        <v>0</v>
      </c>
      <c r="C114" s="6">
        <f>B114*4</f>
        <v>0</v>
      </c>
      <c r="D114" s="7">
        <f>B114*2</f>
        <v>0</v>
      </c>
      <c r="E114" s="8"/>
      <c r="F114" s="9">
        <f t="shared" si="1"/>
        <v>0</v>
      </c>
      <c r="O114" s="542"/>
      <c r="P114" s="542"/>
      <c r="Q114" s="542"/>
      <c r="R114" s="542"/>
      <c r="S114" s="542"/>
      <c r="T114" s="542"/>
      <c r="U114" s="542"/>
      <c r="V114" s="542"/>
      <c r="W114" s="535"/>
      <c r="X114" s="535"/>
      <c r="Y114" s="535"/>
    </row>
    <row r="115" spans="1:25">
      <c r="A115" s="4" t="s">
        <v>48</v>
      </c>
      <c r="B115" s="146">
        <v>4</v>
      </c>
      <c r="C115" s="6">
        <f>B115*15</f>
        <v>60</v>
      </c>
      <c r="D115" s="7">
        <f>B115*2</f>
        <v>8</v>
      </c>
      <c r="E115" s="8">
        <f>B115*0</f>
        <v>0</v>
      </c>
      <c r="F115" s="9">
        <f t="shared" si="1"/>
        <v>272</v>
      </c>
      <c r="O115" s="542"/>
      <c r="P115" s="542"/>
      <c r="Q115" s="542"/>
      <c r="R115" s="542"/>
      <c r="S115" s="542"/>
      <c r="T115" s="542"/>
      <c r="U115" s="542"/>
      <c r="V115" s="542"/>
      <c r="W115" s="535"/>
      <c r="X115" s="535"/>
      <c r="Y115" s="535"/>
    </row>
    <row r="116" spans="1:25">
      <c r="A116" s="4" t="s">
        <v>49</v>
      </c>
      <c r="B116" s="146">
        <v>0</v>
      </c>
      <c r="C116" s="6">
        <f>B116*20</f>
        <v>0</v>
      </c>
      <c r="D116" s="7">
        <f>B116*8</f>
        <v>0</v>
      </c>
      <c r="E116" s="8">
        <f>B116*1</f>
        <v>0</v>
      </c>
      <c r="F116" s="9">
        <f t="shared" si="1"/>
        <v>0</v>
      </c>
      <c r="O116" s="542"/>
      <c r="P116" s="542"/>
      <c r="Q116" s="542"/>
      <c r="R116" s="542"/>
      <c r="S116" s="542"/>
      <c r="T116" s="542"/>
      <c r="U116" s="542"/>
      <c r="V116" s="542"/>
      <c r="W116" s="535"/>
      <c r="X116" s="535"/>
      <c r="Y116" s="535"/>
    </row>
    <row r="117" spans="1:25">
      <c r="A117" s="4" t="s">
        <v>50</v>
      </c>
      <c r="B117" s="146">
        <v>6</v>
      </c>
      <c r="C117" s="6">
        <f>B117*0</f>
        <v>0</v>
      </c>
      <c r="D117" s="7">
        <f>B117*0</f>
        <v>0</v>
      </c>
      <c r="E117" s="8">
        <f>B117*5</f>
        <v>30</v>
      </c>
      <c r="F117" s="9">
        <f t="shared" si="1"/>
        <v>270</v>
      </c>
      <c r="O117" s="542"/>
      <c r="P117" s="542"/>
      <c r="Q117" s="542"/>
      <c r="R117" s="542"/>
      <c r="S117" s="542"/>
      <c r="T117" s="542"/>
      <c r="U117" s="542"/>
      <c r="V117" s="542"/>
      <c r="W117" s="535"/>
      <c r="X117" s="535"/>
      <c r="Y117" s="535"/>
    </row>
    <row r="118" spans="1:25">
      <c r="A118" s="4" t="s">
        <v>51</v>
      </c>
      <c r="B118" s="146">
        <v>0</v>
      </c>
      <c r="C118" s="6">
        <f>B118*10</f>
        <v>0</v>
      </c>
      <c r="D118" s="7">
        <f>B118*0</f>
        <v>0</v>
      </c>
      <c r="E118" s="10">
        <f>B118*0</f>
        <v>0</v>
      </c>
      <c r="F118" s="11">
        <f t="shared" si="1"/>
        <v>0</v>
      </c>
      <c r="O118" s="542"/>
      <c r="P118" s="542"/>
      <c r="Q118" s="542"/>
      <c r="R118" s="542"/>
      <c r="S118" s="542"/>
      <c r="T118" s="542"/>
      <c r="U118" s="542"/>
      <c r="V118" s="542"/>
      <c r="W118" s="535"/>
      <c r="X118" s="535"/>
      <c r="Y118" s="535"/>
    </row>
    <row r="119" spans="1:25">
      <c r="A119" s="4"/>
      <c r="B119" s="12"/>
      <c r="C119" s="6">
        <f>SUM(C111:C118)</f>
        <v>79.5</v>
      </c>
      <c r="D119" s="7">
        <f>SUM(D111:D118)</f>
        <v>17</v>
      </c>
      <c r="E119" s="10">
        <f>SUM(E111:E118)</f>
        <v>35</v>
      </c>
      <c r="F119" s="11">
        <f>SUM(F111:F118)</f>
        <v>701</v>
      </c>
      <c r="O119" s="542"/>
      <c r="P119" s="542"/>
      <c r="Q119" s="542"/>
      <c r="R119" s="542"/>
      <c r="S119" s="542"/>
      <c r="T119" s="542"/>
      <c r="U119" s="542"/>
      <c r="V119" s="542"/>
      <c r="W119" s="535"/>
      <c r="X119" s="535"/>
      <c r="Y119" s="535"/>
    </row>
    <row r="120" spans="1:25">
      <c r="B120" s="1" t="s">
        <v>52</v>
      </c>
      <c r="C120" s="1" t="s">
        <v>53</v>
      </c>
      <c r="D120" s="1" t="s">
        <v>54</v>
      </c>
      <c r="O120" s="542"/>
      <c r="P120" s="542"/>
      <c r="Q120" s="542"/>
      <c r="R120" s="542"/>
      <c r="S120" s="542"/>
      <c r="T120" s="542"/>
      <c r="U120" s="542"/>
      <c r="V120" s="542"/>
      <c r="W120" s="535"/>
      <c r="X120" s="535"/>
      <c r="Y120" s="535"/>
    </row>
    <row r="121" spans="1:25">
      <c r="A121" s="13" t="s">
        <v>55</v>
      </c>
      <c r="B121" s="14">
        <f>(D121*100)/F119</f>
        <v>45.363766048502143</v>
      </c>
      <c r="C121" s="1">
        <f>C119</f>
        <v>79.5</v>
      </c>
      <c r="D121" s="1130">
        <f>C121*4</f>
        <v>318</v>
      </c>
      <c r="E121" s="1130"/>
      <c r="O121" s="542"/>
      <c r="P121" s="542"/>
      <c r="Q121" s="542"/>
      <c r="R121" s="542"/>
      <c r="S121" s="542"/>
      <c r="T121" s="542"/>
      <c r="U121" s="542"/>
      <c r="V121" s="542"/>
      <c r="W121" s="535"/>
      <c r="X121" s="535"/>
      <c r="Y121" s="535"/>
    </row>
    <row r="122" spans="1:25">
      <c r="A122" s="15" t="s">
        <v>29</v>
      </c>
      <c r="B122" s="16">
        <f>(D122*100)/F119</f>
        <v>9.7004279600570609</v>
      </c>
      <c r="C122" s="1">
        <f>D119</f>
        <v>17</v>
      </c>
      <c r="D122" s="1130">
        <f>C122*4</f>
        <v>68</v>
      </c>
      <c r="E122" s="1130"/>
      <c r="O122" s="542"/>
      <c r="P122" s="542"/>
      <c r="Q122" s="542"/>
      <c r="R122" s="542"/>
      <c r="S122" s="542"/>
      <c r="T122" s="542"/>
      <c r="U122" s="542"/>
      <c r="V122" s="542"/>
      <c r="W122" s="535"/>
      <c r="X122" s="535"/>
      <c r="Y122" s="535"/>
    </row>
    <row r="123" spans="1:25">
      <c r="A123" s="17" t="s">
        <v>56</v>
      </c>
      <c r="B123" s="18">
        <f>(D123*100)/F119</f>
        <v>44.935805991440802</v>
      </c>
      <c r="C123" s="1">
        <f>E119</f>
        <v>35</v>
      </c>
      <c r="D123" s="1130">
        <f>C123*9</f>
        <v>315</v>
      </c>
      <c r="E123" s="1130"/>
      <c r="O123" s="542"/>
      <c r="P123" s="542"/>
      <c r="Q123" s="542"/>
      <c r="R123" s="542"/>
      <c r="S123" s="542"/>
      <c r="T123" s="542"/>
      <c r="U123" s="542"/>
      <c r="V123" s="542"/>
      <c r="W123" s="535"/>
      <c r="X123" s="535"/>
      <c r="Y123" s="535"/>
    </row>
    <row r="124" spans="1:25">
      <c r="A124" s="1131" t="s">
        <v>86</v>
      </c>
      <c r="B124" s="1131"/>
      <c r="C124" s="1131"/>
      <c r="D124" s="1131"/>
      <c r="E124" s="1131"/>
      <c r="F124" s="1131"/>
      <c r="O124" s="542"/>
      <c r="P124" s="542"/>
      <c r="Q124" s="542"/>
      <c r="R124" s="542"/>
      <c r="S124" s="542"/>
      <c r="T124" s="542"/>
      <c r="U124" s="542"/>
      <c r="V124" s="542"/>
      <c r="W124" s="535"/>
      <c r="X124" s="535"/>
      <c r="Y124" s="535"/>
    </row>
    <row r="125" spans="1:25">
      <c r="A125" s="4"/>
      <c r="B125" s="4" t="s">
        <v>39</v>
      </c>
      <c r="C125" s="53" t="s">
        <v>40</v>
      </c>
      <c r="D125" s="54" t="s">
        <v>41</v>
      </c>
      <c r="E125" s="55" t="s">
        <v>42</v>
      </c>
      <c r="F125" s="4" t="s">
        <v>43</v>
      </c>
      <c r="O125" s="542"/>
      <c r="P125" s="542"/>
      <c r="Q125" s="542"/>
      <c r="R125" s="542"/>
      <c r="S125" s="542"/>
      <c r="T125" s="542"/>
      <c r="U125" s="542"/>
      <c r="V125" s="542"/>
      <c r="W125" s="535"/>
      <c r="X125" s="535"/>
      <c r="Y125" s="535"/>
    </row>
    <row r="126" spans="1:25">
      <c r="A126" s="4" t="s">
        <v>44</v>
      </c>
      <c r="B126" s="146">
        <v>0</v>
      </c>
      <c r="C126" s="50">
        <f>B126*12</f>
        <v>0</v>
      </c>
      <c r="D126" s="51">
        <f>B126*9</f>
        <v>0</v>
      </c>
      <c r="E126" s="52">
        <f>B126*5</f>
        <v>0</v>
      </c>
      <c r="F126" s="9">
        <f t="shared" ref="F126:F133" si="2">(C126*4)+(D126*4)+(E126*9)</f>
        <v>0</v>
      </c>
      <c r="O126" s="542"/>
      <c r="P126" s="542"/>
      <c r="Q126" s="542"/>
      <c r="R126" s="542"/>
      <c r="S126" s="542"/>
      <c r="T126" s="542"/>
      <c r="U126" s="542"/>
      <c r="V126" s="542"/>
      <c r="W126" s="535"/>
      <c r="X126" s="535"/>
      <c r="Y126" s="535"/>
    </row>
    <row r="127" spans="1:25">
      <c r="A127" s="4" t="s">
        <v>45</v>
      </c>
      <c r="B127" s="146">
        <v>0</v>
      </c>
      <c r="C127" s="6">
        <v>0</v>
      </c>
      <c r="D127" s="7">
        <f>B127*7</f>
        <v>0</v>
      </c>
      <c r="E127" s="8">
        <f>B127*4</f>
        <v>0</v>
      </c>
      <c r="F127" s="9">
        <f t="shared" si="2"/>
        <v>0</v>
      </c>
      <c r="O127" s="542"/>
      <c r="P127" s="542"/>
      <c r="Q127" s="542"/>
      <c r="R127" s="542"/>
      <c r="S127" s="542"/>
      <c r="T127" s="542"/>
      <c r="U127" s="542"/>
      <c r="V127" s="542"/>
      <c r="W127" s="535"/>
      <c r="X127" s="535"/>
      <c r="Y127" s="535"/>
    </row>
    <row r="128" spans="1:25">
      <c r="A128" s="4" t="s">
        <v>46</v>
      </c>
      <c r="B128" s="146">
        <v>0</v>
      </c>
      <c r="C128" s="6">
        <f>B128*15</f>
        <v>0</v>
      </c>
      <c r="D128" s="7">
        <f>B128*0</f>
        <v>0</v>
      </c>
      <c r="E128" s="8">
        <f>B128*0</f>
        <v>0</v>
      </c>
      <c r="F128" s="9">
        <f t="shared" si="2"/>
        <v>0</v>
      </c>
      <c r="O128" s="542"/>
      <c r="P128" s="542"/>
      <c r="Q128" s="542"/>
      <c r="R128" s="542"/>
      <c r="S128" s="542"/>
      <c r="T128" s="542"/>
      <c r="U128" s="542"/>
      <c r="V128" s="542"/>
      <c r="W128" s="535"/>
      <c r="X128" s="535"/>
      <c r="Y128" s="535"/>
    </row>
    <row r="129" spans="1:25">
      <c r="A129" s="4" t="s">
        <v>47</v>
      </c>
      <c r="B129" s="146">
        <v>0</v>
      </c>
      <c r="C129" s="6">
        <f>B129*4</f>
        <v>0</v>
      </c>
      <c r="D129" s="7">
        <f>B129*2</f>
        <v>0</v>
      </c>
      <c r="E129" s="8"/>
      <c r="F129" s="9">
        <f t="shared" si="2"/>
        <v>0</v>
      </c>
      <c r="O129" s="542"/>
      <c r="P129" s="542"/>
      <c r="Q129" s="542"/>
      <c r="R129" s="542"/>
      <c r="S129" s="542"/>
      <c r="T129" s="542"/>
      <c r="U129" s="542"/>
      <c r="V129" s="542"/>
      <c r="W129" s="535"/>
      <c r="X129" s="535"/>
      <c r="Y129" s="535"/>
    </row>
    <row r="130" spans="1:25">
      <c r="A130" s="4" t="s">
        <v>48</v>
      </c>
      <c r="B130" s="146">
        <v>3</v>
      </c>
      <c r="C130" s="6">
        <f>B130*15</f>
        <v>45</v>
      </c>
      <c r="D130" s="7">
        <f>B130*2</f>
        <v>6</v>
      </c>
      <c r="E130" s="8">
        <f>B130*0</f>
        <v>0</v>
      </c>
      <c r="F130" s="9">
        <f t="shared" si="2"/>
        <v>204</v>
      </c>
      <c r="O130" s="542"/>
      <c r="P130" s="542"/>
      <c r="Q130" s="542"/>
      <c r="R130" s="542"/>
      <c r="S130" s="542"/>
      <c r="T130" s="542"/>
      <c r="U130" s="542"/>
      <c r="V130" s="542"/>
      <c r="W130" s="535"/>
      <c r="X130" s="535"/>
      <c r="Y130" s="535"/>
    </row>
    <row r="131" spans="1:25">
      <c r="A131" s="4" t="s">
        <v>49</v>
      </c>
      <c r="B131" s="146">
        <v>0</v>
      </c>
      <c r="C131" s="6">
        <f>B131*20</f>
        <v>0</v>
      </c>
      <c r="D131" s="7">
        <f>B131*8</f>
        <v>0</v>
      </c>
      <c r="E131" s="8">
        <f>B131*1</f>
        <v>0</v>
      </c>
      <c r="F131" s="9">
        <f t="shared" si="2"/>
        <v>0</v>
      </c>
      <c r="O131" s="542"/>
      <c r="P131" s="542"/>
      <c r="Q131" s="542"/>
      <c r="R131" s="542"/>
      <c r="S131" s="542"/>
      <c r="T131" s="542"/>
      <c r="U131" s="542"/>
      <c r="V131" s="542"/>
      <c r="W131" s="535"/>
      <c r="X131" s="535"/>
      <c r="Y131" s="535"/>
    </row>
    <row r="132" spans="1:25">
      <c r="A132" s="4" t="s">
        <v>50</v>
      </c>
      <c r="B132" s="146">
        <v>2</v>
      </c>
      <c r="C132" s="6">
        <f>B132*0</f>
        <v>0</v>
      </c>
      <c r="D132" s="7">
        <f>B132*0</f>
        <v>0</v>
      </c>
      <c r="E132" s="8">
        <f>B132*5</f>
        <v>10</v>
      </c>
      <c r="F132" s="9">
        <f t="shared" si="2"/>
        <v>90</v>
      </c>
      <c r="O132" s="542"/>
      <c r="P132" s="542"/>
      <c r="Q132" s="542"/>
      <c r="R132" s="542"/>
      <c r="S132" s="542"/>
      <c r="T132" s="542"/>
      <c r="U132" s="542"/>
      <c r="V132" s="542"/>
      <c r="W132" s="535"/>
      <c r="X132" s="535"/>
      <c r="Y132" s="535"/>
    </row>
    <row r="133" spans="1:25">
      <c r="A133" s="4" t="s">
        <v>51</v>
      </c>
      <c r="B133" s="146">
        <v>4</v>
      </c>
      <c r="C133" s="6">
        <f>B133*10</f>
        <v>40</v>
      </c>
      <c r="D133" s="7">
        <f>B133*0</f>
        <v>0</v>
      </c>
      <c r="E133" s="10">
        <f>B133*0</f>
        <v>0</v>
      </c>
      <c r="F133" s="11">
        <f t="shared" si="2"/>
        <v>160</v>
      </c>
      <c r="O133" s="542"/>
      <c r="P133" s="542"/>
      <c r="Q133" s="542"/>
      <c r="R133" s="542"/>
      <c r="S133" s="542"/>
      <c r="T133" s="542"/>
      <c r="U133" s="542"/>
      <c r="V133" s="542"/>
      <c r="W133" s="535"/>
      <c r="X133" s="535"/>
      <c r="Y133" s="535"/>
    </row>
    <row r="134" spans="1:25">
      <c r="A134" s="4"/>
      <c r="B134" s="12">
        <v>0</v>
      </c>
      <c r="C134" s="6">
        <f>SUM(C126:C133)</f>
        <v>85</v>
      </c>
      <c r="D134" s="7">
        <f>SUM(D126:D133)</f>
        <v>6</v>
      </c>
      <c r="E134" s="10">
        <f>SUM(E126:E133)</f>
        <v>10</v>
      </c>
      <c r="F134" s="11">
        <f>SUM(F126:F133)</f>
        <v>454</v>
      </c>
      <c r="O134" s="542"/>
      <c r="P134" s="542"/>
      <c r="Q134" s="542"/>
      <c r="R134" s="542"/>
      <c r="S134" s="542"/>
      <c r="T134" s="542"/>
      <c r="U134" s="542"/>
      <c r="V134" s="542"/>
      <c r="W134" s="535"/>
      <c r="X134" s="535"/>
      <c r="Y134" s="535"/>
    </row>
    <row r="135" spans="1:25">
      <c r="B135" s="1" t="s">
        <v>52</v>
      </c>
      <c r="C135" s="1" t="s">
        <v>53</v>
      </c>
      <c r="D135" s="1" t="s">
        <v>54</v>
      </c>
      <c r="O135" s="542"/>
      <c r="P135" s="542"/>
      <c r="Q135" s="542"/>
      <c r="R135" s="542"/>
      <c r="S135" s="542"/>
      <c r="T135" s="542"/>
      <c r="U135" s="542"/>
      <c r="V135" s="542"/>
      <c r="W135" s="535"/>
      <c r="X135" s="535"/>
      <c r="Y135" s="535"/>
    </row>
    <row r="136" spans="1:25">
      <c r="A136" s="13" t="s">
        <v>55</v>
      </c>
      <c r="B136" s="14">
        <f>(D136*100)/F134</f>
        <v>74.889867841409696</v>
      </c>
      <c r="C136" s="1">
        <f>C134</f>
        <v>85</v>
      </c>
      <c r="D136" s="1130">
        <f>C136*4</f>
        <v>340</v>
      </c>
      <c r="E136" s="1130"/>
      <c r="O136" s="542"/>
      <c r="P136" s="542"/>
      <c r="Q136" s="542"/>
      <c r="R136" s="542"/>
      <c r="S136" s="542"/>
      <c r="T136" s="542"/>
      <c r="U136" s="542"/>
      <c r="V136" s="542"/>
      <c r="W136" s="535"/>
      <c r="X136" s="535"/>
      <c r="Y136" s="535"/>
    </row>
    <row r="137" spans="1:25">
      <c r="A137" s="15" t="s">
        <v>29</v>
      </c>
      <c r="B137" s="16">
        <f>(D137*100)/F134</f>
        <v>5.286343612334802</v>
      </c>
      <c r="C137" s="1">
        <f>D134</f>
        <v>6</v>
      </c>
      <c r="D137" s="1130">
        <f>C137*4</f>
        <v>24</v>
      </c>
      <c r="E137" s="1130"/>
      <c r="O137" s="542"/>
      <c r="P137" s="542"/>
      <c r="Q137" s="542"/>
      <c r="R137" s="542"/>
      <c r="S137" s="542"/>
      <c r="T137" s="542"/>
      <c r="U137" s="542"/>
      <c r="V137" s="542"/>
      <c r="W137" s="535"/>
      <c r="X137" s="535"/>
      <c r="Y137" s="535"/>
    </row>
    <row r="138" spans="1:25">
      <c r="A138" s="17" t="s">
        <v>56</v>
      </c>
      <c r="B138" s="18">
        <f>(D138*100)/F134</f>
        <v>19.823788546255507</v>
      </c>
      <c r="C138" s="1">
        <f>E134</f>
        <v>10</v>
      </c>
      <c r="D138" s="1130">
        <f>C138*9</f>
        <v>90</v>
      </c>
      <c r="E138" s="1130"/>
      <c r="O138" s="542"/>
      <c r="P138" s="542"/>
      <c r="Q138" s="542"/>
      <c r="R138" s="542"/>
      <c r="S138" s="542"/>
      <c r="T138" s="542"/>
      <c r="U138" s="542"/>
      <c r="V138" s="542"/>
      <c r="W138" s="535"/>
      <c r="X138" s="535"/>
      <c r="Y138" s="535"/>
    </row>
    <row r="139" spans="1:25">
      <c r="O139" s="542"/>
      <c r="P139" s="542"/>
      <c r="Q139" s="542"/>
      <c r="R139" s="542"/>
      <c r="S139" s="542"/>
      <c r="T139" s="542"/>
      <c r="U139" s="542"/>
      <c r="V139" s="542"/>
      <c r="W139" s="535"/>
      <c r="X139" s="535"/>
      <c r="Y139" s="535"/>
    </row>
    <row r="140" spans="1:25">
      <c r="A140" s="1131" t="s">
        <v>207</v>
      </c>
      <c r="B140" s="1131"/>
      <c r="C140" s="1131"/>
      <c r="D140" s="1131"/>
      <c r="E140" s="1131"/>
      <c r="F140" s="1131"/>
      <c r="O140" s="542"/>
      <c r="P140" s="542"/>
      <c r="Q140" s="542"/>
      <c r="R140" s="542"/>
      <c r="S140" s="542"/>
      <c r="T140" s="542"/>
      <c r="U140" s="542"/>
      <c r="V140" s="542"/>
      <c r="W140" s="535"/>
      <c r="X140" s="535"/>
      <c r="Y140" s="535"/>
    </row>
    <row r="141" spans="1:25">
      <c r="A141" s="4"/>
      <c r="B141" s="4" t="s">
        <v>39</v>
      </c>
      <c r="C141" s="53" t="s">
        <v>40</v>
      </c>
      <c r="D141" s="54" t="s">
        <v>41</v>
      </c>
      <c r="E141" s="55" t="s">
        <v>42</v>
      </c>
      <c r="F141" s="4" t="s">
        <v>43</v>
      </c>
      <c r="O141" s="542"/>
      <c r="P141" s="542"/>
      <c r="Q141" s="542"/>
      <c r="R141" s="542"/>
      <c r="S141" s="542"/>
      <c r="T141" s="542"/>
      <c r="U141" s="542"/>
      <c r="V141" s="542"/>
      <c r="W141" s="535"/>
      <c r="X141" s="535"/>
      <c r="Y141" s="535"/>
    </row>
    <row r="142" spans="1:25">
      <c r="A142" s="4" t="s">
        <v>44</v>
      </c>
      <c r="B142" s="39">
        <f t="shared" ref="B142:B149" si="3">B96+B111+B126</f>
        <v>2</v>
      </c>
      <c r="C142" s="50">
        <f>B142*12</f>
        <v>24</v>
      </c>
      <c r="D142" s="51">
        <f>B142*9</f>
        <v>18</v>
      </c>
      <c r="E142" s="52">
        <f>B142*5</f>
        <v>10</v>
      </c>
      <c r="F142" s="9">
        <f t="shared" ref="F142:F149" si="4">(C142*4)+(D142*4)+(E142*9)</f>
        <v>258</v>
      </c>
      <c r="O142" s="542"/>
      <c r="P142" s="542"/>
      <c r="Q142" s="542"/>
      <c r="R142" s="542"/>
      <c r="S142" s="542"/>
      <c r="T142" s="542"/>
      <c r="U142" s="542"/>
      <c r="V142" s="542"/>
      <c r="W142" s="535"/>
      <c r="X142" s="535"/>
      <c r="Y142" s="535"/>
    </row>
    <row r="143" spans="1:25">
      <c r="A143" s="4" t="s">
        <v>45</v>
      </c>
      <c r="B143" s="39">
        <f t="shared" si="3"/>
        <v>0</v>
      </c>
      <c r="C143" s="6">
        <v>0</v>
      </c>
      <c r="D143" s="7">
        <f>B143*7</f>
        <v>0</v>
      </c>
      <c r="E143" s="8">
        <f>B143*4</f>
        <v>0</v>
      </c>
      <c r="F143" s="9">
        <f t="shared" si="4"/>
        <v>0</v>
      </c>
      <c r="O143" s="542"/>
      <c r="P143" s="542"/>
      <c r="Q143" s="542"/>
      <c r="R143" s="542"/>
      <c r="S143" s="542"/>
      <c r="T143" s="542"/>
      <c r="U143" s="542"/>
      <c r="V143" s="542"/>
      <c r="W143" s="535"/>
      <c r="X143" s="535"/>
      <c r="Y143" s="535"/>
    </row>
    <row r="144" spans="1:25">
      <c r="A144" s="4" t="s">
        <v>46</v>
      </c>
      <c r="B144" s="39">
        <f t="shared" si="3"/>
        <v>0.5</v>
      </c>
      <c r="C144" s="6">
        <f>B144*15</f>
        <v>7.5</v>
      </c>
      <c r="D144" s="7">
        <f>B144*0</f>
        <v>0</v>
      </c>
      <c r="E144" s="8">
        <f>B144*0</f>
        <v>0</v>
      </c>
      <c r="F144" s="9">
        <f t="shared" si="4"/>
        <v>30</v>
      </c>
      <c r="O144" s="542"/>
      <c r="P144" s="542"/>
      <c r="Q144" s="542"/>
      <c r="R144" s="542"/>
      <c r="S144" s="542"/>
      <c r="T144" s="542"/>
      <c r="U144" s="542"/>
      <c r="V144" s="542"/>
      <c r="W144" s="535"/>
      <c r="X144" s="535"/>
      <c r="Y144" s="535"/>
    </row>
    <row r="145" spans="1:25">
      <c r="A145" s="4" t="s">
        <v>47</v>
      </c>
      <c r="B145" s="39">
        <f t="shared" si="3"/>
        <v>0</v>
      </c>
      <c r="C145" s="6">
        <f>B145*4</f>
        <v>0</v>
      </c>
      <c r="D145" s="7">
        <f>B145*2</f>
        <v>0</v>
      </c>
      <c r="E145" s="8"/>
      <c r="F145" s="9">
        <f t="shared" si="4"/>
        <v>0</v>
      </c>
      <c r="O145" s="542"/>
      <c r="P145" s="542"/>
      <c r="Q145" s="542"/>
      <c r="R145" s="542"/>
      <c r="S145" s="542"/>
      <c r="T145" s="542"/>
      <c r="U145" s="542"/>
      <c r="V145" s="542"/>
      <c r="W145" s="535"/>
      <c r="X145" s="535"/>
      <c r="Y145" s="535"/>
    </row>
    <row r="146" spans="1:25">
      <c r="A146" s="4" t="s">
        <v>48</v>
      </c>
      <c r="B146" s="39">
        <f t="shared" si="3"/>
        <v>8</v>
      </c>
      <c r="C146" s="6">
        <f>B146*15</f>
        <v>120</v>
      </c>
      <c r="D146" s="7">
        <f>B146*2</f>
        <v>16</v>
      </c>
      <c r="E146" s="8">
        <f>B146*0</f>
        <v>0</v>
      </c>
      <c r="F146" s="9">
        <f t="shared" si="4"/>
        <v>544</v>
      </c>
      <c r="O146" s="542"/>
      <c r="P146" s="542"/>
      <c r="Q146" s="542"/>
      <c r="R146" s="542"/>
      <c r="S146" s="542"/>
      <c r="T146" s="542"/>
      <c r="U146" s="542"/>
      <c r="V146" s="542"/>
      <c r="W146" s="535"/>
      <c r="X146" s="535"/>
      <c r="Y146" s="535"/>
    </row>
    <row r="147" spans="1:25">
      <c r="A147" s="4" t="s">
        <v>49</v>
      </c>
      <c r="B147" s="39">
        <f t="shared" si="3"/>
        <v>0</v>
      </c>
      <c r="C147" s="6">
        <f>B147*20</f>
        <v>0</v>
      </c>
      <c r="D147" s="7">
        <f>B147*8</f>
        <v>0</v>
      </c>
      <c r="E147" s="8">
        <f>B147*1</f>
        <v>0</v>
      </c>
      <c r="F147" s="9">
        <f t="shared" si="4"/>
        <v>0</v>
      </c>
      <c r="O147" s="542"/>
      <c r="P147" s="542"/>
      <c r="Q147" s="542"/>
      <c r="R147" s="542" t="s">
        <v>558</v>
      </c>
      <c r="S147" s="542"/>
      <c r="T147" s="542"/>
      <c r="U147" s="542"/>
      <c r="V147" s="542"/>
      <c r="W147" s="535"/>
      <c r="X147" s="535"/>
      <c r="Y147" s="535"/>
    </row>
    <row r="148" spans="1:25">
      <c r="A148" s="4" t="s">
        <v>50</v>
      </c>
      <c r="B148" s="39">
        <f t="shared" si="3"/>
        <v>8</v>
      </c>
      <c r="C148" s="6">
        <f>B148*0</f>
        <v>0</v>
      </c>
      <c r="D148" s="7">
        <f>B148*0</f>
        <v>0</v>
      </c>
      <c r="E148" s="8">
        <f>B148*5</f>
        <v>40</v>
      </c>
      <c r="F148" s="9">
        <f t="shared" si="4"/>
        <v>360</v>
      </c>
      <c r="O148" s="542"/>
      <c r="P148" s="580" t="s">
        <v>561</v>
      </c>
      <c r="Q148" s="580"/>
      <c r="R148" s="580"/>
      <c r="S148" s="580"/>
      <c r="T148" s="542"/>
      <c r="U148" s="542"/>
      <c r="V148" s="542"/>
      <c r="W148" s="535"/>
      <c r="X148" s="535"/>
      <c r="Y148" s="535"/>
    </row>
    <row r="149" spans="1:25">
      <c r="A149" s="4" t="s">
        <v>51</v>
      </c>
      <c r="B149" s="39">
        <f t="shared" si="3"/>
        <v>5</v>
      </c>
      <c r="C149" s="6">
        <f>B149*10</f>
        <v>50</v>
      </c>
      <c r="D149" s="7">
        <f>B149*0</f>
        <v>0</v>
      </c>
      <c r="E149" s="10">
        <f>B149*0</f>
        <v>0</v>
      </c>
      <c r="F149" s="11">
        <f t="shared" si="4"/>
        <v>200</v>
      </c>
      <c r="O149" s="542"/>
      <c r="P149" s="580" t="s">
        <v>562</v>
      </c>
      <c r="Q149" s="580"/>
      <c r="R149" s="580"/>
      <c r="S149" s="580"/>
      <c r="T149" s="542"/>
      <c r="U149" s="542"/>
      <c r="V149" s="542"/>
      <c r="W149" s="535"/>
      <c r="X149" s="535"/>
      <c r="Y149" s="535"/>
    </row>
    <row r="150" spans="1:25">
      <c r="A150" s="4"/>
      <c r="B150" s="12"/>
      <c r="C150" s="6">
        <f>SUM(C142:C149)</f>
        <v>201.5</v>
      </c>
      <c r="D150" s="7">
        <f>SUM(D142:D149)</f>
        <v>34</v>
      </c>
      <c r="E150" s="10">
        <f>SUM(E142:E149)</f>
        <v>50</v>
      </c>
      <c r="F150" s="11">
        <f>SUM(F142:F149)</f>
        <v>1392</v>
      </c>
      <c r="H150" s="534"/>
      <c r="I150" s="534"/>
      <c r="J150" s="534"/>
      <c r="K150" s="534"/>
      <c r="L150" s="534"/>
      <c r="M150" s="534"/>
      <c r="N150" s="534"/>
      <c r="O150" s="542"/>
      <c r="P150" s="580" t="s">
        <v>560</v>
      </c>
      <c r="Q150" s="580"/>
      <c r="R150" s="580"/>
      <c r="S150" s="580"/>
      <c r="T150" s="542"/>
      <c r="U150" s="542"/>
      <c r="V150" s="542"/>
      <c r="W150" s="535"/>
      <c r="X150" s="535"/>
      <c r="Y150" s="535"/>
    </row>
    <row r="151" spans="1:25">
      <c r="B151" s="1" t="s">
        <v>52</v>
      </c>
      <c r="C151" s="4" t="s">
        <v>53</v>
      </c>
      <c r="D151" s="75" t="s">
        <v>54</v>
      </c>
      <c r="E151" s="75"/>
      <c r="H151" s="84"/>
      <c r="I151" s="84"/>
      <c r="J151" s="84"/>
      <c r="K151" s="84"/>
      <c r="L151" s="84"/>
      <c r="M151" s="84"/>
      <c r="N151" s="84"/>
      <c r="O151" s="542"/>
      <c r="P151" s="580" t="s">
        <v>563</v>
      </c>
      <c r="Q151" s="580"/>
      <c r="R151" s="580"/>
      <c r="S151" s="580"/>
      <c r="T151" s="542"/>
      <c r="U151" s="542"/>
      <c r="V151" s="542"/>
      <c r="W151" s="535"/>
      <c r="X151" s="535"/>
      <c r="Y151" s="535"/>
    </row>
    <row r="152" spans="1:25">
      <c r="A152" s="13" t="s">
        <v>55</v>
      </c>
      <c r="B152" s="14">
        <v>54</v>
      </c>
      <c r="C152" s="4">
        <f>C150</f>
        <v>201.5</v>
      </c>
      <c r="D152" s="74">
        <f>C152*4</f>
        <v>806</v>
      </c>
      <c r="E152" s="73"/>
      <c r="H152" s="534"/>
      <c r="I152" s="1194"/>
      <c r="J152" s="1194"/>
      <c r="K152" s="1194"/>
      <c r="L152" s="1194"/>
      <c r="M152" s="1194"/>
      <c r="N152" s="534"/>
      <c r="O152" s="542"/>
      <c r="P152" s="580" t="s">
        <v>564</v>
      </c>
      <c r="Q152" s="580"/>
      <c r="R152" s="580"/>
      <c r="S152" s="580"/>
      <c r="T152" s="542"/>
      <c r="U152" s="542"/>
      <c r="V152" s="542"/>
      <c r="W152" s="535"/>
      <c r="X152" s="535"/>
      <c r="Y152" s="535"/>
    </row>
    <row r="153" spans="1:25">
      <c r="A153" s="15" t="s">
        <v>29</v>
      </c>
      <c r="B153" s="16">
        <v>18</v>
      </c>
      <c r="C153" s="4">
        <f>D150</f>
        <v>34</v>
      </c>
      <c r="D153" s="74">
        <f>C153*4</f>
        <v>136</v>
      </c>
      <c r="E153" s="73"/>
      <c r="H153" s="84"/>
      <c r="I153" s="84"/>
      <c r="J153" s="84"/>
      <c r="K153" s="84"/>
      <c r="L153" s="84"/>
      <c r="M153" s="84"/>
      <c r="N153" s="84"/>
      <c r="O153" s="542"/>
      <c r="P153" s="1126"/>
      <c r="Q153" s="1126"/>
      <c r="R153" s="1126"/>
      <c r="S153" s="1126"/>
      <c r="T153" s="542"/>
      <c r="U153" s="542"/>
      <c r="V153" s="542"/>
      <c r="W153" s="535"/>
      <c r="X153" s="535"/>
      <c r="Y153" s="535"/>
    </row>
    <row r="154" spans="1:25">
      <c r="A154" s="17" t="s">
        <v>56</v>
      </c>
      <c r="B154" s="18">
        <v>28</v>
      </c>
      <c r="C154" s="4">
        <f>E150</f>
        <v>50</v>
      </c>
      <c r="D154" s="74">
        <f>C154*9</f>
        <v>450</v>
      </c>
      <c r="E154" s="73"/>
      <c r="H154" s="84"/>
      <c r="I154" s="84"/>
      <c r="J154" s="84"/>
      <c r="K154" s="84"/>
      <c r="L154" s="84"/>
      <c r="M154" s="84"/>
      <c r="N154" s="84"/>
      <c r="O154" s="542"/>
      <c r="P154" s="1126"/>
      <c r="Q154" s="1126"/>
      <c r="R154" s="1126"/>
      <c r="S154" s="1126"/>
      <c r="T154" s="542"/>
      <c r="U154" s="542"/>
      <c r="V154" s="542"/>
      <c r="W154" s="535"/>
      <c r="X154" s="535"/>
      <c r="Y154" s="535"/>
    </row>
    <row r="155" spans="1:25">
      <c r="B155" s="76">
        <f>SUM(B152:B154)</f>
        <v>100</v>
      </c>
      <c r="C155" s="77"/>
      <c r="D155" s="76">
        <f>SUM(D152:D154)</f>
        <v>1392</v>
      </c>
      <c r="H155" s="84"/>
      <c r="I155" s="84"/>
      <c r="J155" s="84"/>
      <c r="K155" s="84"/>
      <c r="L155" s="84"/>
      <c r="M155" s="84"/>
      <c r="N155" s="84"/>
      <c r="O155" s="542"/>
      <c r="P155" s="1126"/>
      <c r="Q155" s="1126"/>
      <c r="R155" s="1126"/>
      <c r="S155" s="1126"/>
      <c r="T155" s="542"/>
      <c r="U155" s="542"/>
      <c r="V155" s="542"/>
      <c r="W155" s="535"/>
      <c r="X155" s="535"/>
      <c r="Y155" s="535"/>
    </row>
    <row r="156" spans="1:25">
      <c r="A156" s="84"/>
      <c r="B156" s="902"/>
      <c r="C156" s="82"/>
      <c r="D156" s="902"/>
      <c r="E156" s="84"/>
      <c r="F156" s="84"/>
      <c r="G156" s="84"/>
      <c r="H156" s="84"/>
      <c r="I156" s="84"/>
      <c r="J156" s="84"/>
      <c r="K156" s="84"/>
      <c r="L156" s="84"/>
      <c r="M156" s="84"/>
      <c r="N156" s="84"/>
      <c r="O156" s="542"/>
      <c r="P156" s="894"/>
      <c r="Q156" s="894"/>
      <c r="R156" s="894"/>
      <c r="S156" s="894"/>
      <c r="T156" s="542"/>
      <c r="U156" s="542"/>
      <c r="V156" s="542"/>
      <c r="W156" s="535"/>
      <c r="X156" s="535"/>
      <c r="Y156" s="535"/>
    </row>
    <row r="157" spans="1:25">
      <c r="A157" s="84"/>
      <c r="B157" s="902"/>
      <c r="C157" s="82"/>
      <c r="D157" s="902"/>
      <c r="E157" s="84"/>
      <c r="F157" s="84"/>
      <c r="G157" s="84"/>
      <c r="H157" s="84"/>
      <c r="I157" s="84"/>
      <c r="J157" s="84"/>
      <c r="K157" s="84"/>
      <c r="L157" s="84"/>
      <c r="M157" s="84"/>
      <c r="N157" s="84"/>
      <c r="O157" s="542"/>
      <c r="P157" s="894"/>
      <c r="Q157" s="894"/>
      <c r="R157" s="894"/>
      <c r="S157" s="894"/>
      <c r="T157" s="542"/>
      <c r="U157" s="542"/>
      <c r="V157" s="542"/>
      <c r="W157" s="535"/>
      <c r="X157" s="535"/>
      <c r="Y157" s="535"/>
    </row>
    <row r="158" spans="1:25">
      <c r="A158" s="84"/>
      <c r="B158" s="902"/>
      <c r="C158" s="82"/>
      <c r="D158" s="902"/>
      <c r="E158" s="84"/>
      <c r="F158" s="84"/>
      <c r="G158" s="84"/>
      <c r="H158" s="84"/>
      <c r="I158" s="84"/>
      <c r="J158" s="84"/>
      <c r="K158" s="84"/>
      <c r="L158" s="84"/>
      <c r="M158" s="84"/>
      <c r="N158" s="84"/>
      <c r="O158" s="542"/>
      <c r="P158" s="894"/>
      <c r="Q158" s="894"/>
      <c r="R158" s="894"/>
      <c r="S158" s="894"/>
      <c r="T158" s="542"/>
      <c r="U158" s="542"/>
      <c r="V158" s="542"/>
      <c r="W158" s="535"/>
      <c r="X158" s="535"/>
      <c r="Y158" s="535"/>
    </row>
    <row r="159" spans="1:25">
      <c r="A159" s="84"/>
      <c r="B159" s="902"/>
      <c r="C159" s="82"/>
      <c r="D159" s="902"/>
      <c r="E159" s="84"/>
      <c r="F159" s="84"/>
      <c r="G159" s="84"/>
      <c r="H159" s="84"/>
      <c r="I159" s="84"/>
      <c r="J159" s="84"/>
      <c r="K159" s="84"/>
      <c r="L159" s="84"/>
      <c r="M159" s="84"/>
      <c r="N159" s="84"/>
      <c r="O159" s="542"/>
      <c r="P159" s="894"/>
      <c r="Q159" s="894"/>
      <c r="R159" s="894"/>
      <c r="S159" s="894"/>
      <c r="T159" s="542"/>
      <c r="U159" s="542"/>
      <c r="V159" s="542"/>
      <c r="W159" s="535"/>
      <c r="X159" s="535"/>
      <c r="Y159" s="535"/>
    </row>
    <row r="160" spans="1:25">
      <c r="A160" s="84"/>
      <c r="B160" s="902"/>
      <c r="C160" s="82"/>
      <c r="D160" s="902"/>
      <c r="E160" s="84"/>
      <c r="F160" s="84"/>
      <c r="G160" s="84"/>
      <c r="H160" s="84"/>
      <c r="I160" s="84"/>
      <c r="J160" s="84"/>
      <c r="K160" s="84"/>
      <c r="L160" s="84"/>
      <c r="M160" s="84"/>
      <c r="N160" s="84"/>
      <c r="O160" s="542"/>
      <c r="P160" s="894"/>
      <c r="Q160" s="894"/>
      <c r="R160" s="894"/>
      <c r="S160" s="894"/>
      <c r="T160" s="542"/>
      <c r="U160" s="542"/>
      <c r="V160" s="542"/>
      <c r="W160" s="535"/>
      <c r="X160" s="535"/>
      <c r="Y160" s="535"/>
    </row>
    <row r="161" spans="1:25">
      <c r="A161" s="84"/>
      <c r="B161" s="902"/>
      <c r="C161" s="82"/>
      <c r="D161" s="902"/>
      <c r="E161" s="84"/>
      <c r="F161" s="84"/>
      <c r="G161" s="84"/>
      <c r="H161" s="84"/>
      <c r="I161" s="84"/>
      <c r="J161" s="84"/>
      <c r="K161" s="84"/>
      <c r="L161" s="84"/>
      <c r="M161" s="84"/>
      <c r="N161" s="84"/>
      <c r="O161" s="542"/>
      <c r="P161" s="894"/>
      <c r="Q161" s="894"/>
      <c r="R161" s="894"/>
      <c r="S161" s="894"/>
      <c r="T161" s="542"/>
      <c r="U161" s="542"/>
      <c r="V161" s="542"/>
      <c r="W161" s="535"/>
      <c r="X161" s="535"/>
      <c r="Y161" s="535"/>
    </row>
    <row r="162" spans="1:25">
      <c r="A162" s="84"/>
      <c r="B162" s="902"/>
      <c r="C162" s="82"/>
      <c r="D162" s="902"/>
      <c r="E162" s="84"/>
      <c r="F162" s="84"/>
      <c r="G162" s="84"/>
      <c r="H162" s="84"/>
      <c r="I162" s="84"/>
      <c r="J162" s="84"/>
      <c r="K162" s="84"/>
      <c r="L162" s="84"/>
      <c r="M162" s="84"/>
      <c r="N162" s="84"/>
      <c r="O162" s="542"/>
      <c r="P162" s="894"/>
      <c r="Q162" s="894"/>
      <c r="R162" s="894"/>
      <c r="S162" s="894"/>
      <c r="T162" s="542"/>
      <c r="U162" s="542"/>
      <c r="V162" s="542"/>
      <c r="W162" s="535"/>
      <c r="X162" s="535"/>
      <c r="Y162" s="535"/>
    </row>
    <row r="163" spans="1:25">
      <c r="A163" s="84"/>
      <c r="B163" s="902"/>
      <c r="C163" s="82"/>
      <c r="D163" s="902"/>
      <c r="E163" s="84"/>
      <c r="F163" s="84"/>
      <c r="G163" s="84"/>
      <c r="H163" s="84"/>
      <c r="I163" s="84"/>
      <c r="J163" s="84"/>
      <c r="K163" s="84"/>
      <c r="L163" s="84"/>
      <c r="M163" s="84"/>
      <c r="N163" s="84"/>
      <c r="O163" s="542"/>
      <c r="P163" s="894"/>
      <c r="Q163" s="894"/>
      <c r="R163" s="894"/>
      <c r="S163" s="894"/>
      <c r="T163" s="542"/>
      <c r="U163" s="542"/>
      <c r="V163" s="542"/>
      <c r="W163" s="535"/>
      <c r="X163" s="535"/>
      <c r="Y163" s="535"/>
    </row>
    <row r="164" spans="1:25">
      <c r="A164" s="84"/>
      <c r="B164" s="902"/>
      <c r="C164" s="82"/>
      <c r="D164" s="902"/>
      <c r="E164" s="84"/>
      <c r="F164" s="84"/>
      <c r="G164" s="84"/>
      <c r="H164" s="84"/>
      <c r="I164" s="84"/>
      <c r="J164" s="84"/>
      <c r="K164" s="84"/>
      <c r="L164" s="84"/>
      <c r="M164" s="84"/>
      <c r="N164" s="84"/>
      <c r="O164" s="542"/>
      <c r="P164" s="894"/>
      <c r="Q164" s="894"/>
      <c r="R164" s="894"/>
      <c r="S164" s="894"/>
      <c r="T164" s="542"/>
      <c r="U164" s="542"/>
      <c r="V164" s="542"/>
      <c r="W164" s="535"/>
      <c r="X164" s="535"/>
      <c r="Y164" s="535"/>
    </row>
    <row r="165" spans="1:25">
      <c r="A165" s="84"/>
      <c r="B165" s="902"/>
      <c r="C165" s="82"/>
      <c r="D165" s="902"/>
      <c r="E165" s="84"/>
      <c r="F165" s="84"/>
      <c r="G165" s="84"/>
      <c r="H165" s="84"/>
      <c r="I165" s="84"/>
      <c r="J165" s="84"/>
      <c r="K165" s="84"/>
      <c r="L165" s="84"/>
      <c r="M165" s="84"/>
      <c r="N165" s="84"/>
      <c r="O165" s="542"/>
      <c r="P165" s="894"/>
      <c r="Q165" s="894"/>
      <c r="R165" s="894"/>
      <c r="S165" s="894"/>
      <c r="T165" s="542"/>
      <c r="U165" s="542"/>
      <c r="V165" s="542"/>
      <c r="W165" s="535"/>
      <c r="X165" s="535"/>
      <c r="Y165" s="535"/>
    </row>
    <row r="166" spans="1:25">
      <c r="A166" s="84"/>
      <c r="B166" s="902"/>
      <c r="C166" s="82"/>
      <c r="D166" s="902"/>
      <c r="E166" s="84"/>
      <c r="F166" s="84"/>
      <c r="G166" s="84"/>
      <c r="H166" s="84"/>
      <c r="I166" s="84"/>
      <c r="J166" s="84"/>
      <c r="K166" s="84"/>
      <c r="L166" s="84"/>
      <c r="M166" s="84"/>
      <c r="N166" s="84"/>
      <c r="O166" s="542"/>
      <c r="P166" s="894"/>
      <c r="Q166" s="894"/>
      <c r="R166" s="894"/>
      <c r="S166" s="894"/>
      <c r="T166" s="542"/>
      <c r="U166" s="542"/>
      <c r="V166" s="542"/>
      <c r="W166" s="535"/>
      <c r="X166" s="535"/>
      <c r="Y166" s="535"/>
    </row>
    <row r="167" spans="1:25">
      <c r="A167" s="84"/>
      <c r="B167" s="902"/>
      <c r="C167" s="82"/>
      <c r="D167" s="902"/>
      <c r="E167" s="84"/>
      <c r="F167" s="84"/>
      <c r="G167" s="84"/>
      <c r="H167" s="84"/>
      <c r="I167" s="84"/>
      <c r="J167" s="84"/>
      <c r="K167" s="84"/>
      <c r="L167" s="84"/>
      <c r="M167" s="84"/>
      <c r="N167" s="84"/>
      <c r="O167" s="542"/>
      <c r="P167" s="894"/>
      <c r="Q167" s="894"/>
      <c r="R167" s="894"/>
      <c r="S167" s="894"/>
      <c r="T167" s="542"/>
      <c r="U167" s="542"/>
      <c r="V167" s="542"/>
      <c r="W167" s="535"/>
      <c r="X167" s="535"/>
      <c r="Y167" s="535"/>
    </row>
    <row r="168" spans="1:25">
      <c r="A168" s="84"/>
      <c r="B168" s="902"/>
      <c r="C168" s="82"/>
      <c r="D168" s="902"/>
      <c r="E168" s="84"/>
      <c r="F168" s="84"/>
      <c r="G168" s="84"/>
      <c r="H168" s="84"/>
      <c r="I168" s="84"/>
      <c r="J168" s="84"/>
      <c r="K168" s="84"/>
      <c r="L168" s="84"/>
      <c r="M168" s="84"/>
      <c r="N168" s="84"/>
      <c r="O168" s="542"/>
      <c r="P168" s="894"/>
      <c r="Q168" s="894"/>
      <c r="R168" s="894"/>
      <c r="S168" s="894"/>
      <c r="T168" s="542"/>
      <c r="U168" s="542"/>
      <c r="V168" s="542"/>
      <c r="W168" s="535"/>
      <c r="X168" s="535"/>
      <c r="Y168" s="535"/>
    </row>
    <row r="169" spans="1:25">
      <c r="A169" s="84"/>
      <c r="B169" s="902"/>
      <c r="C169" s="82"/>
      <c r="D169" s="902"/>
      <c r="E169" s="84"/>
      <c r="F169" s="84"/>
      <c r="G169" s="84"/>
      <c r="H169" s="84"/>
      <c r="I169" s="84"/>
      <c r="J169" s="84"/>
      <c r="K169" s="84"/>
      <c r="L169" s="84"/>
      <c r="M169" s="84"/>
      <c r="N169" s="84"/>
      <c r="O169" s="542"/>
      <c r="P169" s="894"/>
      <c r="Q169" s="894"/>
      <c r="R169" s="894"/>
      <c r="S169" s="894"/>
      <c r="T169" s="542"/>
      <c r="U169" s="542"/>
      <c r="V169" s="542"/>
      <c r="W169" s="535"/>
      <c r="X169" s="535"/>
      <c r="Y169" s="535"/>
    </row>
    <row r="170" spans="1:25">
      <c r="A170" s="84"/>
      <c r="B170" s="902"/>
      <c r="C170" s="82"/>
      <c r="D170" s="902"/>
      <c r="E170" s="84"/>
      <c r="F170" s="84"/>
      <c r="G170" s="84"/>
      <c r="H170" s="84"/>
      <c r="I170" s="84"/>
      <c r="J170" s="84"/>
      <c r="K170" s="84"/>
      <c r="L170" s="84"/>
      <c r="M170" s="84"/>
      <c r="N170" s="84"/>
      <c r="O170" s="542"/>
      <c r="P170" s="894"/>
      <c r="Q170" s="894"/>
      <c r="R170" s="894"/>
      <c r="S170" s="894"/>
      <c r="T170" s="542"/>
      <c r="U170" s="542"/>
      <c r="V170" s="542"/>
      <c r="W170" s="535"/>
      <c r="X170" s="535"/>
      <c r="Y170" s="535"/>
    </row>
    <row r="171" spans="1:25">
      <c r="A171" s="84"/>
      <c r="B171" s="902"/>
      <c r="C171" s="82"/>
      <c r="D171" s="902"/>
      <c r="E171" s="84"/>
      <c r="F171" s="84"/>
      <c r="G171" s="84"/>
      <c r="H171" s="84"/>
      <c r="I171" s="84"/>
      <c r="J171" s="84"/>
      <c r="K171" s="84"/>
      <c r="L171" s="84"/>
      <c r="M171" s="84"/>
      <c r="N171" s="84"/>
      <c r="O171" s="542"/>
      <c r="P171" s="894"/>
      <c r="Q171" s="894"/>
      <c r="R171" s="894"/>
      <c r="S171" s="894"/>
      <c r="T171" s="542"/>
      <c r="U171" s="542"/>
      <c r="V171" s="542"/>
      <c r="W171" s="535"/>
      <c r="X171" s="535"/>
      <c r="Y171" s="535"/>
    </row>
    <row r="172" spans="1:25">
      <c r="A172" s="84"/>
      <c r="B172" s="902"/>
      <c r="C172" s="82"/>
      <c r="D172" s="902"/>
      <c r="E172" s="84"/>
      <c r="F172" s="84"/>
      <c r="G172" s="84"/>
      <c r="H172" s="84"/>
      <c r="I172" s="84"/>
      <c r="J172" s="84"/>
      <c r="K172" s="84"/>
      <c r="L172" s="84"/>
      <c r="M172" s="84"/>
      <c r="N172" s="84"/>
      <c r="O172" s="542"/>
      <c r="P172" s="894"/>
      <c r="Q172" s="894"/>
      <c r="R172" s="894"/>
      <c r="S172" s="894"/>
      <c r="T172" s="542"/>
      <c r="U172" s="542"/>
      <c r="V172" s="542"/>
      <c r="W172" s="535"/>
      <c r="X172" s="535"/>
      <c r="Y172" s="535"/>
    </row>
    <row r="173" spans="1:25">
      <c r="A173" s="84"/>
      <c r="B173" s="902"/>
      <c r="C173" s="82"/>
      <c r="D173" s="902"/>
      <c r="E173" s="84"/>
      <c r="F173" s="84"/>
      <c r="G173" s="84"/>
      <c r="H173" s="84"/>
      <c r="I173" s="84"/>
      <c r="J173" s="84"/>
      <c r="K173" s="84"/>
      <c r="L173" s="84"/>
      <c r="M173" s="84"/>
      <c r="N173" s="84"/>
      <c r="O173" s="542"/>
      <c r="P173" s="894"/>
      <c r="Q173" s="894"/>
      <c r="R173" s="894"/>
      <c r="S173" s="894"/>
      <c r="T173" s="542"/>
      <c r="U173" s="542"/>
      <c r="V173" s="542"/>
      <c r="W173" s="535"/>
      <c r="X173" s="535"/>
      <c r="Y173" s="535"/>
    </row>
    <row r="174" spans="1:25">
      <c r="A174" s="84"/>
      <c r="B174" s="902"/>
      <c r="C174" s="82"/>
      <c r="D174" s="902"/>
      <c r="E174" s="84"/>
      <c r="F174" s="84"/>
      <c r="G174" s="84"/>
      <c r="H174" s="84"/>
      <c r="I174" s="84"/>
      <c r="J174" s="84"/>
      <c r="K174" s="84"/>
      <c r="L174" s="84"/>
      <c r="M174" s="84"/>
      <c r="N174" s="84"/>
      <c r="O174" s="542"/>
      <c r="P174" s="894"/>
      <c r="Q174" s="894"/>
      <c r="R174" s="894"/>
      <c r="S174" s="894"/>
      <c r="T174" s="542"/>
      <c r="U174" s="542"/>
      <c r="V174" s="542"/>
      <c r="W174" s="535"/>
      <c r="X174" s="535"/>
      <c r="Y174" s="535"/>
    </row>
    <row r="175" spans="1:25">
      <c r="A175" s="84"/>
      <c r="B175" s="902"/>
      <c r="C175" s="82"/>
      <c r="D175" s="902"/>
      <c r="E175" s="84"/>
      <c r="F175" s="84"/>
      <c r="G175" s="84"/>
      <c r="H175" s="84"/>
      <c r="I175" s="84"/>
      <c r="J175" s="84"/>
      <c r="K175" s="84"/>
      <c r="L175" s="84"/>
      <c r="M175" s="84"/>
      <c r="N175" s="84"/>
      <c r="O175" s="542"/>
      <c r="P175" s="894"/>
      <c r="Q175" s="894"/>
      <c r="R175" s="894"/>
      <c r="S175" s="894"/>
      <c r="T175" s="542"/>
      <c r="U175" s="542"/>
      <c r="V175" s="542"/>
      <c r="W175" s="535"/>
      <c r="X175" s="535"/>
      <c r="Y175" s="535"/>
    </row>
    <row r="176" spans="1:25">
      <c r="A176" s="84"/>
      <c r="B176" s="902"/>
      <c r="C176" s="82"/>
      <c r="D176" s="902"/>
      <c r="E176" s="84"/>
      <c r="F176" s="84"/>
      <c r="G176" s="84"/>
      <c r="H176" s="84"/>
      <c r="I176" s="84"/>
      <c r="J176" s="84"/>
      <c r="K176" s="84"/>
      <c r="L176" s="84"/>
      <c r="M176" s="84"/>
      <c r="N176" s="84"/>
      <c r="O176" s="542"/>
      <c r="P176" s="894"/>
      <c r="Q176" s="894"/>
      <c r="R176" s="894"/>
      <c r="S176" s="894"/>
      <c r="T176" s="542"/>
      <c r="U176" s="542"/>
      <c r="V176" s="542"/>
      <c r="W176" s="535"/>
      <c r="X176" s="535"/>
      <c r="Y176" s="535"/>
    </row>
    <row r="177" spans="1:25">
      <c r="A177" s="84"/>
      <c r="B177" s="902"/>
      <c r="C177" s="82"/>
      <c r="D177" s="902"/>
      <c r="E177" s="84"/>
      <c r="F177" s="84"/>
      <c r="G177" s="84"/>
      <c r="H177" s="84"/>
      <c r="I177" s="84"/>
      <c r="J177" s="84"/>
      <c r="K177" s="84"/>
      <c r="L177" s="84"/>
      <c r="M177" s="84"/>
      <c r="N177" s="84"/>
      <c r="O177" s="542"/>
      <c r="P177" s="894"/>
      <c r="Q177" s="894"/>
      <c r="R177" s="894"/>
      <c r="S177" s="894"/>
      <c r="T177" s="542"/>
      <c r="U177" s="542"/>
      <c r="V177" s="542"/>
      <c r="W177" s="535"/>
      <c r="X177" s="535"/>
      <c r="Y177" s="535"/>
    </row>
    <row r="178" spans="1:25">
      <c r="A178" s="84"/>
      <c r="B178" s="902"/>
      <c r="C178" s="82"/>
      <c r="D178" s="902"/>
      <c r="E178" s="84"/>
      <c r="F178" s="84"/>
      <c r="G178" s="84"/>
      <c r="H178" s="84"/>
      <c r="I178" s="84"/>
      <c r="J178" s="84"/>
      <c r="K178" s="84"/>
      <c r="L178" s="84"/>
      <c r="M178" s="84"/>
      <c r="N178" s="84"/>
      <c r="O178" s="542"/>
      <c r="P178" s="894"/>
      <c r="Q178" s="894"/>
      <c r="R178" s="894"/>
      <c r="S178" s="894"/>
      <c r="T178" s="542"/>
      <c r="U178" s="542"/>
      <c r="V178" s="542"/>
      <c r="W178" s="535"/>
      <c r="X178" s="535"/>
      <c r="Y178" s="535"/>
    </row>
    <row r="179" spans="1:25">
      <c r="A179" s="84"/>
      <c r="B179" s="902"/>
      <c r="C179" s="82"/>
      <c r="D179" s="902"/>
      <c r="E179" s="84"/>
      <c r="F179" s="84"/>
      <c r="G179" s="84"/>
      <c r="H179" s="84"/>
      <c r="I179" s="84"/>
      <c r="J179" s="84"/>
      <c r="K179" s="84"/>
      <c r="L179" s="84"/>
      <c r="M179" s="84"/>
      <c r="N179" s="84"/>
      <c r="O179" s="542"/>
      <c r="P179" s="894"/>
      <c r="Q179" s="894"/>
      <c r="R179" s="894"/>
      <c r="S179" s="894"/>
      <c r="T179" s="542"/>
      <c r="U179" s="542"/>
      <c r="V179" s="542"/>
      <c r="W179" s="535"/>
      <c r="X179" s="535"/>
      <c r="Y179" s="535"/>
    </row>
    <row r="180" spans="1:25">
      <c r="A180" s="84"/>
      <c r="B180" s="902"/>
      <c r="C180" s="82"/>
      <c r="D180" s="902"/>
      <c r="E180" s="84"/>
      <c r="F180" s="84"/>
      <c r="G180" s="84"/>
      <c r="H180" s="84"/>
      <c r="I180" s="84"/>
      <c r="J180" s="84"/>
      <c r="K180" s="84"/>
      <c r="L180" s="84"/>
      <c r="M180" s="84"/>
      <c r="N180" s="84"/>
      <c r="O180" s="542"/>
      <c r="P180" s="894"/>
      <c r="Q180" s="894"/>
      <c r="R180" s="894"/>
      <c r="S180" s="894"/>
      <c r="T180" s="542"/>
      <c r="U180" s="542"/>
      <c r="V180" s="542"/>
      <c r="W180" s="535"/>
      <c r="X180" s="535"/>
      <c r="Y180" s="535"/>
    </row>
    <row r="181" spans="1:25">
      <c r="A181" s="84"/>
      <c r="B181" s="902"/>
      <c r="C181" s="82"/>
      <c r="D181" s="902"/>
      <c r="E181" s="84"/>
      <c r="F181" s="84"/>
      <c r="G181" s="84"/>
      <c r="H181" s="84"/>
      <c r="I181" s="84"/>
      <c r="J181" s="84"/>
      <c r="K181" s="84"/>
      <c r="L181" s="84"/>
      <c r="M181" s="84"/>
      <c r="N181" s="84"/>
      <c r="O181" s="542"/>
      <c r="P181" s="894"/>
      <c r="Q181" s="894"/>
      <c r="R181" s="894"/>
      <c r="S181" s="894"/>
      <c r="T181" s="542"/>
      <c r="U181" s="542"/>
      <c r="V181" s="542"/>
      <c r="W181" s="535"/>
      <c r="X181" s="535"/>
      <c r="Y181" s="535"/>
    </row>
    <row r="182" spans="1:25">
      <c r="A182" s="84"/>
      <c r="B182" s="902"/>
      <c r="C182" s="82"/>
      <c r="D182" s="902"/>
      <c r="E182" s="84"/>
      <c r="F182" s="84"/>
      <c r="G182" s="84"/>
      <c r="H182" s="84"/>
      <c r="I182" s="84"/>
      <c r="J182" s="84"/>
      <c r="K182" s="84"/>
      <c r="L182" s="84"/>
      <c r="M182" s="84"/>
      <c r="N182" s="84"/>
      <c r="O182" s="542"/>
      <c r="P182" s="894"/>
      <c r="Q182" s="894"/>
      <c r="R182" s="894"/>
      <c r="S182" s="894"/>
      <c r="T182" s="542"/>
      <c r="U182" s="542"/>
      <c r="V182" s="542"/>
      <c r="W182" s="535"/>
      <c r="X182" s="535"/>
      <c r="Y182" s="535"/>
    </row>
    <row r="183" spans="1:25">
      <c r="A183" s="84"/>
      <c r="B183" s="902"/>
      <c r="C183" s="82"/>
      <c r="D183" s="902"/>
      <c r="E183" s="84"/>
      <c r="F183" s="84"/>
      <c r="G183" s="84"/>
      <c r="H183" s="84"/>
      <c r="I183" s="84"/>
      <c r="J183" s="84"/>
      <c r="K183" s="84"/>
      <c r="L183" s="84"/>
      <c r="M183" s="84"/>
      <c r="N183" s="84"/>
      <c r="O183" s="542"/>
      <c r="P183" s="894"/>
      <c r="Q183" s="894"/>
      <c r="R183" s="894"/>
      <c r="S183" s="894"/>
      <c r="T183" s="542"/>
      <c r="U183" s="542"/>
      <c r="V183" s="542"/>
      <c r="W183" s="535"/>
      <c r="X183" s="535"/>
      <c r="Y183" s="535"/>
    </row>
    <row r="184" spans="1:25">
      <c r="A184" s="84"/>
      <c r="B184" s="902"/>
      <c r="C184" s="82"/>
      <c r="D184" s="902"/>
      <c r="E184" s="84"/>
      <c r="F184" s="84"/>
      <c r="G184" s="84"/>
      <c r="H184" s="84"/>
      <c r="I184" s="84"/>
      <c r="J184" s="84"/>
      <c r="K184" s="84"/>
      <c r="L184" s="84"/>
      <c r="M184" s="84"/>
      <c r="N184" s="84"/>
      <c r="O184" s="542"/>
      <c r="P184" s="894"/>
      <c r="Q184" s="894"/>
      <c r="R184" s="894"/>
      <c r="S184" s="894"/>
      <c r="T184" s="542"/>
      <c r="U184" s="542"/>
      <c r="V184" s="542"/>
      <c r="W184" s="535"/>
      <c r="X184" s="535"/>
      <c r="Y184" s="535"/>
    </row>
    <row r="185" spans="1:25">
      <c r="A185" s="84"/>
      <c r="B185" s="902"/>
      <c r="C185" s="82"/>
      <c r="D185" s="902"/>
      <c r="E185" s="84"/>
      <c r="F185" s="84"/>
      <c r="G185" s="84"/>
      <c r="H185" s="84"/>
      <c r="I185" s="84"/>
      <c r="J185" s="84"/>
      <c r="K185" s="84"/>
      <c r="L185" s="84"/>
      <c r="M185" s="84"/>
      <c r="N185" s="84"/>
      <c r="O185" s="542"/>
      <c r="P185" s="894"/>
      <c r="Q185" s="894"/>
      <c r="R185" s="894"/>
      <c r="S185" s="894"/>
      <c r="T185" s="542"/>
      <c r="U185" s="542"/>
      <c r="V185" s="542"/>
      <c r="W185" s="535"/>
      <c r="X185" s="535"/>
      <c r="Y185" s="535"/>
    </row>
    <row r="186" spans="1:25">
      <c r="A186" s="84"/>
      <c r="B186" s="902"/>
      <c r="C186" s="82"/>
      <c r="D186" s="902"/>
      <c r="E186" s="84"/>
      <c r="F186" s="84"/>
      <c r="G186" s="84"/>
      <c r="H186" s="84"/>
      <c r="I186" s="84"/>
      <c r="J186" s="84"/>
      <c r="K186" s="84"/>
      <c r="L186" s="84"/>
      <c r="M186" s="84"/>
      <c r="N186" s="84"/>
      <c r="O186" s="542"/>
      <c r="P186" s="894"/>
      <c r="Q186" s="894"/>
      <c r="R186" s="894"/>
      <c r="S186" s="894"/>
      <c r="T186" s="542"/>
      <c r="U186" s="542"/>
      <c r="V186" s="542"/>
      <c r="W186" s="535"/>
      <c r="X186" s="535"/>
      <c r="Y186" s="535"/>
    </row>
    <row r="187" spans="1:25" ht="15.75" thickBot="1">
      <c r="A187" s="1202" t="s">
        <v>623</v>
      </c>
      <c r="B187" s="1202"/>
      <c r="C187" s="1202"/>
      <c r="D187" s="1202"/>
      <c r="E187" s="1202"/>
      <c r="F187" s="1202"/>
      <c r="G187" s="1202"/>
      <c r="H187" s="1202"/>
      <c r="I187" s="1202"/>
      <c r="J187" s="1202"/>
      <c r="K187" s="1202"/>
      <c r="L187" s="1202"/>
      <c r="M187" s="1202"/>
      <c r="N187" s="1202"/>
      <c r="O187" s="542"/>
      <c r="P187" s="542"/>
      <c r="Q187" s="542"/>
      <c r="R187" s="542"/>
      <c r="S187" s="542"/>
      <c r="T187" s="542"/>
      <c r="U187" s="542">
        <v>30</v>
      </c>
      <c r="V187" s="542"/>
      <c r="W187" s="535"/>
      <c r="X187" s="535"/>
      <c r="Y187" s="535"/>
    </row>
    <row r="188" spans="1:25" ht="15.75">
      <c r="A188" s="1030" t="s">
        <v>624</v>
      </c>
      <c r="B188" s="1030"/>
      <c r="C188" s="1030"/>
      <c r="D188" s="1030"/>
      <c r="E188" s="903">
        <v>30</v>
      </c>
      <c r="F188" s="904"/>
      <c r="G188" s="86"/>
      <c r="H188" s="86"/>
      <c r="I188" s="904"/>
      <c r="J188" s="86"/>
      <c r="K188" s="86"/>
      <c r="L188" s="904"/>
      <c r="M188" s="86"/>
      <c r="N188" s="895"/>
      <c r="O188" s="542"/>
      <c r="P188" s="542">
        <v>1.3</v>
      </c>
      <c r="Q188" s="542"/>
      <c r="R188" s="542"/>
      <c r="S188" s="542"/>
      <c r="T188" s="542"/>
      <c r="U188" s="542">
        <v>31</v>
      </c>
      <c r="V188" s="542"/>
      <c r="W188" s="535"/>
      <c r="X188" s="535"/>
      <c r="Y188" s="535"/>
    </row>
    <row r="189" spans="1:25" ht="15.75">
      <c r="A189" s="1200" t="s">
        <v>625</v>
      </c>
      <c r="B189" s="1200"/>
      <c r="C189" s="1200"/>
      <c r="D189" s="1189">
        <f>IF(D21=1,(E188*D12),IF(D21&lt;=13,(E188*D12),IF(D21=14,(E188*D12)+300,IF(D21&lt;=27,(E188*D12)+300,IF(D21=28,(E188*D12)+300,IF(D21&lt;=40,(E188*D12)+300))))))</f>
        <v>1809.8805</v>
      </c>
      <c r="E189" s="1190"/>
      <c r="F189" s="86" t="s">
        <v>43</v>
      </c>
      <c r="G189" s="86"/>
      <c r="H189" s="1191" t="s">
        <v>626</v>
      </c>
      <c r="I189" s="1191"/>
      <c r="J189" s="1191"/>
      <c r="K189" s="1191"/>
      <c r="L189" s="1189">
        <f>IF(D21=1,(E188*D12),IF(D21&lt;=13,(E188*D12),IF(L21=14,(E188*D12)+450,IF(D21&lt;=27,(E188*D12)+450,IF(D21=28,(E188*D12)+450,IF(D21&lt;=40,(E188*D12)+450))))))</f>
        <v>1959.8805</v>
      </c>
      <c r="M189" s="1190"/>
      <c r="N189" s="893"/>
      <c r="O189" s="542"/>
      <c r="P189" s="542">
        <v>1.35</v>
      </c>
      <c r="Q189" s="542"/>
      <c r="R189" s="542"/>
      <c r="S189" s="542"/>
      <c r="T189" s="542"/>
      <c r="U189" s="542">
        <v>32</v>
      </c>
      <c r="V189" s="542"/>
      <c r="W189" s="535"/>
      <c r="X189" s="535"/>
      <c r="Y189" s="535"/>
    </row>
    <row r="190" spans="1:25" ht="15.75">
      <c r="A190" s="1200" t="s">
        <v>627</v>
      </c>
      <c r="B190" s="1200"/>
      <c r="C190" s="1200"/>
      <c r="D190" s="905">
        <f>(D189*0.15)/4</f>
        <v>67.870518750000002</v>
      </c>
      <c r="E190" s="166" t="s">
        <v>69</v>
      </c>
      <c r="F190" s="86"/>
      <c r="G190" s="86"/>
      <c r="H190" s="1201" t="s">
        <v>628</v>
      </c>
      <c r="I190" s="1201"/>
      <c r="J190" s="1201"/>
      <c r="K190" s="1201"/>
      <c r="L190" s="905">
        <f>(L189*0.15)/4</f>
        <v>73.495518750000002</v>
      </c>
      <c r="M190" s="86" t="s">
        <v>69</v>
      </c>
      <c r="N190" s="906"/>
      <c r="O190" s="542"/>
      <c r="P190" s="542">
        <v>1.6</v>
      </c>
      <c r="Q190" s="542">
        <v>1.45</v>
      </c>
      <c r="R190" s="542"/>
      <c r="S190" s="542"/>
      <c r="T190" s="542"/>
      <c r="U190" s="542">
        <v>33</v>
      </c>
      <c r="V190" s="542"/>
    </row>
    <row r="191" spans="1:25">
      <c r="A191" s="529"/>
      <c r="B191" s="907"/>
      <c r="C191" s="529"/>
      <c r="D191" s="529"/>
      <c r="E191" s="529"/>
      <c r="F191" s="529"/>
      <c r="G191" s="196"/>
      <c r="H191" s="196"/>
      <c r="I191" s="196"/>
      <c r="J191" s="196"/>
      <c r="K191" s="196"/>
      <c r="L191" s="196"/>
      <c r="M191" s="196"/>
      <c r="N191" s="196"/>
      <c r="O191" s="542"/>
      <c r="P191" s="542">
        <v>2.1</v>
      </c>
      <c r="Q191" s="542"/>
      <c r="R191" s="542"/>
      <c r="S191" s="542"/>
      <c r="T191" s="542"/>
      <c r="U191" s="542">
        <v>34</v>
      </c>
      <c r="V191" s="542"/>
    </row>
    <row r="192" spans="1:25" ht="45">
      <c r="A192" s="908"/>
      <c r="B192" s="909"/>
      <c r="C192" s="909" t="s">
        <v>60</v>
      </c>
      <c r="D192" s="909" t="s">
        <v>41</v>
      </c>
      <c r="E192" s="909" t="s">
        <v>42</v>
      </c>
      <c r="F192" s="909" t="s">
        <v>43</v>
      </c>
      <c r="G192" s="909" t="s">
        <v>59</v>
      </c>
      <c r="H192" s="909" t="s">
        <v>61</v>
      </c>
      <c r="I192" s="909" t="s">
        <v>62</v>
      </c>
      <c r="J192" s="909" t="s">
        <v>63</v>
      </c>
      <c r="K192" s="909" t="s">
        <v>64</v>
      </c>
      <c r="L192" s="909" t="s">
        <v>65</v>
      </c>
      <c r="M192" s="196"/>
      <c r="N192" s="196"/>
      <c r="O192" s="542"/>
      <c r="P192" s="542"/>
      <c r="Q192" s="542"/>
      <c r="R192" s="542"/>
      <c r="S192" s="542"/>
      <c r="T192" s="542"/>
      <c r="U192" s="878">
        <v>35</v>
      </c>
      <c r="V192" s="542"/>
    </row>
    <row r="193" spans="1:22" ht="21">
      <c r="A193" s="529" t="s">
        <v>44</v>
      </c>
      <c r="B193" s="910">
        <v>2</v>
      </c>
      <c r="C193" s="938">
        <f>B193*12</f>
        <v>24</v>
      </c>
      <c r="D193" s="939">
        <f>B193*9</f>
        <v>18</v>
      </c>
      <c r="E193" s="940">
        <f>B193*5</f>
        <v>10</v>
      </c>
      <c r="F193" s="911">
        <f t="shared" ref="F193:F200" si="5">(C193*4)+(D193*4)+(E193*9)</f>
        <v>258</v>
      </c>
      <c r="G193" s="912">
        <f t="shared" ref="G193:G200" si="6">B193</f>
        <v>2</v>
      </c>
      <c r="H193" s="912">
        <v>1</v>
      </c>
      <c r="I193" s="912">
        <v>0</v>
      </c>
      <c r="J193" s="912">
        <v>0</v>
      </c>
      <c r="K193" s="912">
        <v>0</v>
      </c>
      <c r="L193" s="913">
        <v>1</v>
      </c>
      <c r="M193" s="914">
        <f t="shared" ref="M193:M202" si="7">SUM(H193:L193)</f>
        <v>2</v>
      </c>
      <c r="N193" s="93" t="str">
        <f>IF(M193&lt;G193, "te falta ",IF(M193=G193,"muy bien",IF(M193&gt;G193,"te pasaste")))</f>
        <v>muy bien</v>
      </c>
      <c r="O193" s="542"/>
      <c r="P193" s="542"/>
      <c r="Q193" s="542"/>
      <c r="R193" s="542"/>
      <c r="S193" s="542"/>
      <c r="T193" s="542"/>
      <c r="U193" s="542"/>
      <c r="V193" s="542"/>
    </row>
    <row r="194" spans="1:22" ht="21">
      <c r="A194" s="529" t="s">
        <v>45</v>
      </c>
      <c r="B194" s="910">
        <v>4</v>
      </c>
      <c r="C194" s="938">
        <v>0</v>
      </c>
      <c r="D194" s="939">
        <f>B194*7</f>
        <v>28</v>
      </c>
      <c r="E194" s="940">
        <f>B194*4</f>
        <v>16</v>
      </c>
      <c r="F194" s="911">
        <f t="shared" si="5"/>
        <v>256</v>
      </c>
      <c r="G194" s="912">
        <f t="shared" si="6"/>
        <v>4</v>
      </c>
      <c r="H194" s="912">
        <v>0</v>
      </c>
      <c r="I194" s="912">
        <v>0</v>
      </c>
      <c r="J194" s="912">
        <v>3</v>
      </c>
      <c r="K194" s="912">
        <v>0</v>
      </c>
      <c r="L194" s="912">
        <v>0</v>
      </c>
      <c r="M194" s="914">
        <f t="shared" si="7"/>
        <v>3</v>
      </c>
      <c r="N194" s="93" t="str">
        <f t="shared" ref="N194:N200" si="8">IF(M194&lt;G194, "te falta",IF(M194=G194,"muy bien",IF(M194&gt;G194,"te pasaste")))</f>
        <v>te falta</v>
      </c>
      <c r="O194" s="542"/>
      <c r="P194" s="542"/>
      <c r="Q194" s="542"/>
      <c r="R194" s="542"/>
      <c r="S194" s="542"/>
      <c r="T194" s="542"/>
      <c r="U194" s="542"/>
      <c r="V194" s="542"/>
    </row>
    <row r="195" spans="1:22" ht="21">
      <c r="A195" s="529" t="s">
        <v>46</v>
      </c>
      <c r="B195" s="910">
        <v>5</v>
      </c>
      <c r="C195" s="938">
        <f>B195*15</f>
        <v>75</v>
      </c>
      <c r="D195" s="939">
        <f>B195*0</f>
        <v>0</v>
      </c>
      <c r="E195" s="940">
        <f>B195*0</f>
        <v>0</v>
      </c>
      <c r="F195" s="911">
        <f t="shared" si="5"/>
        <v>300</v>
      </c>
      <c r="G195" s="912">
        <f t="shared" si="6"/>
        <v>5</v>
      </c>
      <c r="H195" s="912">
        <v>1</v>
      </c>
      <c r="I195" s="912">
        <v>1</v>
      </c>
      <c r="J195" s="912">
        <v>1</v>
      </c>
      <c r="K195" s="912">
        <v>1</v>
      </c>
      <c r="L195" s="912">
        <v>1</v>
      </c>
      <c r="M195" s="914">
        <f>SUM(H195:L195)</f>
        <v>5</v>
      </c>
      <c r="N195" s="93" t="str">
        <f t="shared" si="8"/>
        <v>muy bien</v>
      </c>
      <c r="O195" s="542"/>
      <c r="P195" s="542"/>
      <c r="Q195" s="542"/>
      <c r="R195" s="542"/>
      <c r="S195" s="542"/>
      <c r="T195" s="542"/>
      <c r="U195" s="542"/>
      <c r="V195" s="542"/>
    </row>
    <row r="196" spans="1:22" ht="21">
      <c r="A196" s="529" t="s">
        <v>47</v>
      </c>
      <c r="B196" s="910">
        <v>8</v>
      </c>
      <c r="C196" s="938">
        <f>B196*4</f>
        <v>32</v>
      </c>
      <c r="D196" s="939">
        <f>B196*2</f>
        <v>16</v>
      </c>
      <c r="E196" s="940"/>
      <c r="F196" s="911">
        <f t="shared" si="5"/>
        <v>192</v>
      </c>
      <c r="G196" s="912">
        <f t="shared" si="6"/>
        <v>8</v>
      </c>
      <c r="H196" s="912">
        <v>1</v>
      </c>
      <c r="I196" s="912">
        <v>0</v>
      </c>
      <c r="J196" s="912">
        <v>4</v>
      </c>
      <c r="K196" s="912">
        <v>0</v>
      </c>
      <c r="L196" s="912">
        <v>2</v>
      </c>
      <c r="M196" s="914">
        <f t="shared" si="7"/>
        <v>7</v>
      </c>
      <c r="N196" s="93" t="str">
        <f t="shared" si="8"/>
        <v>te falta</v>
      </c>
      <c r="O196" s="542"/>
      <c r="P196" s="542"/>
      <c r="Q196" s="542"/>
      <c r="R196" s="542"/>
      <c r="S196" s="542"/>
      <c r="T196" s="542"/>
      <c r="U196" s="542"/>
      <c r="V196" s="542"/>
    </row>
    <row r="197" spans="1:22" ht="21">
      <c r="A197" s="529" t="s">
        <v>48</v>
      </c>
      <c r="B197" s="910">
        <v>7</v>
      </c>
      <c r="C197" s="938">
        <f>B197*15</f>
        <v>105</v>
      </c>
      <c r="D197" s="939">
        <f>B197*2</f>
        <v>14</v>
      </c>
      <c r="E197" s="940">
        <f>B197*0</f>
        <v>0</v>
      </c>
      <c r="F197" s="911">
        <f t="shared" si="5"/>
        <v>476</v>
      </c>
      <c r="G197" s="912">
        <f t="shared" si="6"/>
        <v>7</v>
      </c>
      <c r="H197" s="912">
        <v>1</v>
      </c>
      <c r="I197" s="912">
        <v>1</v>
      </c>
      <c r="J197" s="912">
        <v>2</v>
      </c>
      <c r="K197" s="912">
        <v>1</v>
      </c>
      <c r="L197" s="912">
        <v>1</v>
      </c>
      <c r="M197" s="914">
        <f t="shared" si="7"/>
        <v>6</v>
      </c>
      <c r="N197" s="93" t="str">
        <f t="shared" si="8"/>
        <v>te falta</v>
      </c>
      <c r="O197" s="542"/>
      <c r="P197" s="542"/>
      <c r="Q197" s="542"/>
      <c r="R197" s="542"/>
      <c r="S197" s="542"/>
      <c r="T197" s="542"/>
      <c r="U197" s="542"/>
      <c r="V197" s="542"/>
    </row>
    <row r="198" spans="1:22" ht="21">
      <c r="A198" s="529" t="s">
        <v>66</v>
      </c>
      <c r="B198" s="910">
        <v>1</v>
      </c>
      <c r="C198" s="938">
        <f>B198*20</f>
        <v>20</v>
      </c>
      <c r="D198" s="939">
        <f>B198*8</f>
        <v>8</v>
      </c>
      <c r="E198" s="940">
        <f>B198*1</f>
        <v>1</v>
      </c>
      <c r="F198" s="911">
        <f t="shared" si="5"/>
        <v>121</v>
      </c>
      <c r="G198" s="912">
        <f t="shared" si="6"/>
        <v>1</v>
      </c>
      <c r="H198" s="912">
        <v>0</v>
      </c>
      <c r="I198" s="912">
        <v>0</v>
      </c>
      <c r="J198" s="912">
        <v>1</v>
      </c>
      <c r="K198" s="912">
        <v>0</v>
      </c>
      <c r="L198" s="912">
        <v>0</v>
      </c>
      <c r="M198" s="914">
        <f t="shared" si="7"/>
        <v>1</v>
      </c>
      <c r="N198" s="93" t="str">
        <f t="shared" si="8"/>
        <v>muy bien</v>
      </c>
      <c r="O198" s="542"/>
      <c r="P198" s="542"/>
      <c r="Q198" s="542"/>
      <c r="R198" s="542"/>
      <c r="S198" s="542"/>
      <c r="T198" s="542"/>
      <c r="U198" s="542"/>
      <c r="V198" s="542"/>
    </row>
    <row r="199" spans="1:22" ht="21">
      <c r="A199" s="529" t="s">
        <v>50</v>
      </c>
      <c r="B199" s="910">
        <v>7</v>
      </c>
      <c r="C199" s="938">
        <f>B199*0</f>
        <v>0</v>
      </c>
      <c r="D199" s="939">
        <f>B199*0</f>
        <v>0</v>
      </c>
      <c r="E199" s="940">
        <f>B199*5</f>
        <v>35</v>
      </c>
      <c r="F199" s="911">
        <f t="shared" si="5"/>
        <v>315</v>
      </c>
      <c r="G199" s="912">
        <f t="shared" si="6"/>
        <v>7</v>
      </c>
      <c r="H199" s="912">
        <v>0</v>
      </c>
      <c r="I199" s="912">
        <v>1</v>
      </c>
      <c r="J199" s="912">
        <v>2</v>
      </c>
      <c r="K199" s="912">
        <v>1</v>
      </c>
      <c r="L199" s="912">
        <v>2</v>
      </c>
      <c r="M199" s="914">
        <f t="shared" si="7"/>
        <v>6</v>
      </c>
      <c r="N199" s="93" t="str">
        <f t="shared" si="8"/>
        <v>te falta</v>
      </c>
      <c r="O199" s="542"/>
      <c r="P199" s="542"/>
      <c r="Q199" s="542"/>
      <c r="R199" s="542"/>
      <c r="S199" s="542"/>
      <c r="T199" s="542"/>
      <c r="U199" s="542"/>
      <c r="V199" s="542"/>
    </row>
    <row r="200" spans="1:22" ht="21">
      <c r="A200" s="529" t="s">
        <v>51</v>
      </c>
      <c r="B200" s="910">
        <v>0</v>
      </c>
      <c r="C200" s="938">
        <f>B200*10</f>
        <v>0</v>
      </c>
      <c r="D200" s="939">
        <f>B200*0</f>
        <v>0</v>
      </c>
      <c r="E200" s="940">
        <f>B200*0</f>
        <v>0</v>
      </c>
      <c r="F200" s="915">
        <f t="shared" si="5"/>
        <v>0</v>
      </c>
      <c r="G200" s="912">
        <f t="shared" si="6"/>
        <v>0</v>
      </c>
      <c r="H200" s="916">
        <v>0</v>
      </c>
      <c r="I200" s="916">
        <v>0</v>
      </c>
      <c r="J200" s="916">
        <v>0</v>
      </c>
      <c r="K200" s="916">
        <v>0</v>
      </c>
      <c r="L200" s="916">
        <v>0</v>
      </c>
      <c r="M200" s="914">
        <f t="shared" si="7"/>
        <v>0</v>
      </c>
      <c r="N200" s="93" t="str">
        <f t="shared" si="8"/>
        <v>muy bien</v>
      </c>
      <c r="O200" s="542"/>
      <c r="P200" s="542"/>
      <c r="Q200" s="542"/>
      <c r="R200" s="542"/>
      <c r="S200" s="542"/>
      <c r="T200" s="542"/>
      <c r="U200" s="542"/>
      <c r="V200" s="542"/>
    </row>
    <row r="201" spans="1:22" ht="18.75">
      <c r="A201" s="529"/>
      <c r="B201" s="529"/>
      <c r="C201" s="917">
        <f>SUM(C193:C200)</f>
        <v>256</v>
      </c>
      <c r="D201" s="918">
        <f>SUM(D193:D200)</f>
        <v>84</v>
      </c>
      <c r="E201" s="919">
        <f>SUM(E193:E200)</f>
        <v>62</v>
      </c>
      <c r="F201" s="920">
        <f>SUM(F193:F200)</f>
        <v>1918</v>
      </c>
      <c r="G201" s="594"/>
      <c r="H201" s="129">
        <f>($H$193*129)+($H$194*64)+($H$195*60)+($H$196*24)+($H$197*68)+($H$198*121)+($H$199*45)+($H$200*40)</f>
        <v>281</v>
      </c>
      <c r="I201" s="129">
        <f>(I193*129)+(I194*64)+(I195*60)+(I196*24)+(I197*68)+(I198*121)+(I199*45)+(I200*40)</f>
        <v>173</v>
      </c>
      <c r="J201" s="129">
        <f>(J193*129)+(J194*64)+(J195*60)+(J196*24)+(J197*68)+(J198*121)+(J199*45)+(J200*40)</f>
        <v>695</v>
      </c>
      <c r="K201" s="129">
        <f>(K193*129)+(K194*64)+(K195*60)+(K196*24)+(K197*68)+(K198*121)+(K199*45)+(K200*40)</f>
        <v>173</v>
      </c>
      <c r="L201" s="129">
        <f>(L193*129)+(L194*64)+(L195*60)+(L196*24)+(L197*68)+(L198*121)+(L199*45)+(L200*40)</f>
        <v>395</v>
      </c>
      <c r="M201" s="916">
        <f>SUM(H201:L201)</f>
        <v>1717</v>
      </c>
      <c r="N201" s="196"/>
    </row>
    <row r="202" spans="1:22" ht="18.75">
      <c r="A202" s="529"/>
      <c r="B202" s="529"/>
      <c r="C202" s="529"/>
      <c r="D202" s="529"/>
      <c r="E202" s="529"/>
      <c r="F202" s="529"/>
      <c r="G202" s="912" t="s">
        <v>52</v>
      </c>
      <c r="H202" s="628">
        <f>(H201*100)/F201</f>
        <v>14.65067778936392</v>
      </c>
      <c r="I202" s="628">
        <f>(I201*100)/F201</f>
        <v>9.0198123044838372</v>
      </c>
      <c r="J202" s="628">
        <f>(J201*100)/F201</f>
        <v>36.235662148070908</v>
      </c>
      <c r="K202" s="628">
        <f>(K201*100)/F201</f>
        <v>9.0198123044838372</v>
      </c>
      <c r="L202" s="628">
        <f>(L201*100)/F201</f>
        <v>20.594369134515119</v>
      </c>
      <c r="M202" s="912">
        <f t="shared" si="7"/>
        <v>89.520333680917616</v>
      </c>
      <c r="N202" s="196"/>
    </row>
    <row r="203" spans="1:22" ht="18.75">
      <c r="A203" s="529"/>
      <c r="B203" s="1187" t="s">
        <v>620</v>
      </c>
      <c r="C203" s="1187"/>
      <c r="D203" s="1187"/>
      <c r="E203" s="1187"/>
      <c r="F203" s="1187"/>
      <c r="G203" s="1188"/>
      <c r="H203" s="628">
        <f>(12*H193)+(15*H195)+(4*H196)+(15*H197)+(20*H198)+(10*H200)</f>
        <v>46</v>
      </c>
      <c r="I203" s="628">
        <f>(12*I193)+(15*I195)+(4*I196)+(15*I197)+(20*I198)+(10*I200)</f>
        <v>30</v>
      </c>
      <c r="J203" s="628">
        <f>(12*J193)+(15*J195)+(4*J196)+(15*J197)+(20*J198)+(10*J200)</f>
        <v>81</v>
      </c>
      <c r="K203" s="628">
        <f>(12*K193)+(15*K195)+(4*K196)+(15*K197)+(20*K198)+(10*K200)</f>
        <v>30</v>
      </c>
      <c r="L203" s="628">
        <f>(12*L193)+(15*L195)+(4*L196)+(15*L197)+(20*L198)+(10*L200)</f>
        <v>50</v>
      </c>
      <c r="M203" s="912">
        <f>SUM(H203:L203)</f>
        <v>237</v>
      </c>
      <c r="N203" s="93" t="s">
        <v>621</v>
      </c>
    </row>
    <row r="204" spans="1:22" ht="18.75">
      <c r="A204" s="529"/>
      <c r="B204" s="529"/>
      <c r="C204" s="529"/>
      <c r="D204" s="529"/>
      <c r="E204" s="529"/>
      <c r="F204" s="529"/>
      <c r="G204" s="921"/>
      <c r="H204" s="893"/>
      <c r="I204" s="893"/>
      <c r="J204" s="893"/>
      <c r="K204" s="893"/>
      <c r="L204" s="893"/>
      <c r="M204" s="921"/>
      <c r="N204" s="196"/>
    </row>
    <row r="205" spans="1:22">
      <c r="A205" s="529"/>
      <c r="B205" s="922" t="s">
        <v>52</v>
      </c>
      <c r="C205" s="922" t="s">
        <v>43</v>
      </c>
      <c r="D205" s="922" t="s">
        <v>67</v>
      </c>
      <c r="E205" s="529"/>
      <c r="F205" s="529"/>
      <c r="G205" s="923"/>
      <c r="H205" s="196"/>
      <c r="I205" s="196"/>
      <c r="J205" s="196"/>
      <c r="K205" s="196"/>
      <c r="L205" s="196"/>
      <c r="M205" s="196"/>
      <c r="N205" s="196"/>
    </row>
    <row r="206" spans="1:22">
      <c r="A206" s="924" t="s">
        <v>55</v>
      </c>
      <c r="B206" s="925">
        <f>(C206*100)/F201</f>
        <v>53.388946819603753</v>
      </c>
      <c r="C206" s="529">
        <f>D206*4</f>
        <v>1024</v>
      </c>
      <c r="D206" s="926">
        <f>C201</f>
        <v>256</v>
      </c>
      <c r="E206" s="529"/>
      <c r="F206" s="529"/>
      <c r="G206" s="196"/>
      <c r="H206" s="196"/>
      <c r="I206" s="196"/>
      <c r="J206" s="196"/>
      <c r="K206" s="196"/>
      <c r="L206" s="196"/>
      <c r="M206" s="196"/>
      <c r="N206" s="196"/>
    </row>
    <row r="207" spans="1:22">
      <c r="A207" s="945" t="s">
        <v>29</v>
      </c>
      <c r="B207" s="946">
        <f>(C207*100)/F201</f>
        <v>17.518248175182482</v>
      </c>
      <c r="C207" s="529">
        <f>D207*4</f>
        <v>336</v>
      </c>
      <c r="D207" s="926">
        <f>D201</f>
        <v>84</v>
      </c>
      <c r="E207" s="927" t="s">
        <v>68</v>
      </c>
      <c r="F207" s="927">
        <f>D193+D194</f>
        <v>46</v>
      </c>
      <c r="G207" s="928" t="s">
        <v>69</v>
      </c>
      <c r="H207" s="929">
        <f>(F207*100)/D201</f>
        <v>54.761904761904759</v>
      </c>
      <c r="I207" s="93" t="s">
        <v>52</v>
      </c>
      <c r="J207" s="930" t="s">
        <v>70</v>
      </c>
      <c r="K207" s="929">
        <f>D196+D197+D198</f>
        <v>38</v>
      </c>
      <c r="L207" s="93" t="s">
        <v>69</v>
      </c>
      <c r="M207" s="931">
        <f>(K207*100)/D201</f>
        <v>45.238095238095241</v>
      </c>
      <c r="N207" s="93" t="s">
        <v>52</v>
      </c>
    </row>
    <row r="208" spans="1:22">
      <c r="A208" s="528" t="s">
        <v>56</v>
      </c>
      <c r="B208" s="932">
        <f>(C208*100)/F201</f>
        <v>29.092805005213766</v>
      </c>
      <c r="C208" s="529">
        <f>D208*9</f>
        <v>558</v>
      </c>
      <c r="D208" s="926">
        <f>E201</f>
        <v>62</v>
      </c>
      <c r="E208" s="529"/>
      <c r="F208" s="529"/>
      <c r="G208" s="196"/>
      <c r="H208" s="196"/>
      <c r="I208" s="196"/>
      <c r="J208" s="196"/>
      <c r="K208" s="196"/>
      <c r="L208" s="196"/>
      <c r="M208" s="196"/>
      <c r="N208" s="196"/>
    </row>
    <row r="209" spans="1:14">
      <c r="A209" s="528"/>
      <c r="B209" s="528"/>
      <c r="C209" s="529"/>
      <c r="D209" s="530"/>
      <c r="E209" s="529"/>
      <c r="F209" s="529"/>
      <c r="G209" s="196"/>
      <c r="H209" s="196"/>
      <c r="I209" s="196"/>
      <c r="J209" s="196"/>
      <c r="K209" s="196"/>
      <c r="L209" s="196"/>
      <c r="M209" s="196"/>
      <c r="N209" s="196"/>
    </row>
    <row r="210" spans="1:14" ht="15.75" thickBot="1">
      <c r="A210" s="528"/>
      <c r="B210" s="528"/>
      <c r="C210" s="529"/>
      <c r="D210" s="530"/>
      <c r="E210" s="529"/>
      <c r="F210" s="529"/>
      <c r="G210" s="196"/>
      <c r="H210" s="196"/>
      <c r="I210" s="196"/>
      <c r="J210" s="196"/>
      <c r="K210" s="196"/>
      <c r="L210" s="196"/>
      <c r="M210" s="196"/>
      <c r="N210" s="196"/>
    </row>
    <row r="211" spans="1:14" ht="16.5" thickBot="1">
      <c r="A211" s="1192" t="s">
        <v>399</v>
      </c>
      <c r="B211" s="1193"/>
      <c r="C211" s="1193"/>
      <c r="D211" s="933">
        <f>D201/D12</f>
        <v>1.6690062557930909</v>
      </c>
      <c r="E211" s="934" t="s">
        <v>69</v>
      </c>
      <c r="F211" s="529"/>
      <c r="G211" s="196"/>
      <c r="H211" s="196"/>
      <c r="I211" s="196"/>
      <c r="J211" s="196"/>
      <c r="K211" s="196"/>
      <c r="L211" s="196"/>
      <c r="M211" s="196"/>
      <c r="N211" s="196"/>
    </row>
    <row r="212" spans="1:14" ht="15.75">
      <c r="A212" s="935"/>
      <c r="B212" s="936"/>
      <c r="C212" s="936"/>
      <c r="D212" s="937"/>
      <c r="E212" s="934"/>
      <c r="F212" s="529"/>
      <c r="G212" s="196"/>
      <c r="H212" s="196"/>
      <c r="I212" s="196"/>
      <c r="J212" s="196"/>
      <c r="K212" s="196"/>
      <c r="L212" s="196"/>
      <c r="M212" s="196"/>
      <c r="N212" s="196"/>
    </row>
    <row r="213" spans="1:14" ht="15.75">
      <c r="A213" s="935"/>
      <c r="B213" s="936"/>
      <c r="C213" s="936"/>
      <c r="D213" s="937"/>
      <c r="E213" s="934"/>
      <c r="F213" s="529"/>
      <c r="G213" s="196"/>
      <c r="H213" s="196"/>
      <c r="I213" s="196"/>
      <c r="J213" s="196"/>
      <c r="K213" s="196"/>
      <c r="L213" s="196"/>
      <c r="M213" s="196"/>
      <c r="N213" s="196"/>
    </row>
    <row r="214" spans="1:14" ht="15.75">
      <c r="A214" s="935"/>
      <c r="B214" s="936"/>
      <c r="C214" s="936"/>
      <c r="D214" s="937"/>
      <c r="E214" s="934"/>
      <c r="F214" s="529"/>
      <c r="G214" s="196"/>
      <c r="H214" s="196"/>
      <c r="I214" s="196"/>
      <c r="J214" s="196"/>
      <c r="K214" s="196"/>
      <c r="L214" s="196"/>
      <c r="M214" s="196"/>
      <c r="N214" s="196"/>
    </row>
    <row r="215" spans="1:14" ht="15.75">
      <c r="A215" s="935"/>
      <c r="B215" s="936"/>
      <c r="C215" s="936"/>
      <c r="D215" s="937"/>
      <c r="E215" s="934"/>
      <c r="F215" s="529"/>
      <c r="G215" s="196"/>
      <c r="H215" s="196"/>
      <c r="I215" s="196"/>
      <c r="J215" s="196"/>
      <c r="K215" s="196"/>
      <c r="L215" s="196"/>
      <c r="M215" s="196"/>
      <c r="N215" s="196"/>
    </row>
    <row r="216" spans="1:14" ht="15.75">
      <c r="A216" s="935"/>
      <c r="B216" s="936"/>
      <c r="C216" s="936"/>
      <c r="D216" s="937"/>
      <c r="E216" s="934"/>
      <c r="F216" s="529"/>
      <c r="G216" s="196"/>
      <c r="H216" s="196"/>
      <c r="I216" s="196"/>
      <c r="J216" s="196"/>
      <c r="K216" s="196"/>
      <c r="L216" s="196"/>
      <c r="M216" s="196"/>
      <c r="N216" s="196"/>
    </row>
    <row r="217" spans="1:14" ht="15.75">
      <c r="A217" s="935"/>
      <c r="B217" s="936"/>
      <c r="C217" s="936"/>
      <c r="D217" s="937"/>
      <c r="E217" s="934"/>
      <c r="F217" s="529"/>
      <c r="G217" s="196"/>
      <c r="H217" s="196"/>
      <c r="I217" s="196"/>
      <c r="J217" s="196"/>
      <c r="K217" s="196"/>
      <c r="L217" s="196"/>
      <c r="M217" s="196"/>
      <c r="N217" s="196"/>
    </row>
    <row r="218" spans="1:14" ht="15.75">
      <c r="A218" s="935"/>
      <c r="B218" s="936"/>
      <c r="C218" s="936"/>
      <c r="D218" s="937"/>
      <c r="E218" s="934"/>
      <c r="F218" s="529"/>
      <c r="G218" s="196"/>
      <c r="H218" s="196"/>
      <c r="I218" s="196"/>
      <c r="J218" s="196"/>
      <c r="K218" s="196"/>
      <c r="L218" s="196"/>
      <c r="M218" s="196"/>
      <c r="N218" s="196"/>
    </row>
    <row r="219" spans="1:14" ht="15.75">
      <c r="A219" s="935"/>
      <c r="B219" s="936"/>
      <c r="C219" s="936"/>
      <c r="D219" s="937"/>
      <c r="E219" s="934"/>
      <c r="F219" s="529"/>
      <c r="G219" s="196"/>
      <c r="H219" s="196"/>
      <c r="I219" s="196"/>
      <c r="J219" s="196"/>
      <c r="K219" s="196"/>
      <c r="L219" s="196"/>
      <c r="M219" s="196"/>
      <c r="N219" s="196"/>
    </row>
    <row r="220" spans="1:14" ht="15.75">
      <c r="A220" s="935"/>
      <c r="B220" s="936"/>
      <c r="C220" s="936"/>
      <c r="D220" s="937"/>
      <c r="E220" s="934"/>
      <c r="F220" s="529"/>
      <c r="G220" s="196"/>
      <c r="H220" s="196"/>
      <c r="I220" s="196"/>
      <c r="J220" s="196"/>
      <c r="K220" s="196"/>
      <c r="L220" s="196"/>
      <c r="M220" s="196"/>
      <c r="N220" s="196"/>
    </row>
    <row r="221" spans="1:14" ht="15.75">
      <c r="A221" s="935"/>
      <c r="B221" s="936"/>
      <c r="C221" s="936"/>
      <c r="D221" s="937"/>
      <c r="E221" s="934"/>
      <c r="F221" s="529"/>
      <c r="G221" s="196"/>
      <c r="H221" s="196"/>
      <c r="I221" s="196"/>
      <c r="J221" s="196"/>
      <c r="K221" s="196"/>
      <c r="L221" s="196"/>
      <c r="M221" s="196"/>
      <c r="N221" s="196"/>
    </row>
    <row r="222" spans="1:14" ht="15.75">
      <c r="A222" s="935"/>
      <c r="B222" s="936"/>
      <c r="C222" s="936"/>
      <c r="D222" s="937"/>
      <c r="E222" s="934"/>
      <c r="F222" s="529"/>
      <c r="G222" s="196"/>
      <c r="H222" s="196"/>
      <c r="I222" s="196"/>
      <c r="J222" s="196"/>
      <c r="K222" s="196"/>
      <c r="L222" s="196"/>
      <c r="M222" s="196"/>
      <c r="N222" s="196"/>
    </row>
    <row r="223" spans="1:14" ht="15.75">
      <c r="A223" s="935"/>
      <c r="B223" s="936"/>
      <c r="C223" s="936"/>
      <c r="D223" s="937"/>
      <c r="E223" s="934"/>
      <c r="F223" s="529"/>
      <c r="G223" s="196"/>
      <c r="H223" s="196"/>
      <c r="I223" s="196"/>
      <c r="J223" s="196"/>
      <c r="K223" s="196"/>
      <c r="L223" s="196"/>
      <c r="M223" s="196"/>
      <c r="N223" s="196"/>
    </row>
    <row r="224" spans="1:14" ht="15.75">
      <c r="A224" s="935"/>
      <c r="B224" s="936"/>
      <c r="C224" s="936"/>
      <c r="D224" s="937"/>
      <c r="E224" s="934"/>
      <c r="F224" s="529"/>
      <c r="G224" s="196"/>
      <c r="H224" s="196"/>
      <c r="I224" s="196"/>
      <c r="J224" s="196"/>
      <c r="K224" s="196"/>
      <c r="L224" s="196"/>
      <c r="M224" s="196"/>
      <c r="N224" s="196"/>
    </row>
    <row r="225" spans="1:14" ht="15.75">
      <c r="A225" s="935"/>
      <c r="B225" s="936"/>
      <c r="C225" s="936"/>
      <c r="D225" s="937"/>
      <c r="E225" s="934"/>
      <c r="F225" s="529"/>
      <c r="G225" s="196"/>
      <c r="H225" s="196"/>
      <c r="I225" s="196"/>
      <c r="J225" s="196"/>
      <c r="K225" s="196"/>
      <c r="L225" s="196"/>
      <c r="M225" s="196"/>
      <c r="N225" s="196"/>
    </row>
    <row r="226" spans="1:14" ht="15.75">
      <c r="A226" s="935"/>
      <c r="B226" s="936"/>
      <c r="C226" s="936"/>
      <c r="D226" s="937"/>
      <c r="E226" s="934"/>
      <c r="F226" s="529"/>
      <c r="G226" s="196"/>
      <c r="H226" s="196"/>
      <c r="I226" s="196"/>
      <c r="J226" s="196"/>
      <c r="K226" s="196"/>
      <c r="L226" s="196"/>
      <c r="M226" s="196"/>
      <c r="N226" s="196"/>
    </row>
    <row r="227" spans="1:14">
      <c r="A227" s="528"/>
      <c r="B227" s="528"/>
      <c r="C227" s="529"/>
      <c r="D227" s="530"/>
      <c r="E227" s="529"/>
      <c r="F227" s="529"/>
      <c r="G227" s="196"/>
      <c r="H227" s="196"/>
      <c r="I227" s="196"/>
      <c r="J227" s="196"/>
      <c r="K227" s="196"/>
      <c r="L227" s="196"/>
      <c r="M227" s="196"/>
      <c r="N227" s="196"/>
    </row>
    <row r="228" spans="1:14">
      <c r="A228" s="357" t="s">
        <v>539</v>
      </c>
      <c r="B228" s="1086"/>
      <c r="C228" s="1086"/>
      <c r="D228" s="1086"/>
      <c r="E228" s="1086"/>
      <c r="F228" s="1086"/>
      <c r="G228" s="1086"/>
      <c r="H228" s="1086"/>
      <c r="I228" s="357"/>
      <c r="J228" s="357"/>
      <c r="K228" s="357"/>
      <c r="L228" s="357"/>
      <c r="M228" s="357"/>
      <c r="N228" s="357"/>
    </row>
    <row r="229" spans="1:14">
      <c r="A229" s="357" t="s">
        <v>540</v>
      </c>
      <c r="B229" s="1118" t="s">
        <v>71</v>
      </c>
      <c r="C229" s="1118"/>
      <c r="D229" s="1118"/>
      <c r="E229" s="1118"/>
      <c r="F229" s="1118"/>
      <c r="G229" s="1118"/>
      <c r="H229" s="1118"/>
      <c r="I229" s="1118"/>
      <c r="J229" s="1118"/>
      <c r="K229" s="1118"/>
      <c r="L229" s="357"/>
      <c r="M229" s="357"/>
      <c r="N229" s="357"/>
    </row>
    <row r="230" spans="1:14">
      <c r="A230" s="500"/>
      <c r="B230" s="1087"/>
      <c r="C230" s="1087"/>
      <c r="D230" s="1087"/>
      <c r="E230" s="1087"/>
      <c r="F230" s="1087"/>
      <c r="G230" s="1087"/>
      <c r="H230" s="1087"/>
      <c r="I230" s="1087"/>
      <c r="J230" s="1087"/>
      <c r="K230" s="500"/>
      <c r="L230" s="500"/>
      <c r="M230" s="500"/>
      <c r="N230" s="500"/>
    </row>
    <row r="231" spans="1:14">
      <c r="A231" s="404" t="s">
        <v>2</v>
      </c>
      <c r="B231" s="409" t="str">
        <f>B4</f>
        <v>BONILLA RODRIGUEZ EUGENIA</v>
      </c>
      <c r="C231" s="409"/>
      <c r="D231" s="409"/>
      <c r="E231" s="409"/>
      <c r="F231" s="409"/>
      <c r="G231" s="409"/>
      <c r="H231" s="405"/>
      <c r="I231" s="406"/>
      <c r="J231" s="407"/>
      <c r="K231" s="408"/>
      <c r="L231" s="409" t="s">
        <v>291</v>
      </c>
      <c r="M231" s="1119" t="str">
        <f>M4</f>
        <v>6297 76 0414 1f ORD. 1976</v>
      </c>
      <c r="N231" s="1120"/>
    </row>
    <row r="232" spans="1:14">
      <c r="A232" s="402" t="s">
        <v>3</v>
      </c>
      <c r="B232" s="1121">
        <f ca="1">B5</f>
        <v>43208</v>
      </c>
      <c r="C232" s="1090"/>
      <c r="D232" s="870"/>
      <c r="E232" s="870" t="s">
        <v>4</v>
      </c>
      <c r="F232" s="178">
        <f>D9</f>
        <v>38</v>
      </c>
      <c r="G232" s="870" t="s">
        <v>72</v>
      </c>
      <c r="H232" s="389"/>
      <c r="I232" s="870" t="s">
        <v>73</v>
      </c>
      <c r="J232" s="370" t="s">
        <v>565</v>
      </c>
      <c r="K232" s="1122" t="s">
        <v>74</v>
      </c>
      <c r="L232" s="1122"/>
      <c r="M232" s="509">
        <f>D10</f>
        <v>63</v>
      </c>
      <c r="N232" s="390" t="s">
        <v>75</v>
      </c>
    </row>
    <row r="233" spans="1:14">
      <c r="A233" s="1109" t="s">
        <v>76</v>
      </c>
      <c r="B233" s="1110"/>
      <c r="C233" s="391">
        <f>D17</f>
        <v>1.53</v>
      </c>
      <c r="D233" s="370" t="s">
        <v>292</v>
      </c>
      <c r="E233" s="1111" t="s">
        <v>8</v>
      </c>
      <c r="F233" s="1111"/>
      <c r="G233" s="870">
        <f>D12</f>
        <v>50.329349999999998</v>
      </c>
      <c r="H233" s="370" t="s">
        <v>75</v>
      </c>
      <c r="I233" s="1111" t="s">
        <v>13</v>
      </c>
      <c r="J233" s="1111"/>
      <c r="K233" s="508">
        <f>D18</f>
        <v>26.91272587466359</v>
      </c>
      <c r="L233" s="370"/>
      <c r="M233" s="387" t="s">
        <v>77</v>
      </c>
      <c r="N233" s="392">
        <f ca="1">N233</f>
        <v>0</v>
      </c>
    </row>
    <row r="234" spans="1:14">
      <c r="A234" s="1109" t="s">
        <v>593</v>
      </c>
      <c r="B234" s="1110"/>
      <c r="C234" s="1110"/>
      <c r="D234" s="370"/>
      <c r="E234" s="876"/>
      <c r="F234" s="876"/>
      <c r="G234" s="870"/>
      <c r="H234" s="370"/>
      <c r="I234" s="876"/>
      <c r="J234" s="876"/>
      <c r="K234" s="508"/>
      <c r="L234" s="370"/>
      <c r="M234" s="387"/>
      <c r="N234" s="392"/>
    </row>
    <row r="235" spans="1:14">
      <c r="A235" s="1112" t="s">
        <v>78</v>
      </c>
      <c r="B235" s="1113"/>
      <c r="C235" s="1114" t="s">
        <v>647</v>
      </c>
      <c r="D235" s="1114"/>
      <c r="E235" s="1114"/>
      <c r="F235" s="1114"/>
      <c r="G235" s="1114"/>
      <c r="H235" s="1114"/>
      <c r="I235" s="1115" t="s">
        <v>79</v>
      </c>
      <c r="J235" s="1115"/>
      <c r="K235" s="1115"/>
      <c r="L235" s="870">
        <f>M201</f>
        <v>1717</v>
      </c>
      <c r="M235" s="876" t="s">
        <v>80</v>
      </c>
      <c r="N235" s="393"/>
    </row>
    <row r="236" spans="1:14">
      <c r="A236" s="1108" t="s">
        <v>81</v>
      </c>
      <c r="B236" s="1108"/>
      <c r="C236" s="1108" t="s">
        <v>82</v>
      </c>
      <c r="D236" s="1108"/>
      <c r="E236" s="1108" t="s">
        <v>83</v>
      </c>
      <c r="F236" s="1108"/>
      <c r="G236" s="1108" t="s">
        <v>84</v>
      </c>
      <c r="H236" s="1108"/>
      <c r="I236" s="1108" t="s">
        <v>85</v>
      </c>
      <c r="J236" s="1108"/>
      <c r="K236" s="1108"/>
      <c r="L236" s="1108" t="s">
        <v>86</v>
      </c>
      <c r="M236" s="1108"/>
      <c r="N236" s="371"/>
    </row>
    <row r="237" spans="1:14">
      <c r="A237" s="1105" t="s">
        <v>87</v>
      </c>
      <c r="B237" s="1105"/>
      <c r="C237" s="185">
        <f t="shared" ref="C237:C244" si="9">H193</f>
        <v>1</v>
      </c>
      <c r="D237" s="186" t="s">
        <v>59</v>
      </c>
      <c r="E237" s="185">
        <f t="shared" ref="E237:E244" si="10">I193</f>
        <v>0</v>
      </c>
      <c r="F237" s="187" t="s">
        <v>59</v>
      </c>
      <c r="G237" s="185">
        <f t="shared" ref="G237:G244" si="11">J193</f>
        <v>0</v>
      </c>
      <c r="H237" s="187" t="s">
        <v>59</v>
      </c>
      <c r="I237" s="185">
        <f t="shared" ref="I237:I244" si="12">K193</f>
        <v>0</v>
      </c>
      <c r="J237" s="1107" t="s">
        <v>59</v>
      </c>
      <c r="K237" s="1107"/>
      <c r="L237" s="185">
        <f t="shared" ref="L237:L244" si="13">L193</f>
        <v>1</v>
      </c>
      <c r="M237" s="187" t="s">
        <v>59</v>
      </c>
      <c r="N237" s="371"/>
    </row>
    <row r="238" spans="1:14">
      <c r="A238" s="1105" t="s">
        <v>88</v>
      </c>
      <c r="B238" s="1105"/>
      <c r="C238" s="185">
        <f t="shared" si="9"/>
        <v>0</v>
      </c>
      <c r="D238" s="186" t="s">
        <v>59</v>
      </c>
      <c r="E238" s="185">
        <f t="shared" si="10"/>
        <v>0</v>
      </c>
      <c r="F238" s="187" t="s">
        <v>59</v>
      </c>
      <c r="G238" s="185">
        <f t="shared" si="11"/>
        <v>3</v>
      </c>
      <c r="H238" s="187" t="s">
        <v>59</v>
      </c>
      <c r="I238" s="185">
        <f t="shared" si="12"/>
        <v>0</v>
      </c>
      <c r="J238" s="1107" t="s">
        <v>59</v>
      </c>
      <c r="K238" s="1107"/>
      <c r="L238" s="185">
        <f t="shared" si="13"/>
        <v>0</v>
      </c>
      <c r="M238" s="187" t="s">
        <v>59</v>
      </c>
      <c r="N238" s="371"/>
    </row>
    <row r="239" spans="1:14">
      <c r="A239" s="1105" t="s">
        <v>89</v>
      </c>
      <c r="B239" s="1105"/>
      <c r="C239" s="185">
        <f t="shared" si="9"/>
        <v>1</v>
      </c>
      <c r="D239" s="186" t="s">
        <v>59</v>
      </c>
      <c r="E239" s="185">
        <f t="shared" si="10"/>
        <v>1</v>
      </c>
      <c r="F239" s="187" t="s">
        <v>59</v>
      </c>
      <c r="G239" s="185">
        <f t="shared" si="11"/>
        <v>1</v>
      </c>
      <c r="H239" s="187" t="s">
        <v>59</v>
      </c>
      <c r="I239" s="185">
        <f t="shared" si="12"/>
        <v>1</v>
      </c>
      <c r="J239" s="1107" t="s">
        <v>59</v>
      </c>
      <c r="K239" s="1107"/>
      <c r="L239" s="185">
        <f t="shared" si="13"/>
        <v>1</v>
      </c>
      <c r="M239" s="187" t="s">
        <v>59</v>
      </c>
      <c r="N239" s="371"/>
    </row>
    <row r="240" spans="1:14">
      <c r="A240" s="873" t="s">
        <v>90</v>
      </c>
      <c r="B240" s="873"/>
      <c r="C240" s="185">
        <f t="shared" si="9"/>
        <v>1</v>
      </c>
      <c r="D240" s="186" t="s">
        <v>59</v>
      </c>
      <c r="E240" s="185">
        <f t="shared" si="10"/>
        <v>0</v>
      </c>
      <c r="F240" s="187" t="s">
        <v>59</v>
      </c>
      <c r="G240" s="185">
        <f t="shared" si="11"/>
        <v>4</v>
      </c>
      <c r="H240" s="187" t="s">
        <v>59</v>
      </c>
      <c r="I240" s="185">
        <f t="shared" si="12"/>
        <v>0</v>
      </c>
      <c r="J240" s="1107" t="s">
        <v>59</v>
      </c>
      <c r="K240" s="1107"/>
      <c r="L240" s="185">
        <f t="shared" si="13"/>
        <v>2</v>
      </c>
      <c r="M240" s="187" t="s">
        <v>59</v>
      </c>
      <c r="N240" s="371"/>
    </row>
    <row r="241" spans="1:16">
      <c r="A241" s="1105" t="s">
        <v>91</v>
      </c>
      <c r="B241" s="1105"/>
      <c r="C241" s="185">
        <f t="shared" si="9"/>
        <v>1</v>
      </c>
      <c r="D241" s="186" t="s">
        <v>59</v>
      </c>
      <c r="E241" s="185">
        <f t="shared" si="10"/>
        <v>1</v>
      </c>
      <c r="F241" s="187" t="s">
        <v>59</v>
      </c>
      <c r="G241" s="185">
        <f t="shared" si="11"/>
        <v>2</v>
      </c>
      <c r="H241" s="187" t="s">
        <v>59</v>
      </c>
      <c r="I241" s="185">
        <f t="shared" si="12"/>
        <v>1</v>
      </c>
      <c r="J241" s="1107" t="s">
        <v>59</v>
      </c>
      <c r="K241" s="1107"/>
      <c r="L241" s="185">
        <f t="shared" si="13"/>
        <v>1</v>
      </c>
      <c r="M241" s="187" t="s">
        <v>59</v>
      </c>
      <c r="N241" s="371"/>
    </row>
    <row r="242" spans="1:16">
      <c r="A242" s="1105" t="s">
        <v>92</v>
      </c>
      <c r="B242" s="1105"/>
      <c r="C242" s="185">
        <f t="shared" si="9"/>
        <v>0</v>
      </c>
      <c r="D242" s="186" t="s">
        <v>59</v>
      </c>
      <c r="E242" s="185">
        <f t="shared" si="10"/>
        <v>0</v>
      </c>
      <c r="F242" s="187" t="s">
        <v>59</v>
      </c>
      <c r="G242" s="185">
        <f t="shared" si="11"/>
        <v>1</v>
      </c>
      <c r="H242" s="187" t="s">
        <v>59</v>
      </c>
      <c r="I242" s="185">
        <f t="shared" si="12"/>
        <v>0</v>
      </c>
      <c r="J242" s="1107" t="s">
        <v>59</v>
      </c>
      <c r="K242" s="1107"/>
      <c r="L242" s="185">
        <f t="shared" si="13"/>
        <v>0</v>
      </c>
      <c r="M242" s="187" t="s">
        <v>59</v>
      </c>
      <c r="N242" s="371"/>
    </row>
    <row r="243" spans="1:16">
      <c r="A243" s="1105" t="s">
        <v>93</v>
      </c>
      <c r="B243" s="1105"/>
      <c r="C243" s="185">
        <f t="shared" si="9"/>
        <v>0</v>
      </c>
      <c r="D243" s="186" t="s">
        <v>59</v>
      </c>
      <c r="E243" s="188">
        <f t="shared" si="10"/>
        <v>1</v>
      </c>
      <c r="F243" s="189" t="s">
        <v>59</v>
      </c>
      <c r="G243" s="185">
        <f t="shared" si="11"/>
        <v>2</v>
      </c>
      <c r="H243" s="187" t="s">
        <v>59</v>
      </c>
      <c r="I243" s="185">
        <f t="shared" si="12"/>
        <v>1</v>
      </c>
      <c r="J243" s="1107" t="s">
        <v>59</v>
      </c>
      <c r="K243" s="1107"/>
      <c r="L243" s="185">
        <f t="shared" si="13"/>
        <v>2</v>
      </c>
      <c r="M243" s="187" t="s">
        <v>59</v>
      </c>
      <c r="N243" s="371"/>
    </row>
    <row r="244" spans="1:16">
      <c r="A244" s="1105" t="s">
        <v>94</v>
      </c>
      <c r="B244" s="1105"/>
      <c r="C244" s="190">
        <f t="shared" si="9"/>
        <v>0</v>
      </c>
      <c r="D244" s="191" t="s">
        <v>59</v>
      </c>
      <c r="E244" s="185">
        <f t="shared" si="10"/>
        <v>0</v>
      </c>
      <c r="F244" s="187" t="s">
        <v>59</v>
      </c>
      <c r="G244" s="190">
        <f t="shared" si="11"/>
        <v>0</v>
      </c>
      <c r="H244" s="192" t="s">
        <v>59</v>
      </c>
      <c r="I244" s="190">
        <f t="shared" si="12"/>
        <v>0</v>
      </c>
      <c r="J244" s="1106" t="s">
        <v>59</v>
      </c>
      <c r="K244" s="1106"/>
      <c r="L244" s="190">
        <f t="shared" si="13"/>
        <v>0</v>
      </c>
      <c r="M244" s="192" t="s">
        <v>59</v>
      </c>
      <c r="N244" s="371"/>
    </row>
    <row r="245" spans="1:16">
      <c r="A245" s="403" t="s">
        <v>95</v>
      </c>
      <c r="B245" s="370"/>
      <c r="C245" s="370"/>
      <c r="D245" s="370"/>
      <c r="E245" s="370"/>
      <c r="F245" s="370"/>
      <c r="G245" s="395" t="s">
        <v>97</v>
      </c>
      <c r="H245" s="395"/>
      <c r="I245" s="395"/>
      <c r="J245" s="395"/>
      <c r="K245" s="395"/>
      <c r="L245" s="395"/>
      <c r="M245" s="370"/>
      <c r="N245" s="371"/>
    </row>
    <row r="246" spans="1:16">
      <c r="A246" s="381" t="s">
        <v>96</v>
      </c>
      <c r="B246" s="370"/>
      <c r="C246" s="370"/>
      <c r="D246" s="370"/>
      <c r="E246" s="370"/>
      <c r="F246" s="370"/>
      <c r="G246" s="370"/>
      <c r="H246" s="866"/>
      <c r="I246" s="1075" t="s">
        <v>254</v>
      </c>
      <c r="J246" s="1075"/>
      <c r="K246" s="866"/>
      <c r="L246" s="370"/>
      <c r="M246" s="865" t="s">
        <v>255</v>
      </c>
      <c r="N246" s="371"/>
    </row>
    <row r="247" spans="1:16">
      <c r="A247" s="381" t="s">
        <v>98</v>
      </c>
      <c r="B247" s="370"/>
      <c r="C247" s="370"/>
      <c r="D247" s="370"/>
      <c r="E247" s="370" t="s">
        <v>241</v>
      </c>
      <c r="F247" s="370"/>
      <c r="G247" s="370"/>
      <c r="H247" s="864"/>
      <c r="I247" s="864" t="s">
        <v>256</v>
      </c>
      <c r="J247" s="864"/>
      <c r="K247" s="864"/>
      <c r="L247" s="370"/>
      <c r="M247" s="865" t="s">
        <v>257</v>
      </c>
      <c r="N247" s="393"/>
      <c r="P247" s="31"/>
    </row>
    <row r="248" spans="1:16">
      <c r="A248" s="381" t="s">
        <v>99</v>
      </c>
      <c r="B248" s="370"/>
      <c r="C248" s="370"/>
      <c r="D248" s="370"/>
      <c r="E248" s="864" t="s">
        <v>242</v>
      </c>
      <c r="F248" s="370"/>
      <c r="G248" s="866"/>
      <c r="H248" s="864"/>
      <c r="I248" s="864" t="s">
        <v>258</v>
      </c>
      <c r="J248" s="864"/>
      <c r="K248" s="864"/>
      <c r="L248" s="866"/>
      <c r="M248" s="865" t="s">
        <v>259</v>
      </c>
      <c r="N248" s="396"/>
    </row>
    <row r="249" spans="1:16">
      <c r="A249" s="381"/>
      <c r="B249" s="370"/>
      <c r="C249" s="370"/>
      <c r="D249" s="370"/>
      <c r="E249" s="370"/>
      <c r="F249" s="370"/>
      <c r="G249" s="866"/>
      <c r="H249" s="864"/>
      <c r="I249" s="864" t="s">
        <v>260</v>
      </c>
      <c r="J249" s="864"/>
      <c r="K249" s="864"/>
      <c r="L249" s="866"/>
      <c r="M249" s="865" t="s">
        <v>259</v>
      </c>
      <c r="N249" s="396"/>
      <c r="O249" s="216" t="s">
        <v>100</v>
      </c>
    </row>
    <row r="250" spans="1:16">
      <c r="A250" s="403" t="s">
        <v>101</v>
      </c>
      <c r="B250" s="370"/>
      <c r="C250" s="370"/>
      <c r="D250" s="397"/>
      <c r="E250" s="397"/>
      <c r="F250" s="397"/>
      <c r="G250" s="86"/>
      <c r="H250" s="864"/>
      <c r="I250" s="864" t="s">
        <v>261</v>
      </c>
      <c r="J250" s="864"/>
      <c r="K250" s="864"/>
      <c r="L250" s="86"/>
      <c r="M250" s="859" t="s">
        <v>241</v>
      </c>
      <c r="N250" s="371"/>
    </row>
    <row r="251" spans="1:16">
      <c r="A251" s="1078" t="s">
        <v>243</v>
      </c>
      <c r="B251" s="1079"/>
      <c r="C251" s="370"/>
      <c r="D251" s="397">
        <v>2</v>
      </c>
      <c r="E251" s="397" t="s">
        <v>238</v>
      </c>
      <c r="F251" s="375"/>
      <c r="G251" s="866"/>
      <c r="H251" s="864"/>
      <c r="I251" s="864" t="s">
        <v>262</v>
      </c>
      <c r="J251" s="864"/>
      <c r="K251" s="864"/>
      <c r="L251" s="866"/>
      <c r="M251" s="865" t="s">
        <v>263</v>
      </c>
      <c r="N251" s="398"/>
    </row>
    <row r="252" spans="1:16">
      <c r="A252" s="1078" t="s">
        <v>244</v>
      </c>
      <c r="B252" s="1079"/>
      <c r="C252" s="370"/>
      <c r="D252" s="397">
        <v>30</v>
      </c>
      <c r="E252" s="397" t="s">
        <v>235</v>
      </c>
      <c r="F252" s="865"/>
      <c r="G252" s="866"/>
      <c r="H252" s="864"/>
      <c r="I252" s="864" t="s">
        <v>264</v>
      </c>
      <c r="J252" s="864"/>
      <c r="K252" s="864"/>
      <c r="L252" s="866"/>
      <c r="M252" s="865" t="s">
        <v>255</v>
      </c>
      <c r="N252" s="393"/>
    </row>
    <row r="253" spans="1:16">
      <c r="A253" s="381" t="s">
        <v>245</v>
      </c>
      <c r="B253" s="370"/>
      <c r="C253" s="370"/>
      <c r="D253" s="397">
        <v>30</v>
      </c>
      <c r="E253" s="397" t="s">
        <v>235</v>
      </c>
      <c r="F253" s="865"/>
      <c r="G253" s="866"/>
      <c r="H253" s="864"/>
      <c r="I253" s="864" t="s">
        <v>265</v>
      </c>
      <c r="J253" s="864"/>
      <c r="K253" s="864"/>
      <c r="L253" s="866"/>
      <c r="M253" s="865" t="s">
        <v>259</v>
      </c>
      <c r="N253" s="393"/>
    </row>
    <row r="254" spans="1:16">
      <c r="A254" s="1078" t="s">
        <v>246</v>
      </c>
      <c r="B254" s="1079"/>
      <c r="C254" s="370"/>
      <c r="D254" s="397">
        <v>45</v>
      </c>
      <c r="E254" s="397" t="s">
        <v>235</v>
      </c>
      <c r="F254" s="865"/>
      <c r="G254" s="370"/>
      <c r="H254" s="864"/>
      <c r="I254" s="864" t="s">
        <v>266</v>
      </c>
      <c r="J254" s="864"/>
      <c r="K254" s="864"/>
      <c r="L254" s="370"/>
      <c r="M254" s="865" t="s">
        <v>259</v>
      </c>
      <c r="N254" s="371"/>
    </row>
    <row r="255" spans="1:16">
      <c r="A255" s="1074" t="s">
        <v>102</v>
      </c>
      <c r="B255" s="1075"/>
      <c r="C255" s="370"/>
      <c r="D255" s="397">
        <v>30</v>
      </c>
      <c r="E255" s="397" t="s">
        <v>235</v>
      </c>
      <c r="F255" s="865"/>
      <c r="G255" s="370"/>
      <c r="H255" s="864"/>
      <c r="I255" s="864" t="s">
        <v>267</v>
      </c>
      <c r="J255" s="864"/>
      <c r="K255" s="864"/>
      <c r="L255" s="370"/>
      <c r="M255" s="865" t="s">
        <v>268</v>
      </c>
      <c r="N255" s="371"/>
    </row>
    <row r="256" spans="1:16">
      <c r="A256" s="1074" t="s">
        <v>104</v>
      </c>
      <c r="B256" s="1075"/>
      <c r="C256" s="370"/>
      <c r="D256" s="397">
        <v>30</v>
      </c>
      <c r="E256" s="397" t="s">
        <v>235</v>
      </c>
      <c r="F256" s="865"/>
      <c r="G256" s="370"/>
      <c r="H256" s="864"/>
      <c r="I256" s="864" t="s">
        <v>269</v>
      </c>
      <c r="J256" s="864"/>
      <c r="K256" s="864"/>
      <c r="L256" s="370"/>
      <c r="M256" s="865" t="s">
        <v>270</v>
      </c>
      <c r="N256" s="371"/>
    </row>
    <row r="257" spans="1:14">
      <c r="A257" s="1074" t="s">
        <v>106</v>
      </c>
      <c r="B257" s="1075"/>
      <c r="C257" s="370"/>
      <c r="D257" s="397">
        <v>30</v>
      </c>
      <c r="E257" s="397" t="s">
        <v>235</v>
      </c>
      <c r="F257" s="865"/>
      <c r="G257" s="370"/>
      <c r="H257" s="864"/>
      <c r="I257" s="864" t="s">
        <v>272</v>
      </c>
      <c r="J257" s="864"/>
      <c r="K257" s="864"/>
      <c r="L257" s="370"/>
      <c r="M257" s="865" t="s">
        <v>271</v>
      </c>
      <c r="N257" s="371"/>
    </row>
    <row r="258" spans="1:14">
      <c r="A258" s="1102" t="s">
        <v>108</v>
      </c>
      <c r="B258" s="1103"/>
      <c r="C258" s="1103"/>
      <c r="D258" s="506">
        <v>1</v>
      </c>
      <c r="E258" s="506" t="s">
        <v>236</v>
      </c>
      <c r="F258" s="506"/>
      <c r="G258" s="370"/>
      <c r="H258" s="864"/>
      <c r="I258" s="864" t="s">
        <v>273</v>
      </c>
      <c r="J258" s="864"/>
      <c r="K258" s="864"/>
      <c r="L258" s="370"/>
      <c r="M258" s="865" t="s">
        <v>274</v>
      </c>
      <c r="N258" s="371"/>
    </row>
    <row r="259" spans="1:14">
      <c r="A259" s="1102" t="s">
        <v>110</v>
      </c>
      <c r="B259" s="1103"/>
      <c r="C259" s="505"/>
      <c r="D259" s="506">
        <v>35</v>
      </c>
      <c r="E259" s="506" t="s">
        <v>235</v>
      </c>
      <c r="F259" s="506"/>
      <c r="G259" s="370"/>
      <c r="H259" s="864"/>
      <c r="I259" s="864" t="s">
        <v>275</v>
      </c>
      <c r="J259" s="864"/>
      <c r="K259" s="864"/>
      <c r="L259" s="370"/>
      <c r="M259" s="865" t="s">
        <v>277</v>
      </c>
      <c r="N259" s="371"/>
    </row>
    <row r="260" spans="1:14">
      <c r="A260" s="381" t="s">
        <v>112</v>
      </c>
      <c r="B260" s="370"/>
      <c r="C260" s="370"/>
      <c r="D260" s="397">
        <v>30</v>
      </c>
      <c r="E260" s="397" t="s">
        <v>235</v>
      </c>
      <c r="F260" s="397"/>
      <c r="G260" s="370"/>
      <c r="H260" s="864"/>
      <c r="I260" s="864" t="s">
        <v>276</v>
      </c>
      <c r="J260" s="864"/>
      <c r="K260" s="864"/>
      <c r="L260" s="370"/>
      <c r="M260" s="865" t="s">
        <v>241</v>
      </c>
      <c r="N260" s="371"/>
    </row>
    <row r="261" spans="1:14">
      <c r="A261" s="507" t="s">
        <v>114</v>
      </c>
      <c r="B261" s="505"/>
      <c r="C261" s="505"/>
      <c r="D261" s="506">
        <v>30</v>
      </c>
      <c r="E261" s="506" t="s">
        <v>235</v>
      </c>
      <c r="F261" s="506"/>
      <c r="G261" s="370"/>
      <c r="H261" s="864"/>
      <c r="I261" s="864" t="s">
        <v>278</v>
      </c>
      <c r="J261" s="864"/>
      <c r="K261" s="864"/>
      <c r="L261" s="370"/>
      <c r="M261" s="865" t="s">
        <v>274</v>
      </c>
      <c r="N261" s="371"/>
    </row>
    <row r="262" spans="1:14">
      <c r="A262" s="403" t="s">
        <v>117</v>
      </c>
      <c r="B262" s="370"/>
      <c r="C262" s="370"/>
      <c r="D262" s="370"/>
      <c r="E262" s="370"/>
      <c r="F262" s="370"/>
      <c r="G262" s="370"/>
      <c r="H262" s="864"/>
      <c r="I262" s="864" t="s">
        <v>279</v>
      </c>
      <c r="J262" s="864"/>
      <c r="K262" s="864"/>
      <c r="L262" s="370"/>
      <c r="M262" s="865" t="s">
        <v>263</v>
      </c>
      <c r="N262" s="371"/>
    </row>
    <row r="263" spans="1:14">
      <c r="A263" s="381" t="s">
        <v>119</v>
      </c>
      <c r="B263" s="370"/>
      <c r="C263" s="399"/>
      <c r="D263" s="401">
        <v>1</v>
      </c>
      <c r="E263" s="865" t="s">
        <v>247</v>
      </c>
      <c r="F263" s="865"/>
      <c r="G263" s="370"/>
      <c r="H263" s="864"/>
      <c r="I263" s="864" t="s">
        <v>280</v>
      </c>
      <c r="J263" s="864"/>
      <c r="K263" s="864"/>
      <c r="L263" s="370"/>
      <c r="M263" s="865" t="s">
        <v>263</v>
      </c>
      <c r="N263" s="371"/>
    </row>
    <row r="264" spans="1:14">
      <c r="A264" s="381" t="s">
        <v>121</v>
      </c>
      <c r="B264" s="370"/>
      <c r="C264" s="399"/>
      <c r="D264" s="400">
        <v>2</v>
      </c>
      <c r="E264" s="865" t="s">
        <v>238</v>
      </c>
      <c r="F264" s="865"/>
      <c r="G264" s="865"/>
      <c r="H264" s="864"/>
      <c r="I264" s="864" t="s">
        <v>281</v>
      </c>
      <c r="J264" s="864"/>
      <c r="K264" s="864"/>
      <c r="L264" s="370"/>
      <c r="M264" s="865" t="s">
        <v>263</v>
      </c>
      <c r="N264" s="371"/>
    </row>
    <row r="265" spans="1:14">
      <c r="A265" s="381" t="s">
        <v>123</v>
      </c>
      <c r="B265" s="370"/>
      <c r="C265" s="399"/>
      <c r="D265" s="400">
        <v>4</v>
      </c>
      <c r="E265" s="865" t="s">
        <v>238</v>
      </c>
      <c r="F265" s="865"/>
      <c r="G265" s="865"/>
      <c r="H265" s="864"/>
      <c r="I265" s="864" t="s">
        <v>282</v>
      </c>
      <c r="J265" s="864"/>
      <c r="K265" s="864"/>
      <c r="L265" s="370"/>
      <c r="M265" s="865" t="s">
        <v>263</v>
      </c>
      <c r="N265" s="371"/>
    </row>
    <row r="266" spans="1:14">
      <c r="A266" s="381" t="s">
        <v>125</v>
      </c>
      <c r="B266" s="370"/>
      <c r="C266" s="399"/>
      <c r="D266" s="401">
        <v>0.5</v>
      </c>
      <c r="E266" s="872" t="s">
        <v>295</v>
      </c>
      <c r="F266" s="872"/>
      <c r="G266" s="865"/>
      <c r="H266" s="864"/>
      <c r="I266" s="864" t="s">
        <v>283</v>
      </c>
      <c r="J266" s="864"/>
      <c r="K266" s="864"/>
      <c r="L266" s="370"/>
      <c r="M266" s="865" t="s">
        <v>270</v>
      </c>
      <c r="N266" s="371"/>
    </row>
    <row r="267" spans="1:14">
      <c r="A267" s="381" t="s">
        <v>127</v>
      </c>
      <c r="B267" s="370"/>
      <c r="C267" s="399"/>
      <c r="D267" s="401">
        <v>1.5</v>
      </c>
      <c r="E267" s="890" t="s">
        <v>238</v>
      </c>
      <c r="F267" s="890"/>
      <c r="G267" s="865"/>
      <c r="H267" s="864"/>
      <c r="I267" s="864" t="s">
        <v>284</v>
      </c>
      <c r="J267" s="864"/>
      <c r="K267" s="864"/>
      <c r="L267" s="370"/>
      <c r="M267" s="865" t="s">
        <v>271</v>
      </c>
      <c r="N267" s="371"/>
    </row>
    <row r="268" spans="1:14">
      <c r="A268" s="381" t="s">
        <v>129</v>
      </c>
      <c r="B268" s="370"/>
      <c r="C268" s="399"/>
      <c r="D268" s="400">
        <v>1</v>
      </c>
      <c r="E268" s="865" t="s">
        <v>248</v>
      </c>
      <c r="F268" s="865"/>
      <c r="G268" s="865"/>
      <c r="H268" s="864"/>
      <c r="I268" s="864" t="s">
        <v>285</v>
      </c>
      <c r="J268" s="864"/>
      <c r="K268" s="864"/>
      <c r="L268" s="370"/>
      <c r="M268" s="865" t="s">
        <v>271</v>
      </c>
      <c r="N268" s="371"/>
    </row>
    <row r="269" spans="1:14">
      <c r="A269" s="381" t="s">
        <v>131</v>
      </c>
      <c r="B269" s="370"/>
      <c r="C269" s="399"/>
      <c r="D269" s="400">
        <v>3</v>
      </c>
      <c r="E269" s="865" t="s">
        <v>296</v>
      </c>
      <c r="F269" s="865"/>
      <c r="G269" s="865"/>
      <c r="H269" s="864"/>
      <c r="I269" s="864" t="s">
        <v>286</v>
      </c>
      <c r="J269" s="864"/>
      <c r="K269" s="864"/>
      <c r="L269" s="370"/>
      <c r="M269" s="865" t="s">
        <v>271</v>
      </c>
      <c r="N269" s="371"/>
    </row>
    <row r="270" spans="1:14">
      <c r="A270" s="381" t="s">
        <v>133</v>
      </c>
      <c r="B270" s="370"/>
      <c r="C270" s="399"/>
      <c r="D270" s="400">
        <v>3</v>
      </c>
      <c r="E270" s="865" t="s">
        <v>238</v>
      </c>
      <c r="F270" s="865"/>
      <c r="G270" s="865"/>
      <c r="H270" s="864"/>
      <c r="I270" s="864" t="s">
        <v>287</v>
      </c>
      <c r="J270" s="864"/>
      <c r="K270" s="864"/>
      <c r="L270" s="370"/>
      <c r="M270" s="865" t="s">
        <v>271</v>
      </c>
      <c r="N270" s="371"/>
    </row>
    <row r="271" spans="1:14">
      <c r="A271" s="381" t="s">
        <v>135</v>
      </c>
      <c r="B271" s="370"/>
      <c r="C271" s="399"/>
      <c r="D271" s="400">
        <v>1</v>
      </c>
      <c r="E271" s="865" t="s">
        <v>248</v>
      </c>
      <c r="F271" s="865"/>
      <c r="G271" s="865"/>
      <c r="H271" s="864"/>
      <c r="I271" s="864" t="s">
        <v>288</v>
      </c>
      <c r="J271" s="864"/>
      <c r="K271" s="864"/>
      <c r="L271" s="370"/>
      <c r="M271" s="865" t="s">
        <v>271</v>
      </c>
      <c r="N271" s="371"/>
    </row>
    <row r="272" spans="1:14">
      <c r="A272" s="381" t="s">
        <v>137</v>
      </c>
      <c r="B272" s="370"/>
      <c r="C272" s="399"/>
      <c r="D272" s="401">
        <v>1.5</v>
      </c>
      <c r="E272" s="890" t="s">
        <v>238</v>
      </c>
      <c r="F272" s="890"/>
      <c r="G272" s="865"/>
      <c r="H272" s="864"/>
      <c r="I272" s="864" t="s">
        <v>289</v>
      </c>
      <c r="J272" s="864"/>
      <c r="K272" s="864"/>
      <c r="L272" s="370"/>
      <c r="M272" s="865" t="s">
        <v>271</v>
      </c>
      <c r="N272" s="371"/>
    </row>
    <row r="273" spans="1:14">
      <c r="A273" s="381" t="s">
        <v>139</v>
      </c>
      <c r="B273" s="370"/>
      <c r="C273" s="399"/>
      <c r="D273" s="400">
        <v>1</v>
      </c>
      <c r="E273" s="1076" t="s">
        <v>248</v>
      </c>
      <c r="F273" s="1076"/>
      <c r="G273" s="865"/>
      <c r="H273" s="864"/>
      <c r="I273" s="1075" t="s">
        <v>290</v>
      </c>
      <c r="J273" s="1075"/>
      <c r="K273" s="1075"/>
      <c r="L273" s="370"/>
      <c r="M273" s="865" t="s">
        <v>257</v>
      </c>
      <c r="N273" s="371"/>
    </row>
    <row r="274" spans="1:14">
      <c r="A274" s="381" t="s">
        <v>141</v>
      </c>
      <c r="B274" s="370"/>
      <c r="C274" s="399"/>
      <c r="D274" s="401">
        <v>0.5</v>
      </c>
      <c r="E274" s="1076" t="s">
        <v>295</v>
      </c>
      <c r="F274" s="1076"/>
      <c r="G274" s="891"/>
      <c r="H274" s="407"/>
      <c r="I274" s="407"/>
      <c r="J274" s="407"/>
      <c r="K274" s="407"/>
      <c r="L274" s="407"/>
      <c r="M274" s="407"/>
      <c r="N274" s="422"/>
    </row>
    <row r="275" spans="1:14">
      <c r="A275" s="381" t="s">
        <v>142</v>
      </c>
      <c r="B275" s="370"/>
      <c r="C275" s="417">
        <v>0</v>
      </c>
      <c r="D275" s="400">
        <v>2</v>
      </c>
      <c r="E275" s="1076" t="s">
        <v>238</v>
      </c>
      <c r="F275" s="1076"/>
      <c r="G275" s="865"/>
      <c r="H275" s="370"/>
      <c r="I275" s="370"/>
      <c r="J275" s="370"/>
      <c r="K275" s="370"/>
      <c r="L275" s="370"/>
      <c r="M275" s="370"/>
      <c r="N275" s="371"/>
    </row>
    <row r="276" spans="1:14">
      <c r="A276" s="381" t="s">
        <v>143</v>
      </c>
      <c r="B276" s="370"/>
      <c r="C276" s="399"/>
      <c r="D276" s="400">
        <v>3</v>
      </c>
      <c r="E276" s="1076" t="s">
        <v>238</v>
      </c>
      <c r="F276" s="1076"/>
      <c r="G276" s="865"/>
      <c r="H276" s="370"/>
      <c r="I276" s="370"/>
      <c r="J276" s="370"/>
      <c r="K276" s="370"/>
      <c r="L276" s="370"/>
      <c r="M276" s="370"/>
      <c r="N276" s="371"/>
    </row>
    <row r="277" spans="1:14">
      <c r="A277" s="381" t="s">
        <v>144</v>
      </c>
      <c r="B277" s="370"/>
      <c r="C277" s="399"/>
      <c r="D277" s="400">
        <v>2</v>
      </c>
      <c r="E277" s="1076" t="s">
        <v>298</v>
      </c>
      <c r="F277" s="1076"/>
      <c r="G277" s="865"/>
      <c r="H277" s="370"/>
      <c r="I277" s="370"/>
      <c r="J277" s="370"/>
      <c r="K277" s="370"/>
      <c r="L277" s="370"/>
      <c r="M277" s="370"/>
      <c r="N277" s="371"/>
    </row>
    <row r="278" spans="1:14">
      <c r="A278" s="381" t="s">
        <v>145</v>
      </c>
      <c r="B278" s="370"/>
      <c r="C278" s="399"/>
      <c r="D278" s="401">
        <v>0.5</v>
      </c>
      <c r="E278" s="1104" t="s">
        <v>295</v>
      </c>
      <c r="F278" s="1104"/>
      <c r="G278" s="865"/>
      <c r="H278" s="370"/>
      <c r="I278" s="370"/>
      <c r="J278" s="370"/>
      <c r="K278" s="370"/>
      <c r="L278" s="370"/>
      <c r="M278" s="370"/>
      <c r="N278" s="371"/>
    </row>
    <row r="279" spans="1:14">
      <c r="A279" s="381" t="s">
        <v>146</v>
      </c>
      <c r="B279" s="370"/>
      <c r="C279" s="399"/>
      <c r="D279" s="400">
        <v>1</v>
      </c>
      <c r="E279" s="1076" t="s">
        <v>299</v>
      </c>
      <c r="F279" s="1076"/>
      <c r="G279" s="1076"/>
      <c r="H279" s="370"/>
      <c r="I279" s="394"/>
      <c r="J279" s="370"/>
      <c r="K279" s="370"/>
      <c r="L279" s="370"/>
      <c r="M279" s="370"/>
      <c r="N279" s="371"/>
    </row>
    <row r="280" spans="1:14">
      <c r="A280" s="381" t="s">
        <v>147</v>
      </c>
      <c r="B280" s="370"/>
      <c r="C280" s="399"/>
      <c r="D280" s="401">
        <v>1.5</v>
      </c>
      <c r="E280" s="865" t="s">
        <v>248</v>
      </c>
      <c r="F280" s="865"/>
      <c r="G280" s="865"/>
      <c r="H280" s="370"/>
      <c r="I280" s="370"/>
      <c r="J280" s="370"/>
      <c r="K280" s="370"/>
      <c r="L280" s="370"/>
      <c r="M280" s="370"/>
      <c r="N280" s="371"/>
    </row>
    <row r="281" spans="1:14">
      <c r="A281" s="381" t="s">
        <v>148</v>
      </c>
      <c r="B281" s="370"/>
      <c r="C281" s="399"/>
      <c r="D281" s="400">
        <v>1</v>
      </c>
      <c r="E281" s="1076" t="s">
        <v>300</v>
      </c>
      <c r="F281" s="1076"/>
      <c r="G281" s="865"/>
      <c r="H281" s="370"/>
      <c r="I281" s="394" t="s">
        <v>103</v>
      </c>
      <c r="J281" s="370"/>
      <c r="K281" s="370"/>
      <c r="L281" s="370"/>
      <c r="M281" s="370"/>
      <c r="N281" s="371"/>
    </row>
    <row r="282" spans="1:14">
      <c r="A282" s="381" t="s">
        <v>149</v>
      </c>
      <c r="B282" s="370"/>
      <c r="C282" s="399"/>
      <c r="D282" s="400">
        <v>1</v>
      </c>
      <c r="E282" s="1076" t="s">
        <v>248</v>
      </c>
      <c r="F282" s="1076"/>
      <c r="G282" s="865"/>
      <c r="H282" s="370"/>
      <c r="I282" s="370" t="s">
        <v>105</v>
      </c>
      <c r="J282" s="370"/>
      <c r="K282" s="370"/>
      <c r="L282" s="370"/>
      <c r="M282" s="401">
        <v>0.5</v>
      </c>
      <c r="N282" s="423" t="s">
        <v>295</v>
      </c>
    </row>
    <row r="283" spans="1:14">
      <c r="A283" s="381" t="s">
        <v>150</v>
      </c>
      <c r="B283" s="370"/>
      <c r="C283" s="399"/>
      <c r="D283" s="400">
        <v>1</v>
      </c>
      <c r="E283" s="1076" t="s">
        <v>301</v>
      </c>
      <c r="F283" s="1076"/>
      <c r="G283" s="865"/>
      <c r="H283" s="370"/>
      <c r="I283" s="370" t="s">
        <v>107</v>
      </c>
      <c r="J283" s="370"/>
      <c r="K283" s="370"/>
      <c r="L283" s="370"/>
      <c r="M283" s="400">
        <v>1</v>
      </c>
      <c r="N283" s="423" t="s">
        <v>302</v>
      </c>
    </row>
    <row r="284" spans="1:14">
      <c r="A284" s="381" t="s">
        <v>151</v>
      </c>
      <c r="B284" s="370"/>
      <c r="C284" s="399"/>
      <c r="D284" s="400">
        <v>1</v>
      </c>
      <c r="E284" s="1076" t="s">
        <v>248</v>
      </c>
      <c r="F284" s="1076"/>
      <c r="G284" s="865"/>
      <c r="H284" s="370"/>
      <c r="I284" s="370" t="s">
        <v>109</v>
      </c>
      <c r="J284" s="370"/>
      <c r="K284" s="370"/>
      <c r="L284" s="370"/>
      <c r="M284" s="400">
        <v>1</v>
      </c>
      <c r="N284" s="423" t="s">
        <v>295</v>
      </c>
    </row>
    <row r="285" spans="1:14">
      <c r="A285" s="381" t="s">
        <v>152</v>
      </c>
      <c r="B285" s="370"/>
      <c r="C285" s="399"/>
      <c r="D285" s="400">
        <v>10</v>
      </c>
      <c r="E285" s="1076" t="s">
        <v>238</v>
      </c>
      <c r="F285" s="1076"/>
      <c r="G285" s="865"/>
      <c r="H285" s="370"/>
      <c r="I285" s="370" t="s">
        <v>111</v>
      </c>
      <c r="J285" s="370"/>
      <c r="K285" s="370"/>
      <c r="L285" s="370"/>
      <c r="M285" s="400"/>
      <c r="N285" s="423"/>
    </row>
    <row r="286" spans="1:14">
      <c r="A286" s="381" t="s">
        <v>153</v>
      </c>
      <c r="B286" s="370"/>
      <c r="C286" s="399"/>
      <c r="D286" s="400">
        <v>1</v>
      </c>
      <c r="E286" s="1076" t="s">
        <v>301</v>
      </c>
      <c r="F286" s="1076"/>
      <c r="G286" s="865"/>
      <c r="H286" s="370"/>
      <c r="I286" s="370" t="s">
        <v>113</v>
      </c>
      <c r="J286" s="370"/>
      <c r="K286" s="370"/>
      <c r="L286" s="370"/>
      <c r="M286" s="400"/>
      <c r="N286" s="423"/>
    </row>
    <row r="287" spans="1:14" ht="17.25">
      <c r="A287" s="381"/>
      <c r="B287" s="370"/>
      <c r="C287" s="399"/>
      <c r="D287" s="203"/>
      <c r="E287" s="204"/>
      <c r="F287" s="400"/>
      <c r="G287" s="397"/>
      <c r="H287" s="370"/>
      <c r="I287" s="370" t="s">
        <v>115</v>
      </c>
      <c r="J287" s="376" t="s">
        <v>251</v>
      </c>
      <c r="K287" s="376"/>
      <c r="L287" s="370"/>
      <c r="M287" s="401">
        <v>0.33333333333333331</v>
      </c>
      <c r="N287" s="423" t="s">
        <v>248</v>
      </c>
    </row>
    <row r="288" spans="1:14">
      <c r="A288" s="381"/>
      <c r="B288" s="370"/>
      <c r="C288" s="399"/>
      <c r="D288" s="399"/>
      <c r="E288" s="399"/>
      <c r="F288" s="399"/>
      <c r="G288" s="370"/>
      <c r="H288" s="370"/>
      <c r="I288" s="505" t="s">
        <v>116</v>
      </c>
      <c r="J288" s="505"/>
      <c r="K288" s="505"/>
      <c r="L288" s="505"/>
      <c r="M288" s="514">
        <v>5</v>
      </c>
      <c r="N288" s="578" t="s">
        <v>238</v>
      </c>
    </row>
    <row r="289" spans="1:14">
      <c r="A289" s="403" t="s">
        <v>92</v>
      </c>
      <c r="B289" s="370"/>
      <c r="C289" s="370"/>
      <c r="D289" s="370"/>
      <c r="E289" s="370"/>
      <c r="F289" s="370"/>
      <c r="G289" s="370"/>
      <c r="H289" s="394"/>
      <c r="I289" s="370" t="s">
        <v>118</v>
      </c>
      <c r="J289" s="370"/>
      <c r="K289" s="370"/>
      <c r="L289" s="370"/>
      <c r="M289" s="401">
        <v>0.75</v>
      </c>
      <c r="N289" s="423" t="s">
        <v>248</v>
      </c>
    </row>
    <row r="290" spans="1:14">
      <c r="A290" s="381" t="s">
        <v>130</v>
      </c>
      <c r="B290" s="370"/>
      <c r="C290" s="370"/>
      <c r="D290" s="370"/>
      <c r="E290" s="418">
        <v>0.5</v>
      </c>
      <c r="F290" s="865" t="s">
        <v>248</v>
      </c>
      <c r="G290" s="397"/>
      <c r="H290" s="370"/>
      <c r="I290" s="370" t="s">
        <v>120</v>
      </c>
      <c r="J290" s="370"/>
      <c r="K290" s="370"/>
      <c r="L290" s="370"/>
      <c r="M290" s="400">
        <v>5</v>
      </c>
      <c r="N290" s="423" t="s">
        <v>303</v>
      </c>
    </row>
    <row r="291" spans="1:14">
      <c r="A291" s="381" t="s">
        <v>132</v>
      </c>
      <c r="B291" s="370"/>
      <c r="C291" s="370"/>
      <c r="D291" s="370"/>
      <c r="E291" s="418">
        <v>0.5</v>
      </c>
      <c r="F291" s="865" t="s">
        <v>248</v>
      </c>
      <c r="G291" s="397"/>
      <c r="H291" s="370"/>
      <c r="I291" s="370" t="s">
        <v>122</v>
      </c>
      <c r="J291" s="370"/>
      <c r="K291" s="370"/>
      <c r="L291" s="370"/>
      <c r="M291" s="400">
        <v>1</v>
      </c>
      <c r="N291" s="423" t="s">
        <v>302</v>
      </c>
    </row>
    <row r="292" spans="1:14">
      <c r="A292" s="381" t="s">
        <v>134</v>
      </c>
      <c r="B292" s="370"/>
      <c r="C292" s="370"/>
      <c r="D292" s="370"/>
      <c r="E292" s="418">
        <v>0.5</v>
      </c>
      <c r="F292" s="865" t="s">
        <v>248</v>
      </c>
      <c r="G292" s="397"/>
      <c r="H292" s="370"/>
      <c r="I292" s="370" t="s">
        <v>124</v>
      </c>
      <c r="J292" s="370"/>
      <c r="K292" s="370"/>
      <c r="L292" s="370"/>
      <c r="M292" s="400">
        <v>6</v>
      </c>
      <c r="N292" s="423" t="s">
        <v>238</v>
      </c>
    </row>
    <row r="293" spans="1:14">
      <c r="A293" s="381" t="s">
        <v>136</v>
      </c>
      <c r="B293" s="370"/>
      <c r="C293" s="370"/>
      <c r="D293" s="370"/>
      <c r="E293" s="418">
        <v>0.5</v>
      </c>
      <c r="F293" s="865" t="s">
        <v>248</v>
      </c>
      <c r="G293" s="397"/>
      <c r="H293" s="370"/>
      <c r="I293" s="370" t="s">
        <v>126</v>
      </c>
      <c r="J293" s="1079" t="s">
        <v>252</v>
      </c>
      <c r="K293" s="1079"/>
      <c r="L293" s="370"/>
      <c r="M293" s="401">
        <v>0.5</v>
      </c>
      <c r="N293" s="423" t="s">
        <v>238</v>
      </c>
    </row>
    <row r="294" spans="1:14">
      <c r="A294" s="381" t="s">
        <v>138</v>
      </c>
      <c r="B294" s="370"/>
      <c r="C294" s="370"/>
      <c r="D294" s="370"/>
      <c r="E294" s="418">
        <v>0.5</v>
      </c>
      <c r="F294" s="865" t="s">
        <v>248</v>
      </c>
      <c r="G294" s="397"/>
      <c r="H294" s="370"/>
      <c r="I294" s="370" t="s">
        <v>128</v>
      </c>
      <c r="J294" s="1079" t="s">
        <v>253</v>
      </c>
      <c r="K294" s="1079"/>
      <c r="L294" s="370"/>
      <c r="M294" s="400">
        <v>90</v>
      </c>
      <c r="N294" s="423" t="s">
        <v>235</v>
      </c>
    </row>
    <row r="295" spans="1:14">
      <c r="A295" s="381" t="s">
        <v>140</v>
      </c>
      <c r="B295" s="370"/>
      <c r="C295" s="370"/>
      <c r="D295" s="417">
        <v>0</v>
      </c>
      <c r="E295" s="400">
        <v>30</v>
      </c>
      <c r="F295" s="865" t="s">
        <v>235</v>
      </c>
      <c r="G295" s="397"/>
      <c r="H295" s="370"/>
      <c r="I295" s="370"/>
      <c r="J295" s="370"/>
      <c r="K295" s="370"/>
      <c r="L295" s="370"/>
      <c r="M295" s="867"/>
      <c r="N295" s="377"/>
    </row>
    <row r="296" spans="1:14">
      <c r="A296" s="381" t="s">
        <v>249</v>
      </c>
      <c r="B296" s="370"/>
      <c r="C296" s="370"/>
      <c r="D296" s="370"/>
      <c r="E296" s="419">
        <v>1.5</v>
      </c>
      <c r="F296" s="865" t="s">
        <v>248</v>
      </c>
      <c r="G296" s="397"/>
      <c r="H296" s="370"/>
      <c r="I296" s="370"/>
      <c r="J296" s="370"/>
      <c r="K296" s="370"/>
      <c r="L296" s="370"/>
      <c r="M296" s="397"/>
      <c r="N296" s="424"/>
    </row>
    <row r="297" spans="1:14">
      <c r="A297" s="381" t="s">
        <v>250</v>
      </c>
      <c r="B297" s="370"/>
      <c r="C297" s="370"/>
      <c r="D297" s="370"/>
      <c r="E297" s="419">
        <v>0.5</v>
      </c>
      <c r="F297" s="865" t="s">
        <v>248</v>
      </c>
      <c r="G297" s="397"/>
      <c r="H297" s="370"/>
      <c r="I297" s="370"/>
      <c r="J297" s="370"/>
      <c r="K297" s="370"/>
      <c r="L297" s="370"/>
      <c r="M297" s="370"/>
      <c r="N297" s="371"/>
    </row>
    <row r="298" spans="1:14">
      <c r="A298" s="403" t="s">
        <v>154</v>
      </c>
      <c r="B298" s="370"/>
      <c r="C298" s="370"/>
      <c r="D298" s="370"/>
      <c r="E298" s="370"/>
      <c r="F298" s="370"/>
      <c r="G298" s="370"/>
      <c r="H298" s="370"/>
      <c r="I298" s="370"/>
      <c r="J298" s="370"/>
      <c r="K298" s="370"/>
      <c r="L298" s="370"/>
      <c r="M298" s="370"/>
      <c r="N298" s="371"/>
    </row>
    <row r="299" spans="1:14">
      <c r="A299" s="421" t="s">
        <v>155</v>
      </c>
      <c r="B299" s="370"/>
      <c r="C299" s="370"/>
      <c r="D299" s="370"/>
      <c r="E299" s="370"/>
      <c r="F299" s="370"/>
      <c r="G299" s="370"/>
      <c r="H299" s="370"/>
      <c r="I299" s="370"/>
      <c r="J299" s="370"/>
      <c r="K299" s="370"/>
      <c r="L299" s="370"/>
      <c r="M299" s="370"/>
      <c r="N299" s="371"/>
    </row>
    <row r="300" spans="1:14">
      <c r="A300" s="381" t="s">
        <v>156</v>
      </c>
      <c r="B300" s="370"/>
      <c r="C300" s="370"/>
      <c r="D300" s="370"/>
      <c r="E300" s="370"/>
      <c r="F300" s="370"/>
      <c r="G300" s="370"/>
      <c r="H300" s="370"/>
      <c r="I300" s="370"/>
      <c r="J300" s="370"/>
      <c r="K300" s="370"/>
      <c r="L300" s="370"/>
      <c r="M300" s="370"/>
      <c r="N300" s="371"/>
    </row>
    <row r="301" spans="1:14">
      <c r="A301" s="381" t="s">
        <v>157</v>
      </c>
      <c r="B301" s="370"/>
      <c r="C301" s="370"/>
      <c r="D301" s="397">
        <v>40</v>
      </c>
      <c r="E301" s="397" t="s">
        <v>235</v>
      </c>
      <c r="F301" s="397"/>
      <c r="G301" s="370"/>
      <c r="H301" s="370"/>
      <c r="I301" s="370"/>
      <c r="J301" s="370"/>
      <c r="K301" s="370"/>
      <c r="L301" s="370"/>
      <c r="M301" s="370"/>
      <c r="N301" s="371"/>
    </row>
    <row r="302" spans="1:14">
      <c r="A302" s="507" t="s">
        <v>158</v>
      </c>
      <c r="B302" s="511"/>
      <c r="C302" s="511"/>
      <c r="D302" s="506">
        <v>10</v>
      </c>
      <c r="E302" s="506" t="s">
        <v>238</v>
      </c>
      <c r="F302" s="512"/>
      <c r="G302" s="370"/>
      <c r="H302" s="370"/>
      <c r="I302" s="370"/>
      <c r="J302" s="370"/>
      <c r="K302" s="370"/>
      <c r="L302" s="370"/>
      <c r="M302" s="370"/>
      <c r="N302" s="371"/>
    </row>
    <row r="303" spans="1:14">
      <c r="A303" s="507" t="s">
        <v>159</v>
      </c>
      <c r="B303" s="505"/>
      <c r="C303" s="505"/>
      <c r="D303" s="506">
        <v>6</v>
      </c>
      <c r="E303" s="506" t="s">
        <v>238</v>
      </c>
      <c r="F303" s="506"/>
      <c r="G303" s="370"/>
      <c r="H303" s="370"/>
      <c r="I303" s="370"/>
      <c r="J303" s="370"/>
      <c r="K303" s="370"/>
      <c r="L303" s="370"/>
      <c r="M303" s="370"/>
      <c r="N303" s="371"/>
    </row>
    <row r="304" spans="1:14">
      <c r="A304" s="381" t="s">
        <v>160</v>
      </c>
      <c r="B304" s="370"/>
      <c r="C304" s="370"/>
      <c r="D304" s="397">
        <v>3</v>
      </c>
      <c r="E304" s="397" t="s">
        <v>238</v>
      </c>
      <c r="F304" s="397"/>
      <c r="G304" s="370"/>
      <c r="H304" s="370"/>
      <c r="I304" s="370"/>
      <c r="J304" s="370"/>
      <c r="K304" s="370"/>
      <c r="L304" s="370"/>
      <c r="M304" s="370"/>
      <c r="N304" s="371"/>
    </row>
    <row r="305" spans="1:24">
      <c r="A305" s="381" t="s">
        <v>161</v>
      </c>
      <c r="B305" s="370"/>
      <c r="C305" s="370"/>
      <c r="D305" s="1081" t="s">
        <v>239</v>
      </c>
      <c r="E305" s="1081"/>
      <c r="F305" s="1081"/>
      <c r="G305" s="370"/>
      <c r="H305" s="370"/>
      <c r="I305" s="370"/>
      <c r="J305" s="370"/>
      <c r="K305" s="370"/>
      <c r="L305" s="370"/>
      <c r="M305" s="370"/>
      <c r="N305" s="371"/>
    </row>
    <row r="306" spans="1:24">
      <c r="A306" s="507" t="s">
        <v>162</v>
      </c>
      <c r="B306" s="505"/>
      <c r="C306" s="505"/>
      <c r="D306" s="506">
        <v>6</v>
      </c>
      <c r="E306" s="506" t="s">
        <v>238</v>
      </c>
      <c r="F306" s="506"/>
      <c r="G306" s="370"/>
      <c r="H306" s="370"/>
      <c r="I306" s="370"/>
      <c r="J306" s="370"/>
      <c r="K306" s="370"/>
      <c r="L306" s="370"/>
      <c r="M306" s="370"/>
      <c r="N306" s="371"/>
    </row>
    <row r="307" spans="1:24">
      <c r="A307" s="381" t="s">
        <v>240</v>
      </c>
      <c r="B307" s="370"/>
      <c r="C307" s="370"/>
      <c r="D307" s="397">
        <v>10</v>
      </c>
      <c r="E307" s="397" t="s">
        <v>238</v>
      </c>
      <c r="F307" s="397"/>
      <c r="G307" s="370"/>
      <c r="H307" s="370"/>
      <c r="I307" s="370"/>
      <c r="J307" s="370"/>
      <c r="K307" s="370"/>
      <c r="L307" s="370"/>
      <c r="M307" s="370"/>
      <c r="N307" s="371"/>
    </row>
    <row r="308" spans="1:24">
      <c r="A308" s="403" t="s">
        <v>163</v>
      </c>
      <c r="B308" s="370"/>
      <c r="C308" s="370"/>
      <c r="D308" s="370"/>
      <c r="E308" s="370"/>
      <c r="F308" s="370"/>
      <c r="G308" s="370"/>
      <c r="H308" s="370"/>
      <c r="I308" s="370"/>
      <c r="J308" s="370"/>
      <c r="K308" s="370"/>
      <c r="L308" s="370"/>
      <c r="M308" s="370"/>
      <c r="N308" s="371"/>
    </row>
    <row r="309" spans="1:24">
      <c r="A309" s="381" t="s">
        <v>164</v>
      </c>
      <c r="B309" s="370"/>
      <c r="C309" s="370"/>
      <c r="D309" s="370"/>
      <c r="E309" s="370"/>
      <c r="F309" s="370"/>
      <c r="G309" s="370"/>
      <c r="H309" s="370"/>
      <c r="I309" s="370"/>
      <c r="J309" s="370"/>
      <c r="K309" s="370"/>
      <c r="L309" s="370"/>
      <c r="M309" s="370"/>
      <c r="N309" s="371"/>
    </row>
    <row r="310" spans="1:24">
      <c r="A310" s="381" t="s">
        <v>165</v>
      </c>
      <c r="B310" s="370"/>
      <c r="C310" s="370"/>
      <c r="D310" s="370"/>
      <c r="E310" s="370"/>
      <c r="F310" s="370"/>
      <c r="G310" s="370"/>
      <c r="H310" s="370"/>
      <c r="I310" s="370"/>
      <c r="J310" s="370"/>
      <c r="K310" s="370"/>
      <c r="L310" s="370"/>
      <c r="M310" s="370"/>
      <c r="N310" s="371"/>
    </row>
    <row r="311" spans="1:24">
      <c r="A311" s="381" t="s">
        <v>166</v>
      </c>
      <c r="B311" s="370"/>
      <c r="C311" s="370"/>
      <c r="D311" s="370"/>
      <c r="E311" s="370"/>
      <c r="F311" s="370"/>
      <c r="G311" s="370"/>
      <c r="H311" s="370"/>
      <c r="I311" s="370"/>
      <c r="J311" s="370"/>
      <c r="K311" s="370"/>
      <c r="L311" s="370"/>
      <c r="M311" s="370"/>
      <c r="N311" s="371"/>
    </row>
    <row r="312" spans="1:24">
      <c r="A312" s="381" t="s">
        <v>167</v>
      </c>
      <c r="B312" s="370"/>
      <c r="C312" s="370"/>
      <c r="D312" s="370"/>
      <c r="E312" s="370"/>
      <c r="F312" s="370"/>
      <c r="G312" s="370"/>
      <c r="H312" s="370"/>
      <c r="I312" s="370"/>
      <c r="J312" s="370"/>
      <c r="K312" s="370"/>
      <c r="L312" s="370"/>
      <c r="M312" s="370"/>
      <c r="N312" s="371"/>
    </row>
    <row r="313" spans="1:24">
      <c r="A313" s="381" t="s">
        <v>168</v>
      </c>
      <c r="B313" s="370"/>
      <c r="C313" s="370"/>
      <c r="D313" s="370"/>
      <c r="E313" s="370"/>
      <c r="F313" s="370"/>
      <c r="G313" s="370"/>
      <c r="H313" s="370"/>
      <c r="I313" s="370"/>
      <c r="J313" s="370"/>
      <c r="K313" s="370"/>
      <c r="L313" s="370"/>
      <c r="M313" s="370"/>
      <c r="N313" s="371"/>
    </row>
    <row r="314" spans="1:24">
      <c r="A314" s="510" t="s">
        <v>294</v>
      </c>
      <c r="B314" s="511"/>
      <c r="C314" s="511"/>
      <c r="D314" s="511"/>
      <c r="E314" s="511"/>
      <c r="F314" s="511"/>
      <c r="G314" s="511"/>
      <c r="H314" s="511"/>
      <c r="I314" s="511"/>
      <c r="J314" s="511"/>
      <c r="K314" s="511"/>
      <c r="L314" s="511"/>
      <c r="M314" s="511"/>
      <c r="N314" s="517"/>
    </row>
    <row r="315" spans="1:24">
      <c r="A315" s="1093" t="s">
        <v>293</v>
      </c>
      <c r="B315" s="1094"/>
      <c r="C315" s="1094"/>
      <c r="D315" s="1094"/>
      <c r="E315" s="1094"/>
      <c r="F315" s="1094"/>
      <c r="G315" s="1094"/>
      <c r="H315" s="1094"/>
      <c r="I315" s="1094"/>
      <c r="J315" s="1094"/>
      <c r="K315" s="1094"/>
      <c r="L315" s="1094"/>
      <c r="M315" s="1094"/>
      <c r="N315" s="1095"/>
    </row>
    <row r="316" spans="1:24">
      <c r="A316" s="526" t="s">
        <v>553</v>
      </c>
      <c r="B316" s="511"/>
      <c r="C316" s="511"/>
      <c r="D316" s="511"/>
      <c r="E316" s="511"/>
      <c r="F316" s="511"/>
      <c r="G316" s="511"/>
      <c r="H316" s="511"/>
      <c r="I316" s="511"/>
      <c r="J316" s="511"/>
      <c r="K316" s="511"/>
      <c r="L316" s="511"/>
      <c r="M316" s="511"/>
      <c r="N316" s="517"/>
      <c r="P316" s="80"/>
      <c r="Q316" s="80"/>
      <c r="R316" s="80"/>
      <c r="S316" s="80"/>
      <c r="T316" s="80"/>
      <c r="U316" s="80"/>
      <c r="V316" s="80"/>
      <c r="W316" s="80"/>
      <c r="X316" s="80"/>
    </row>
    <row r="317" spans="1:24">
      <c r="A317" s="381" t="s">
        <v>170</v>
      </c>
      <c r="B317" s="370"/>
      <c r="C317" s="370"/>
      <c r="D317" s="370"/>
      <c r="E317" s="370"/>
      <c r="F317" s="370"/>
      <c r="G317" s="370"/>
      <c r="H317" s="370"/>
      <c r="I317" s="370"/>
      <c r="J317" s="370"/>
      <c r="K317" s="370"/>
      <c r="L317" s="370"/>
      <c r="M317" s="370"/>
      <c r="N317" s="371"/>
      <c r="P317" s="80"/>
      <c r="Q317" s="80"/>
      <c r="R317" s="80"/>
      <c r="S317" s="80"/>
      <c r="T317" s="80"/>
      <c r="U317" s="80"/>
      <c r="V317" s="80"/>
      <c r="W317" s="80"/>
      <c r="X317" s="80"/>
    </row>
    <row r="318" spans="1:24">
      <c r="A318" s="381"/>
      <c r="B318" s="1096" t="s">
        <v>548</v>
      </c>
      <c r="C318" s="1096"/>
      <c r="D318" s="1097" t="str">
        <f>C42</f>
        <v>NTTA DTTA VICTOR HUGO HERNANDEZ MARTINEZ MAT. 8904707</v>
      </c>
      <c r="E318" s="1098"/>
      <c r="F318" s="1098"/>
      <c r="G318" s="1098"/>
      <c r="H318" s="1098"/>
      <c r="I318" s="1098"/>
      <c r="J318" s="1098"/>
      <c r="K318" s="1098"/>
      <c r="L318" s="1098"/>
      <c r="M318" s="1099"/>
      <c r="N318" s="371"/>
      <c r="P318" s="80"/>
      <c r="Q318" s="80"/>
      <c r="R318" s="80"/>
      <c r="S318" s="80"/>
      <c r="T318" s="80"/>
      <c r="U318" s="80"/>
      <c r="V318" s="80"/>
      <c r="W318" s="80"/>
      <c r="X318" s="80"/>
    </row>
    <row r="319" spans="1:24">
      <c r="A319" s="381"/>
      <c r="B319" s="527"/>
      <c r="C319" s="527"/>
      <c r="D319" s="871"/>
      <c r="E319" s="871"/>
      <c r="F319" s="871"/>
      <c r="G319" s="871"/>
      <c r="H319" s="871"/>
      <c r="I319" s="871"/>
      <c r="J319" s="871"/>
      <c r="K319" s="871"/>
      <c r="L319" s="871"/>
      <c r="M319" s="871"/>
      <c r="N319" s="371"/>
      <c r="P319" s="80"/>
      <c r="Q319" s="80"/>
      <c r="R319" s="80"/>
      <c r="S319" s="80"/>
      <c r="T319" s="80"/>
      <c r="U319" s="80"/>
      <c r="V319" s="80"/>
      <c r="W319" s="80"/>
      <c r="X319" s="80"/>
    </row>
    <row r="320" spans="1:24">
      <c r="A320" s="410"/>
      <c r="B320" s="527"/>
      <c r="C320" s="527"/>
      <c r="D320" s="871"/>
      <c r="E320" s="871"/>
      <c r="F320" s="871"/>
      <c r="G320" s="871"/>
      <c r="H320" s="871"/>
      <c r="I320" s="871"/>
      <c r="J320" s="871"/>
      <c r="K320" s="871"/>
      <c r="L320" s="871"/>
      <c r="M320" s="871"/>
      <c r="N320" s="414"/>
      <c r="O320" s="80"/>
      <c r="P320" s="215"/>
      <c r="Q320" s="215"/>
      <c r="R320" s="215" t="s">
        <v>329</v>
      </c>
      <c r="S320" s="215"/>
      <c r="T320" s="215">
        <v>1</v>
      </c>
      <c r="U320" s="215">
        <v>1</v>
      </c>
      <c r="V320" s="80"/>
      <c r="W320" s="80"/>
      <c r="X320" s="80"/>
    </row>
    <row r="321" spans="1:24">
      <c r="A321" s="370"/>
      <c r="B321" s="866"/>
      <c r="C321" s="866"/>
      <c r="D321" s="864"/>
      <c r="E321" s="864"/>
      <c r="F321" s="864"/>
      <c r="G321" s="864"/>
      <c r="H321" s="864"/>
      <c r="I321" s="864"/>
      <c r="J321" s="864"/>
      <c r="K321" s="864"/>
      <c r="L321" s="864"/>
      <c r="M321" s="864"/>
      <c r="N321" s="370"/>
      <c r="O321" s="80"/>
      <c r="P321" s="215"/>
      <c r="Q321" s="215"/>
      <c r="R321" s="215"/>
      <c r="S321" s="215"/>
      <c r="T321" s="215"/>
      <c r="U321" s="215"/>
      <c r="V321" s="80"/>
      <c r="W321" s="80"/>
      <c r="X321" s="80"/>
    </row>
    <row r="322" spans="1:24">
      <c r="A322" s="357" t="s">
        <v>539</v>
      </c>
      <c r="B322" s="1086" t="s">
        <v>71</v>
      </c>
      <c r="C322" s="1086"/>
      <c r="D322" s="1086"/>
      <c r="E322" s="1086"/>
      <c r="F322" s="1086"/>
      <c r="G322" s="1086"/>
      <c r="H322" s="1086"/>
      <c r="I322" s="357"/>
      <c r="J322" s="357"/>
      <c r="K322" s="357"/>
      <c r="L322" s="357"/>
      <c r="M322" s="357"/>
      <c r="N322" s="357"/>
      <c r="O322" s="80"/>
      <c r="P322" s="215" t="s">
        <v>397</v>
      </c>
      <c r="Q322" s="215"/>
      <c r="R322" s="215" t="s">
        <v>330</v>
      </c>
      <c r="S322" s="215"/>
      <c r="T322" s="215">
        <v>2</v>
      </c>
      <c r="U322" s="215">
        <v>2</v>
      </c>
      <c r="V322" s="80"/>
      <c r="W322" s="80"/>
      <c r="X322" s="80"/>
    </row>
    <row r="323" spans="1:24">
      <c r="A323" s="357" t="s">
        <v>540</v>
      </c>
      <c r="B323" s="1086" t="s">
        <v>547</v>
      </c>
      <c r="C323" s="1086"/>
      <c r="D323" s="1086"/>
      <c r="E323" s="1086"/>
      <c r="F323" s="1086"/>
      <c r="G323" s="1086"/>
      <c r="H323" s="1086"/>
      <c r="I323" s="357"/>
      <c r="J323" s="357"/>
      <c r="K323" s="357"/>
      <c r="L323" s="357"/>
      <c r="M323" s="357"/>
      <c r="N323" s="357"/>
      <c r="O323" s="80"/>
      <c r="P323" s="215" t="s">
        <v>324</v>
      </c>
      <c r="Q323" s="215"/>
      <c r="R323" s="215" t="s">
        <v>331</v>
      </c>
      <c r="S323" s="215"/>
      <c r="T323" s="215">
        <v>3</v>
      </c>
      <c r="U323" s="215">
        <v>3</v>
      </c>
      <c r="V323" s="80"/>
      <c r="W323" s="80"/>
      <c r="X323" s="80"/>
    </row>
    <row r="324" spans="1:24">
      <c r="A324" s="500"/>
      <c r="B324" s="1087" t="s">
        <v>1</v>
      </c>
      <c r="C324" s="1087"/>
      <c r="D324" s="1087"/>
      <c r="E324" s="1087"/>
      <c r="F324" s="1087"/>
      <c r="G324" s="1087"/>
      <c r="H324" s="1087"/>
      <c r="I324" s="1087"/>
      <c r="J324" s="1087"/>
      <c r="K324" s="500"/>
      <c r="L324" s="500"/>
      <c r="M324" s="500"/>
      <c r="N324" s="500"/>
      <c r="O324" s="80"/>
      <c r="P324" s="215" t="s">
        <v>325</v>
      </c>
      <c r="Q324" s="215"/>
      <c r="R324" s="215" t="s">
        <v>332</v>
      </c>
      <c r="S324" s="215"/>
      <c r="T324" s="215">
        <v>4</v>
      </c>
      <c r="U324" s="215">
        <v>4</v>
      </c>
      <c r="V324" s="80"/>
      <c r="W324" s="80"/>
      <c r="X324" s="80"/>
    </row>
    <row r="325" spans="1:24" ht="15.75">
      <c r="A325" s="402" t="s">
        <v>2</v>
      </c>
      <c r="B325" s="1088" t="str">
        <f>B4</f>
        <v>BONILLA RODRIGUEZ EUGENIA</v>
      </c>
      <c r="C325" s="1088"/>
      <c r="D325" s="1088"/>
      <c r="E325" s="1088"/>
      <c r="F325" s="1088"/>
      <c r="G325" s="1088"/>
      <c r="H325" s="386" t="s">
        <v>396</v>
      </c>
      <c r="I325" s="1089">
        <f ca="1">B5</f>
        <v>43208</v>
      </c>
      <c r="J325" s="1090"/>
      <c r="K325" s="387"/>
      <c r="L325" s="388" t="s">
        <v>291</v>
      </c>
      <c r="M325" s="1091" t="str">
        <f>M4</f>
        <v>6297 76 0414 1f ORD. 1976</v>
      </c>
      <c r="N325" s="1092"/>
      <c r="O325" s="80"/>
      <c r="P325" s="215" t="s">
        <v>326</v>
      </c>
      <c r="Q325" s="215"/>
      <c r="R325" s="215" t="s">
        <v>333</v>
      </c>
      <c r="S325" s="215"/>
      <c r="T325" s="215">
        <v>5</v>
      </c>
      <c r="U325" s="215">
        <v>5</v>
      </c>
      <c r="V325" s="80"/>
      <c r="W325" s="80"/>
      <c r="X325" s="80"/>
    </row>
    <row r="326" spans="1:24">
      <c r="A326" s="1080" t="s">
        <v>322</v>
      </c>
      <c r="B326" s="1081"/>
      <c r="C326" s="1081"/>
      <c r="D326" s="1081"/>
      <c r="E326" s="1081"/>
      <c r="F326" s="1081"/>
      <c r="G326" s="370"/>
      <c r="H326" s="370"/>
      <c r="I326" s="370"/>
      <c r="J326" s="370"/>
      <c r="K326" s="370"/>
      <c r="L326" s="370"/>
      <c r="M326" s="370"/>
      <c r="N326" s="371"/>
      <c r="O326" s="80"/>
      <c r="P326" s="215" t="s">
        <v>327</v>
      </c>
      <c r="Q326" s="215"/>
      <c r="R326" s="215" t="s">
        <v>334</v>
      </c>
      <c r="S326" s="215"/>
      <c r="T326" s="215">
        <v>6</v>
      </c>
      <c r="U326" s="215">
        <v>6</v>
      </c>
      <c r="V326" s="80"/>
      <c r="W326" s="80"/>
      <c r="X326" s="80"/>
    </row>
    <row r="327" spans="1:24">
      <c r="A327" s="381" t="s">
        <v>4</v>
      </c>
      <c r="B327" s="370">
        <f>D9</f>
        <v>38</v>
      </c>
      <c r="C327" s="370" t="s">
        <v>72</v>
      </c>
      <c r="D327" s="1082" t="s">
        <v>323</v>
      </c>
      <c r="E327" s="1082"/>
      <c r="F327" s="1083" t="str">
        <f>F25</f>
        <v>COMPLEXION PEQUEÑA</v>
      </c>
      <c r="G327" s="1083"/>
      <c r="H327" s="370"/>
      <c r="I327" s="1082" t="s">
        <v>328</v>
      </c>
      <c r="J327" s="1082"/>
      <c r="K327" s="1079">
        <f>K25</f>
        <v>0</v>
      </c>
      <c r="L327" s="1079"/>
      <c r="M327" s="1079"/>
      <c r="N327" s="371"/>
      <c r="O327" s="80"/>
      <c r="P327" s="215"/>
      <c r="Q327" s="215"/>
      <c r="R327" s="215"/>
      <c r="S327" s="215"/>
      <c r="T327" s="215">
        <v>7</v>
      </c>
      <c r="U327" s="215">
        <v>7</v>
      </c>
      <c r="V327" s="80"/>
      <c r="W327" s="80"/>
      <c r="X327" s="80"/>
    </row>
    <row r="328" spans="1:24">
      <c r="A328" s="381" t="s">
        <v>335</v>
      </c>
      <c r="B328" s="370"/>
      <c r="C328" s="370" t="s">
        <v>336</v>
      </c>
      <c r="D328" s="373">
        <f>D26</f>
        <v>0</v>
      </c>
      <c r="E328" s="1079" t="s">
        <v>337</v>
      </c>
      <c r="F328" s="1079"/>
      <c r="G328" s="867">
        <f>G26</f>
        <v>0</v>
      </c>
      <c r="H328" s="370"/>
      <c r="I328" s="370"/>
      <c r="J328" s="370"/>
      <c r="K328" s="370"/>
      <c r="L328" s="370"/>
      <c r="M328" s="370"/>
      <c r="N328" s="371"/>
      <c r="O328" s="80"/>
      <c r="P328" s="215" t="s">
        <v>340</v>
      </c>
      <c r="Q328" s="215"/>
      <c r="R328" s="217" t="s">
        <v>362</v>
      </c>
      <c r="S328" s="218"/>
      <c r="T328" s="215"/>
      <c r="U328" s="215">
        <v>8</v>
      </c>
      <c r="V328" s="80"/>
      <c r="W328" s="80"/>
      <c r="X328" s="80"/>
    </row>
    <row r="329" spans="1:24">
      <c r="A329" s="381"/>
      <c r="B329" s="370"/>
      <c r="C329" s="370"/>
      <c r="D329" s="370"/>
      <c r="E329" s="370"/>
      <c r="F329" s="370"/>
      <c r="G329" s="370"/>
      <c r="H329" s="370"/>
      <c r="I329" s="370"/>
      <c r="J329" s="370"/>
      <c r="K329" s="370"/>
      <c r="L329" s="370"/>
      <c r="M329" s="370"/>
      <c r="N329" s="371"/>
      <c r="O329" s="80"/>
      <c r="P329" s="215" t="s">
        <v>341</v>
      </c>
      <c r="Q329" s="215"/>
      <c r="R329" s="219" t="s">
        <v>361</v>
      </c>
      <c r="S329" s="220"/>
      <c r="T329" s="215"/>
      <c r="U329" s="215"/>
      <c r="V329" s="80"/>
      <c r="W329" s="80"/>
      <c r="X329" s="80"/>
    </row>
    <row r="330" spans="1:24">
      <c r="A330" s="381"/>
      <c r="B330" s="370"/>
      <c r="C330" s="370"/>
      <c r="D330" s="370"/>
      <c r="E330" s="370"/>
      <c r="F330" s="370"/>
      <c r="G330" s="370"/>
      <c r="H330" s="370"/>
      <c r="I330" s="370"/>
      <c r="J330" s="370"/>
      <c r="K330" s="370"/>
      <c r="L330" s="370"/>
      <c r="M330" s="370"/>
      <c r="N330" s="371"/>
      <c r="O330" s="80"/>
      <c r="P330" s="80"/>
      <c r="Q330" s="80"/>
      <c r="R330" s="80"/>
      <c r="S330" s="80"/>
      <c r="T330" s="80"/>
      <c r="U330" s="80"/>
      <c r="V330" s="80"/>
      <c r="W330" s="80"/>
      <c r="X330" s="80"/>
    </row>
    <row r="331" spans="1:24">
      <c r="A331" s="381" t="s">
        <v>338</v>
      </c>
      <c r="B331" s="370"/>
      <c r="C331" s="370"/>
      <c r="D331" s="370"/>
      <c r="E331" s="370"/>
      <c r="F331" s="374"/>
      <c r="G331" s="370"/>
      <c r="H331" s="370"/>
      <c r="I331" s="370"/>
      <c r="J331" s="370"/>
      <c r="K331" s="370"/>
      <c r="L331" s="370"/>
      <c r="M331" s="370"/>
      <c r="N331" s="371"/>
      <c r="O331" s="80"/>
      <c r="P331" s="80"/>
      <c r="Q331" s="80"/>
      <c r="R331" s="80"/>
      <c r="S331" s="80"/>
      <c r="T331" s="80"/>
      <c r="U331" s="80"/>
      <c r="V331" s="80"/>
      <c r="W331" s="80"/>
      <c r="X331" s="80"/>
    </row>
    <row r="332" spans="1:24">
      <c r="A332" s="1084" t="s">
        <v>339</v>
      </c>
      <c r="B332" s="1085"/>
      <c r="C332" s="370" t="s">
        <v>340</v>
      </c>
      <c r="D332" s="370"/>
      <c r="E332" s="370"/>
      <c r="F332" s="370"/>
      <c r="G332" s="370"/>
      <c r="H332" s="370"/>
      <c r="I332" s="370"/>
      <c r="J332" s="370"/>
      <c r="K332" s="370"/>
      <c r="L332" s="370"/>
      <c r="M332" s="370"/>
      <c r="N332" s="371"/>
      <c r="O332" s="80"/>
      <c r="P332" s="80"/>
      <c r="Q332" s="80"/>
      <c r="R332" s="80"/>
      <c r="S332" s="80"/>
      <c r="T332" s="80"/>
      <c r="U332" s="80"/>
      <c r="V332" s="80"/>
      <c r="W332" s="80"/>
      <c r="X332" s="80"/>
    </row>
    <row r="333" spans="1:24">
      <c r="A333" s="381"/>
      <c r="B333" s="370"/>
      <c r="C333" s="370"/>
      <c r="D333" s="370"/>
      <c r="E333" s="370"/>
      <c r="F333" s="370"/>
      <c r="G333" s="370"/>
      <c r="H333" s="370"/>
      <c r="I333" s="370"/>
      <c r="J333" s="370"/>
      <c r="K333" s="370"/>
      <c r="L333" s="370"/>
      <c r="M333" s="370"/>
      <c r="N333" s="371"/>
      <c r="O333" s="80"/>
      <c r="P333" s="80"/>
      <c r="Q333" s="80"/>
      <c r="R333" s="80"/>
      <c r="S333" s="80"/>
      <c r="T333" s="80"/>
      <c r="U333" s="80"/>
      <c r="V333" s="80"/>
      <c r="W333" s="80"/>
      <c r="X333" s="80"/>
    </row>
    <row r="334" spans="1:24">
      <c r="A334" s="1078" t="s">
        <v>342</v>
      </c>
      <c r="B334" s="1079"/>
      <c r="C334" s="370"/>
      <c r="D334" s="370"/>
      <c r="E334" s="370"/>
      <c r="F334" s="370"/>
      <c r="G334" s="370"/>
      <c r="H334" s="370"/>
      <c r="I334" s="370"/>
      <c r="J334" s="370"/>
      <c r="K334" s="370"/>
      <c r="L334" s="370"/>
      <c r="M334" s="370"/>
      <c r="N334" s="371"/>
      <c r="O334" s="80"/>
      <c r="P334" s="80"/>
      <c r="Q334" s="80"/>
      <c r="R334" s="80"/>
      <c r="S334" s="80"/>
      <c r="T334" s="80"/>
      <c r="U334" s="80"/>
      <c r="V334" s="80"/>
      <c r="W334" s="80"/>
      <c r="X334" s="80"/>
    </row>
    <row r="335" spans="1:24">
      <c r="A335" s="1080" t="s">
        <v>343</v>
      </c>
      <c r="B335" s="1081"/>
      <c r="C335" s="370"/>
      <c r="D335" s="375" t="s">
        <v>348</v>
      </c>
      <c r="E335" s="375"/>
      <c r="F335" s="375"/>
      <c r="G335" s="376"/>
      <c r="H335" s="1076" t="s">
        <v>353</v>
      </c>
      <c r="I335" s="1076"/>
      <c r="J335" s="1076"/>
      <c r="K335" s="370"/>
      <c r="L335" s="1076" t="s">
        <v>357</v>
      </c>
      <c r="M335" s="1076"/>
      <c r="N335" s="371"/>
      <c r="O335" s="80"/>
      <c r="P335" s="80"/>
      <c r="Q335" s="80"/>
      <c r="R335" s="80"/>
      <c r="S335" s="80"/>
      <c r="T335" s="80"/>
      <c r="U335" s="80"/>
      <c r="V335" s="80"/>
      <c r="W335" s="80"/>
      <c r="X335" s="80"/>
    </row>
    <row r="336" spans="1:24">
      <c r="A336" s="1074" t="s">
        <v>344</v>
      </c>
      <c r="B336" s="1075"/>
      <c r="C336" s="867">
        <f>C34</f>
        <v>0</v>
      </c>
      <c r="D336" s="370" t="s">
        <v>349</v>
      </c>
      <c r="E336" s="370"/>
      <c r="F336" s="370"/>
      <c r="G336" s="865">
        <f>G34</f>
        <v>0</v>
      </c>
      <c r="H336" s="370" t="s">
        <v>354</v>
      </c>
      <c r="I336" s="370"/>
      <c r="J336" s="867">
        <f>J34</f>
        <v>0</v>
      </c>
      <c r="K336" s="370"/>
      <c r="L336" s="370" t="s">
        <v>358</v>
      </c>
      <c r="M336" s="370"/>
      <c r="N336" s="435">
        <f>N34</f>
        <v>0</v>
      </c>
      <c r="O336" s="80"/>
      <c r="P336" s="80"/>
      <c r="Q336" s="80"/>
      <c r="R336" s="80"/>
      <c r="S336" s="80"/>
      <c r="T336" s="80"/>
      <c r="U336" s="80"/>
      <c r="V336" s="80"/>
      <c r="W336" s="80"/>
      <c r="X336" s="80"/>
    </row>
    <row r="337" spans="1:24">
      <c r="A337" s="1074" t="s">
        <v>345</v>
      </c>
      <c r="B337" s="1075"/>
      <c r="C337" s="867">
        <f>C35</f>
        <v>0</v>
      </c>
      <c r="D337" s="370" t="s">
        <v>350</v>
      </c>
      <c r="E337" s="370"/>
      <c r="F337" s="370"/>
      <c r="G337" s="865">
        <f>G35</f>
        <v>0</v>
      </c>
      <c r="H337" s="370" t="s">
        <v>355</v>
      </c>
      <c r="I337" s="370"/>
      <c r="J337" s="867">
        <f>J35</f>
        <v>0</v>
      </c>
      <c r="K337" s="370"/>
      <c r="L337" s="370" t="s">
        <v>359</v>
      </c>
      <c r="M337" s="370"/>
      <c r="N337" s="423">
        <f>N35</f>
        <v>0</v>
      </c>
      <c r="O337" s="80"/>
      <c r="P337" s="80"/>
      <c r="Q337" s="80"/>
      <c r="R337" s="80"/>
      <c r="S337" s="80"/>
      <c r="T337" s="80"/>
      <c r="U337" s="80"/>
      <c r="V337" s="80"/>
      <c r="W337" s="80"/>
      <c r="X337" s="80"/>
    </row>
    <row r="338" spans="1:24">
      <c r="A338" s="1074" t="s">
        <v>346</v>
      </c>
      <c r="B338" s="1075"/>
      <c r="C338" s="867">
        <f>C36</f>
        <v>0</v>
      </c>
      <c r="D338" s="370" t="s">
        <v>351</v>
      </c>
      <c r="E338" s="370"/>
      <c r="F338" s="370"/>
      <c r="G338" s="865">
        <f>G36</f>
        <v>0</v>
      </c>
      <c r="H338" s="370" t="s">
        <v>356</v>
      </c>
      <c r="I338" s="370"/>
      <c r="J338" s="867">
        <f>J36</f>
        <v>0</v>
      </c>
      <c r="K338" s="370"/>
      <c r="L338" s="1076" t="s">
        <v>360</v>
      </c>
      <c r="M338" s="1076"/>
      <c r="N338" s="579"/>
      <c r="O338" s="80"/>
      <c r="P338" s="80"/>
      <c r="Q338" s="80"/>
      <c r="R338" s="80"/>
      <c r="S338" s="80"/>
      <c r="T338" s="80"/>
      <c r="U338" s="80"/>
      <c r="V338" s="80"/>
      <c r="W338" s="80"/>
      <c r="X338" s="80"/>
    </row>
    <row r="339" spans="1:24">
      <c r="A339" s="1074" t="s">
        <v>347</v>
      </c>
      <c r="B339" s="1075"/>
      <c r="C339" s="867">
        <f>C37</f>
        <v>0</v>
      </c>
      <c r="D339" s="370" t="s">
        <v>352</v>
      </c>
      <c r="E339" s="370"/>
      <c r="F339" s="370"/>
      <c r="G339" s="865">
        <f>G37</f>
        <v>0</v>
      </c>
      <c r="H339" s="370"/>
      <c r="I339" s="370"/>
      <c r="J339" s="370"/>
      <c r="K339" s="370"/>
      <c r="L339" s="1075" t="s">
        <v>362</v>
      </c>
      <c r="M339" s="1075"/>
      <c r="N339" s="579">
        <f>N37</f>
        <v>0</v>
      </c>
      <c r="O339" s="80"/>
      <c r="P339" s="80"/>
      <c r="Q339" s="80"/>
      <c r="R339" s="80"/>
      <c r="S339" s="80"/>
      <c r="T339" s="80"/>
      <c r="U339" s="80"/>
      <c r="V339" s="80"/>
      <c r="W339" s="80"/>
      <c r="X339" s="80"/>
    </row>
    <row r="340" spans="1:24">
      <c r="A340" s="381"/>
      <c r="B340" s="370"/>
      <c r="C340" s="370"/>
      <c r="D340" s="370"/>
      <c r="E340" s="370"/>
      <c r="F340" s="370"/>
      <c r="G340" s="370"/>
      <c r="H340" s="370"/>
      <c r="I340" s="370"/>
      <c r="J340" s="370"/>
      <c r="K340" s="370"/>
      <c r="L340" s="370"/>
      <c r="M340" s="370"/>
      <c r="N340" s="371"/>
      <c r="O340" s="80"/>
      <c r="P340" s="80"/>
      <c r="Q340" s="80"/>
      <c r="R340" s="80"/>
      <c r="S340" s="80"/>
      <c r="T340" s="80"/>
      <c r="U340" s="80"/>
      <c r="V340" s="80"/>
      <c r="W340" s="80"/>
      <c r="X340" s="80"/>
    </row>
    <row r="341" spans="1:24">
      <c r="A341" s="433" t="s">
        <v>363</v>
      </c>
      <c r="B341" s="370"/>
      <c r="C341" s="370"/>
      <c r="D341" s="370"/>
      <c r="E341" s="370"/>
      <c r="F341" s="370"/>
      <c r="G341" s="370"/>
      <c r="H341" s="370"/>
      <c r="I341" s="370"/>
      <c r="J341" s="370"/>
      <c r="K341" s="370"/>
      <c r="L341" s="370"/>
      <c r="M341" s="370"/>
      <c r="N341" s="371"/>
      <c r="O341" s="80"/>
      <c r="P341" s="80"/>
      <c r="Q341" s="80"/>
      <c r="R341" s="80"/>
      <c r="S341" s="80"/>
      <c r="T341" s="80"/>
      <c r="U341" s="80"/>
      <c r="V341" s="80"/>
      <c r="W341" s="80"/>
      <c r="X341" s="80"/>
    </row>
    <row r="342" spans="1:24">
      <c r="A342" s="381"/>
      <c r="B342" s="370"/>
      <c r="C342" s="210" t="s">
        <v>88</v>
      </c>
      <c r="D342" s="210" t="s">
        <v>87</v>
      </c>
      <c r="E342" s="210" t="s">
        <v>367</v>
      </c>
      <c r="F342" s="210" t="s">
        <v>368</v>
      </c>
      <c r="G342" s="210" t="s">
        <v>369</v>
      </c>
      <c r="H342" s="210" t="s">
        <v>370</v>
      </c>
      <c r="I342" s="210" t="s">
        <v>371</v>
      </c>
      <c r="J342" s="210" t="s">
        <v>372</v>
      </c>
      <c r="K342" s="370"/>
      <c r="L342" s="370"/>
      <c r="M342" s="370"/>
      <c r="N342" s="371"/>
      <c r="O342" s="80"/>
      <c r="P342" s="80"/>
      <c r="Q342" s="80"/>
      <c r="R342" s="80"/>
      <c r="S342" s="80"/>
      <c r="T342" s="80"/>
      <c r="U342" s="80"/>
      <c r="V342" s="80"/>
      <c r="W342" s="80"/>
      <c r="X342" s="80"/>
    </row>
    <row r="343" spans="1:24">
      <c r="A343" s="434" t="s">
        <v>82</v>
      </c>
      <c r="B343" s="370"/>
      <c r="C343" s="106">
        <f>B97</f>
        <v>0</v>
      </c>
      <c r="D343" s="106">
        <f>B96</f>
        <v>1</v>
      </c>
      <c r="E343" s="106">
        <f>B98</f>
        <v>0</v>
      </c>
      <c r="F343" s="106">
        <f>B99</f>
        <v>0</v>
      </c>
      <c r="G343" s="106">
        <f>B100</f>
        <v>1</v>
      </c>
      <c r="H343" s="106">
        <f>B101</f>
        <v>0</v>
      </c>
      <c r="I343" s="106">
        <f>B103</f>
        <v>1</v>
      </c>
      <c r="J343" s="106">
        <f>B102</f>
        <v>0</v>
      </c>
      <c r="K343" s="370"/>
      <c r="L343" s="370"/>
      <c r="M343" s="370"/>
      <c r="N343" s="371"/>
      <c r="O343" s="80"/>
      <c r="P343" s="80"/>
      <c r="Q343" s="80"/>
      <c r="R343" s="80"/>
      <c r="S343" s="80"/>
      <c r="T343" s="80"/>
      <c r="U343" s="80"/>
      <c r="V343" s="80"/>
      <c r="W343" s="80"/>
      <c r="X343" s="80"/>
    </row>
    <row r="344" spans="1:24">
      <c r="A344" s="434" t="s">
        <v>84</v>
      </c>
      <c r="B344" s="370"/>
      <c r="C344" s="106">
        <f>B112</f>
        <v>0</v>
      </c>
      <c r="D344" s="106">
        <f>B111</f>
        <v>1</v>
      </c>
      <c r="E344" s="106">
        <f>B113</f>
        <v>0.5</v>
      </c>
      <c r="F344" s="106">
        <f>B114</f>
        <v>0</v>
      </c>
      <c r="G344" s="106">
        <f>B115</f>
        <v>4</v>
      </c>
      <c r="H344" s="106">
        <f>B116</f>
        <v>0</v>
      </c>
      <c r="I344" s="106">
        <f>B118</f>
        <v>0</v>
      </c>
      <c r="J344" s="106">
        <f>B117</f>
        <v>6</v>
      </c>
      <c r="K344" s="370"/>
      <c r="L344" s="370"/>
      <c r="M344" s="370"/>
      <c r="N344" s="371"/>
      <c r="O344" s="80"/>
      <c r="P344" s="80"/>
      <c r="Q344" s="80"/>
      <c r="R344" s="80"/>
      <c r="S344" s="80"/>
      <c r="T344" s="80"/>
      <c r="U344" s="80"/>
      <c r="V344" s="80"/>
      <c r="W344" s="80"/>
      <c r="X344" s="80"/>
    </row>
    <row r="345" spans="1:24">
      <c r="A345" s="434" t="s">
        <v>364</v>
      </c>
      <c r="B345" s="370"/>
      <c r="C345" s="106">
        <f>B127</f>
        <v>0</v>
      </c>
      <c r="D345" s="106">
        <f>B126</f>
        <v>0</v>
      </c>
      <c r="E345" s="106">
        <f>B128</f>
        <v>0</v>
      </c>
      <c r="F345" s="106">
        <f>B129</f>
        <v>0</v>
      </c>
      <c r="G345" s="106">
        <f>B130</f>
        <v>3</v>
      </c>
      <c r="H345" s="106">
        <f>B131</f>
        <v>0</v>
      </c>
      <c r="I345" s="106">
        <f>B133</f>
        <v>4</v>
      </c>
      <c r="J345" s="106">
        <f>B132</f>
        <v>2</v>
      </c>
      <c r="K345" s="370"/>
      <c r="L345" s="370"/>
      <c r="M345" s="370"/>
      <c r="N345" s="371"/>
      <c r="O345" s="80"/>
    </row>
    <row r="346" spans="1:24">
      <c r="A346" s="434" t="s">
        <v>365</v>
      </c>
      <c r="B346" s="370"/>
      <c r="C346" s="106"/>
      <c r="D346" s="106"/>
      <c r="E346" s="106"/>
      <c r="F346" s="106"/>
      <c r="G346" s="106"/>
      <c r="H346" s="106"/>
      <c r="I346" s="106"/>
      <c r="J346" s="106"/>
      <c r="K346" s="370"/>
      <c r="L346" s="370"/>
      <c r="M346" s="370"/>
      <c r="N346" s="371"/>
      <c r="O346" s="80"/>
    </row>
    <row r="347" spans="1:24">
      <c r="A347" s="434" t="s">
        <v>366</v>
      </c>
      <c r="B347" s="370"/>
      <c r="C347" s="106">
        <f>SUM(C343:C346)</f>
        <v>0</v>
      </c>
      <c r="D347" s="106">
        <f t="shared" ref="D347:J347" si="14">SUM(D343:D346)</f>
        <v>2</v>
      </c>
      <c r="E347" s="106">
        <f t="shared" si="14"/>
        <v>0.5</v>
      </c>
      <c r="F347" s="106">
        <f t="shared" si="14"/>
        <v>0</v>
      </c>
      <c r="G347" s="106">
        <f t="shared" si="14"/>
        <v>8</v>
      </c>
      <c r="H347" s="106">
        <f t="shared" si="14"/>
        <v>0</v>
      </c>
      <c r="I347" s="106">
        <f t="shared" si="14"/>
        <v>5</v>
      </c>
      <c r="J347" s="106">
        <f t="shared" si="14"/>
        <v>8</v>
      </c>
      <c r="K347" s="370"/>
      <c r="L347" s="370"/>
      <c r="M347" s="370"/>
      <c r="N347" s="371"/>
    </row>
    <row r="348" spans="1:24" ht="15" customHeight="1">
      <c r="A348" s="331"/>
      <c r="B348" s="86"/>
      <c r="C348" s="86"/>
      <c r="D348" s="86"/>
      <c r="E348" s="86"/>
      <c r="F348" s="86"/>
      <c r="G348" s="86"/>
      <c r="H348" s="86"/>
      <c r="I348" s="86"/>
      <c r="J348" s="86"/>
      <c r="K348" s="86"/>
      <c r="L348" s="86"/>
      <c r="M348" s="86"/>
      <c r="N348" s="325"/>
    </row>
    <row r="349" spans="1:24">
      <c r="A349" s="1046" t="s">
        <v>373</v>
      </c>
      <c r="B349" s="1047"/>
      <c r="C349" s="1047"/>
      <c r="D349" s="1047"/>
      <c r="E349" s="1077" t="s">
        <v>376</v>
      </c>
      <c r="F349" s="1077"/>
      <c r="G349" s="887"/>
      <c r="H349" s="1077" t="s">
        <v>378</v>
      </c>
      <c r="I349" s="1077"/>
      <c r="J349" s="887"/>
      <c r="K349" s="1077" t="s">
        <v>377</v>
      </c>
      <c r="L349" s="1077"/>
      <c r="M349" s="1077"/>
      <c r="N349" s="889"/>
    </row>
    <row r="350" spans="1:24" ht="15" customHeight="1">
      <c r="A350" s="1068" t="s">
        <v>374</v>
      </c>
      <c r="B350" s="1069"/>
      <c r="C350" s="1069"/>
      <c r="D350" s="1069"/>
      <c r="E350" s="86">
        <f>C150</f>
        <v>201.5</v>
      </c>
      <c r="F350" s="86"/>
      <c r="G350" s="86"/>
      <c r="H350" s="89">
        <f>B152</f>
        <v>54</v>
      </c>
      <c r="I350" s="86"/>
      <c r="J350" s="86"/>
      <c r="K350" s="1060">
        <f>D152</f>
        <v>806</v>
      </c>
      <c r="L350" s="1030"/>
      <c r="M350" s="86"/>
      <c r="N350" s="325"/>
    </row>
    <row r="351" spans="1:24">
      <c r="A351" s="1070" t="s">
        <v>29</v>
      </c>
      <c r="B351" s="1071"/>
      <c r="C351" s="1071"/>
      <c r="D351" s="1071"/>
      <c r="E351" s="87">
        <f>D150</f>
        <v>34</v>
      </c>
      <c r="F351" s="87"/>
      <c r="G351" s="87"/>
      <c r="H351" s="90">
        <f>B153</f>
        <v>18</v>
      </c>
      <c r="I351" s="87"/>
      <c r="J351" s="87"/>
      <c r="K351" s="1072">
        <f>D153</f>
        <v>136</v>
      </c>
      <c r="L351" s="1073"/>
      <c r="M351" s="87"/>
      <c r="N351" s="436"/>
    </row>
    <row r="352" spans="1:24">
      <c r="A352" s="1068" t="s">
        <v>56</v>
      </c>
      <c r="B352" s="1069"/>
      <c r="C352" s="1069"/>
      <c r="D352" s="1069"/>
      <c r="E352" s="87">
        <f>E150</f>
        <v>50</v>
      </c>
      <c r="F352" s="87"/>
      <c r="G352" s="87"/>
      <c r="H352" s="90">
        <f>B154</f>
        <v>28</v>
      </c>
      <c r="I352" s="87"/>
      <c r="J352" s="87"/>
      <c r="K352" s="1072">
        <f>D154</f>
        <v>450</v>
      </c>
      <c r="L352" s="1073"/>
      <c r="M352" s="87"/>
      <c r="N352" s="436"/>
    </row>
    <row r="353" spans="1:14">
      <c r="A353" s="1058" t="s">
        <v>375</v>
      </c>
      <c r="B353" s="1059"/>
      <c r="C353" s="1059"/>
      <c r="D353" s="1059"/>
      <c r="E353" s="86"/>
      <c r="F353" s="86"/>
      <c r="G353" s="86"/>
      <c r="H353" s="91">
        <f>SUM(H350:H352)</f>
        <v>100</v>
      </c>
      <c r="I353" s="86"/>
      <c r="J353" s="86"/>
      <c r="K353" s="1060">
        <f>SUM(K350:K352)</f>
        <v>1392</v>
      </c>
      <c r="L353" s="1030"/>
      <c r="M353" s="86"/>
      <c r="N353" s="325"/>
    </row>
    <row r="354" spans="1:14">
      <c r="A354" s="1061" t="s">
        <v>379</v>
      </c>
      <c r="B354" s="1062"/>
      <c r="C354" s="1062"/>
      <c r="D354" s="1062"/>
      <c r="E354" s="1062"/>
      <c r="F354" s="1062"/>
      <c r="G354" s="86"/>
      <c r="H354" s="86"/>
      <c r="I354" s="86"/>
      <c r="J354" s="86"/>
      <c r="K354" s="86"/>
      <c r="L354" s="86"/>
      <c r="M354" s="86"/>
      <c r="N354" s="325"/>
    </row>
    <row r="355" spans="1:14" ht="14.1" customHeight="1">
      <c r="A355" s="874"/>
      <c r="B355" s="875"/>
      <c r="C355" s="1063" t="s">
        <v>388</v>
      </c>
      <c r="D355" s="1063"/>
      <c r="E355" s="886"/>
      <c r="F355" s="1064" t="s">
        <v>389</v>
      </c>
      <c r="G355" s="1064"/>
      <c r="H355" s="1064"/>
      <c r="I355" s="1064"/>
      <c r="J355" s="1064"/>
      <c r="K355" s="1064"/>
      <c r="L355" s="1064"/>
      <c r="M355" s="1064"/>
      <c r="N355" s="1065"/>
    </row>
    <row r="356" spans="1:14">
      <c r="A356" s="95" t="s">
        <v>380</v>
      </c>
      <c r="B356" s="86"/>
      <c r="C356" s="105">
        <f>D10</f>
        <v>63</v>
      </c>
      <c r="D356" s="86"/>
      <c r="E356" s="99"/>
      <c r="F356" s="886"/>
      <c r="G356" s="99"/>
      <c r="H356" s="886"/>
      <c r="I356" s="99"/>
      <c r="J356" s="886"/>
      <c r="K356" s="99"/>
      <c r="L356" s="886"/>
      <c r="M356" s="99"/>
      <c r="N356" s="575"/>
    </row>
    <row r="357" spans="1:14" ht="14.1" customHeight="1">
      <c r="A357" s="95" t="s">
        <v>381</v>
      </c>
      <c r="B357" s="86"/>
      <c r="C357" s="105">
        <f>D13</f>
        <v>43.306649999999998</v>
      </c>
      <c r="D357" s="86"/>
      <c r="E357" s="93"/>
      <c r="F357" s="86"/>
      <c r="G357" s="93"/>
      <c r="H357" s="86"/>
      <c r="I357" s="93"/>
      <c r="J357" s="86"/>
      <c r="K357" s="93"/>
      <c r="L357" s="86"/>
      <c r="M357" s="93"/>
      <c r="N357" s="325"/>
    </row>
    <row r="358" spans="1:14">
      <c r="A358" s="96" t="s">
        <v>382</v>
      </c>
      <c r="B358" s="863"/>
      <c r="C358" s="106"/>
      <c r="D358" s="863"/>
      <c r="E358" s="100"/>
      <c r="F358" s="98"/>
      <c r="G358" s="100"/>
      <c r="H358" s="98"/>
      <c r="I358" s="100"/>
      <c r="J358" s="98"/>
      <c r="K358" s="100"/>
      <c r="L358" s="98"/>
      <c r="M358" s="100"/>
      <c r="N358" s="437"/>
    </row>
    <row r="359" spans="1:14">
      <c r="A359" s="301" t="s">
        <v>76</v>
      </c>
      <c r="B359" s="86"/>
      <c r="C359" s="105">
        <f>D14</f>
        <v>58.288409999999999</v>
      </c>
      <c r="D359" s="86"/>
      <c r="E359" s="100"/>
      <c r="F359" s="98"/>
      <c r="G359" s="100"/>
      <c r="H359" s="98"/>
      <c r="I359" s="100"/>
      <c r="J359" s="98"/>
      <c r="K359" s="100"/>
      <c r="L359" s="98"/>
      <c r="M359" s="100"/>
      <c r="N359" s="437"/>
    </row>
    <row r="360" spans="1:14" ht="14.1" customHeight="1">
      <c r="A360" s="95" t="s">
        <v>13</v>
      </c>
      <c r="B360" s="86"/>
      <c r="C360" s="107">
        <f>D15</f>
        <v>125.17546918448181</v>
      </c>
      <c r="D360" s="86"/>
      <c r="E360" s="93"/>
      <c r="F360" s="86"/>
      <c r="G360" s="93"/>
      <c r="H360" s="86"/>
      <c r="I360" s="93"/>
      <c r="J360" s="86"/>
      <c r="K360" s="93"/>
      <c r="L360" s="86"/>
      <c r="M360" s="93"/>
      <c r="N360" s="325"/>
    </row>
    <row r="361" spans="1:14">
      <c r="A361" s="96" t="s">
        <v>383</v>
      </c>
      <c r="B361" s="863"/>
      <c r="C361" s="106">
        <f>E49</f>
        <v>0</v>
      </c>
      <c r="D361" s="863"/>
      <c r="E361" s="99"/>
      <c r="F361" s="886"/>
      <c r="G361" s="99"/>
      <c r="H361" s="886"/>
      <c r="I361" s="99"/>
      <c r="J361" s="886"/>
      <c r="K361" s="99"/>
      <c r="L361" s="886"/>
      <c r="M361" s="99"/>
      <c r="N361" s="575"/>
    </row>
    <row r="362" spans="1:14">
      <c r="A362" s="95" t="s">
        <v>384</v>
      </c>
      <c r="B362" s="86"/>
      <c r="C362" s="105">
        <f>E51</f>
        <v>0</v>
      </c>
      <c r="D362" s="86"/>
      <c r="E362" s="99"/>
      <c r="F362" s="886"/>
      <c r="G362" s="99"/>
      <c r="H362" s="886"/>
      <c r="I362" s="99"/>
      <c r="J362" s="886"/>
      <c r="K362" s="99"/>
      <c r="L362" s="886"/>
      <c r="M362" s="99"/>
      <c r="N362" s="575"/>
    </row>
    <row r="363" spans="1:14">
      <c r="A363" s="95" t="s">
        <v>385</v>
      </c>
      <c r="B363" s="86"/>
      <c r="C363" s="105">
        <f>E52</f>
        <v>0</v>
      </c>
      <c r="D363" s="86"/>
      <c r="E363" s="93"/>
      <c r="F363" s="86"/>
      <c r="G363" s="93"/>
      <c r="H363" s="86"/>
      <c r="I363" s="93"/>
      <c r="J363" s="86"/>
      <c r="K363" s="93"/>
      <c r="L363" s="86"/>
      <c r="M363" s="93"/>
      <c r="N363" s="325"/>
    </row>
    <row r="364" spans="1:14">
      <c r="A364" s="94" t="s">
        <v>77</v>
      </c>
      <c r="B364" s="576"/>
      <c r="C364" s="102">
        <v>0</v>
      </c>
      <c r="D364" s="576"/>
      <c r="E364" s="93"/>
      <c r="F364" s="86"/>
      <c r="G364" s="93"/>
      <c r="H364" s="86"/>
      <c r="I364" s="93"/>
      <c r="J364" s="86"/>
      <c r="K364" s="93"/>
      <c r="L364" s="86"/>
      <c r="M364" s="93"/>
      <c r="N364" s="325"/>
    </row>
    <row r="365" spans="1:14" ht="15" customHeight="1">
      <c r="A365" s="95" t="s">
        <v>386</v>
      </c>
      <c r="B365" s="86"/>
      <c r="C365" s="105"/>
      <c r="D365" s="86"/>
      <c r="E365" s="93"/>
      <c r="F365" s="86"/>
      <c r="G365" s="93"/>
      <c r="H365" s="86"/>
      <c r="I365" s="93"/>
      <c r="J365" s="86"/>
      <c r="K365" s="93"/>
      <c r="L365" s="86"/>
      <c r="M365" s="93"/>
      <c r="N365" s="325"/>
    </row>
    <row r="366" spans="1:14" ht="15" customHeight="1">
      <c r="A366" s="97" t="s">
        <v>387</v>
      </c>
      <c r="B366" s="875"/>
      <c r="C366" s="108"/>
      <c r="D366" s="875"/>
      <c r="E366" s="101"/>
      <c r="F366" s="887"/>
      <c r="G366" s="101"/>
      <c r="H366" s="887"/>
      <c r="I366" s="101"/>
      <c r="J366" s="887"/>
      <c r="K366" s="101"/>
      <c r="L366" s="887"/>
      <c r="M366" s="101"/>
      <c r="N366" s="889"/>
    </row>
    <row r="367" spans="1:14">
      <c r="A367" s="95" t="s">
        <v>357</v>
      </c>
      <c r="B367" s="335"/>
      <c r="C367" s="105"/>
      <c r="D367" s="335"/>
      <c r="E367" s="101"/>
      <c r="F367" s="426"/>
      <c r="G367" s="101"/>
      <c r="H367" s="426"/>
      <c r="I367" s="101"/>
      <c r="J367" s="426"/>
      <c r="K367" s="101"/>
      <c r="L367" s="426"/>
      <c r="M367" s="101"/>
      <c r="N367" s="429"/>
    </row>
    <row r="368" spans="1:14">
      <c r="A368" s="336" t="s">
        <v>20</v>
      </c>
      <c r="B368" s="355"/>
      <c r="C368" s="355"/>
      <c r="D368" s="112" t="s">
        <v>392</v>
      </c>
      <c r="E368" s="1066" t="s">
        <v>388</v>
      </c>
      <c r="F368" s="1067"/>
      <c r="G368" s="427"/>
      <c r="H368" s="430"/>
      <c r="I368" s="427"/>
      <c r="J368" s="427"/>
      <c r="K368" s="427"/>
      <c r="L368" s="427"/>
      <c r="M368" s="427"/>
      <c r="N368" s="428"/>
    </row>
    <row r="369" spans="1:14">
      <c r="A369" s="1054" t="s">
        <v>22</v>
      </c>
      <c r="B369" s="1055"/>
      <c r="C369" s="1055"/>
      <c r="D369" s="161" t="str">
        <f>C55</f>
        <v>12.0-16.0</v>
      </c>
      <c r="E369" s="887"/>
      <c r="F369" s="116">
        <f>E55</f>
        <v>11</v>
      </c>
      <c r="G369" s="887"/>
      <c r="H369" s="116">
        <f>G55</f>
        <v>0</v>
      </c>
      <c r="I369" s="887"/>
      <c r="J369" s="116">
        <f>I55</f>
        <v>0</v>
      </c>
      <c r="K369" s="887"/>
      <c r="L369" s="116">
        <f>K55</f>
        <v>0</v>
      </c>
      <c r="M369" s="158" t="str">
        <f>L55</f>
        <v>ND</v>
      </c>
      <c r="N369" s="889"/>
    </row>
    <row r="370" spans="1:14">
      <c r="A370" s="1054" t="s">
        <v>390</v>
      </c>
      <c r="B370" s="1055"/>
      <c r="C370" s="1055"/>
      <c r="D370" s="162" t="str">
        <f>C57</f>
        <v>36.0-47</v>
      </c>
      <c r="E370" s="86"/>
      <c r="F370" s="95">
        <f>E57</f>
        <v>32</v>
      </c>
      <c r="G370" s="86"/>
      <c r="H370" s="95">
        <f>G57</f>
        <v>0</v>
      </c>
      <c r="I370" s="86"/>
      <c r="J370" s="95">
        <f>I57</f>
        <v>0</v>
      </c>
      <c r="K370" s="86"/>
      <c r="L370" s="95">
        <f>K57</f>
        <v>0</v>
      </c>
      <c r="M370" s="159" t="str">
        <f>L57</f>
        <v>ND</v>
      </c>
      <c r="N370" s="325"/>
    </row>
    <row r="371" spans="1:14" ht="15" customHeight="1">
      <c r="A371" s="1054" t="s">
        <v>391</v>
      </c>
      <c r="B371" s="1055"/>
      <c r="C371" s="1055"/>
      <c r="D371" s="162" t="str">
        <f>C59</f>
        <v>4000-11200</v>
      </c>
      <c r="E371" s="86"/>
      <c r="F371" s="95">
        <f>E59</f>
        <v>12.7</v>
      </c>
      <c r="G371" s="86"/>
      <c r="H371" s="95">
        <f>G59</f>
        <v>0</v>
      </c>
      <c r="I371" s="86"/>
      <c r="J371" s="95">
        <f>I59</f>
        <v>0</v>
      </c>
      <c r="K371" s="86"/>
      <c r="L371" s="95">
        <f>K59</f>
        <v>0</v>
      </c>
      <c r="M371" s="159" t="str">
        <f>L59</f>
        <v>ND</v>
      </c>
      <c r="N371" s="325"/>
    </row>
    <row r="372" spans="1:14">
      <c r="A372" s="1056" t="s">
        <v>25</v>
      </c>
      <c r="B372" s="1057"/>
      <c r="C372" s="1057"/>
      <c r="D372" s="163" t="str">
        <f>C62</f>
        <v>65-110</v>
      </c>
      <c r="E372" s="886"/>
      <c r="F372" s="157">
        <f>E62</f>
        <v>109</v>
      </c>
      <c r="G372" s="886"/>
      <c r="H372" s="157">
        <f>G62</f>
        <v>0</v>
      </c>
      <c r="I372" s="886"/>
      <c r="J372" s="157">
        <f>I62</f>
        <v>0</v>
      </c>
      <c r="K372" s="886"/>
      <c r="L372" s="157">
        <f>K62</f>
        <v>0</v>
      </c>
      <c r="M372" s="160" t="str">
        <f>L62</f>
        <v>ND</v>
      </c>
      <c r="N372" s="575"/>
    </row>
    <row r="373" spans="1:14">
      <c r="A373" s="1054" t="s">
        <v>26</v>
      </c>
      <c r="B373" s="1055"/>
      <c r="C373" s="1055"/>
      <c r="D373" s="164" t="str">
        <f>C64</f>
        <v>14.0-44</v>
      </c>
      <c r="E373" s="886"/>
      <c r="F373" s="157">
        <f>E64</f>
        <v>41</v>
      </c>
      <c r="G373" s="886"/>
      <c r="H373" s="157">
        <f>G64</f>
        <v>0</v>
      </c>
      <c r="I373" s="886"/>
      <c r="J373" s="157">
        <f>I64</f>
        <v>0</v>
      </c>
      <c r="K373" s="886"/>
      <c r="L373" s="157">
        <f>K64</f>
        <v>0</v>
      </c>
      <c r="M373" s="160" t="str">
        <f>L64</f>
        <v>ND</v>
      </c>
      <c r="N373" s="575"/>
    </row>
    <row r="374" spans="1:14">
      <c r="A374" s="1054" t="s">
        <v>27</v>
      </c>
      <c r="B374" s="1055"/>
      <c r="C374" s="1055"/>
      <c r="D374" s="164" t="str">
        <f>C66</f>
        <v>3.4-7.0</v>
      </c>
      <c r="E374" s="886"/>
      <c r="F374" s="157">
        <f>E66</f>
        <v>0</v>
      </c>
      <c r="G374" s="886"/>
      <c r="H374" s="157">
        <f>G66</f>
        <v>0</v>
      </c>
      <c r="I374" s="886"/>
      <c r="J374" s="157">
        <f>I66</f>
        <v>0</v>
      </c>
      <c r="K374" s="886"/>
      <c r="L374" s="157">
        <f>K66</f>
        <v>0</v>
      </c>
      <c r="M374" s="160" t="str">
        <f>L66</f>
        <v>ND</v>
      </c>
      <c r="N374" s="575"/>
    </row>
    <row r="375" spans="1:14">
      <c r="A375" s="1054" t="s">
        <v>28</v>
      </c>
      <c r="B375" s="1055"/>
      <c r="C375" s="1055"/>
      <c r="D375" s="162" t="str">
        <f>C68</f>
        <v>0.5-1.6</v>
      </c>
      <c r="E375" s="886"/>
      <c r="F375" s="157">
        <f>E68</f>
        <v>0</v>
      </c>
      <c r="G375" s="886"/>
      <c r="H375" s="157">
        <f>G68</f>
        <v>0</v>
      </c>
      <c r="I375" s="886"/>
      <c r="J375" s="157">
        <f>I68</f>
        <v>0</v>
      </c>
      <c r="K375" s="886"/>
      <c r="L375" s="157">
        <f>K68</f>
        <v>0</v>
      </c>
      <c r="M375" s="160" t="str">
        <f>L68</f>
        <v>ND</v>
      </c>
      <c r="N375" s="575"/>
    </row>
    <row r="376" spans="1:14">
      <c r="A376" s="1054" t="s">
        <v>30</v>
      </c>
      <c r="B376" s="1055"/>
      <c r="C376" s="1055"/>
      <c r="D376" s="162" t="str">
        <f>C71</f>
        <v>6.4-8.3</v>
      </c>
      <c r="E376" s="886"/>
      <c r="F376" s="157">
        <f>E71</f>
        <v>0</v>
      </c>
      <c r="G376" s="886"/>
      <c r="H376" s="157">
        <f>G71</f>
        <v>0</v>
      </c>
      <c r="I376" s="886"/>
      <c r="J376" s="157">
        <f>I71</f>
        <v>0</v>
      </c>
      <c r="K376" s="886"/>
      <c r="L376" s="157">
        <f>K71</f>
        <v>0</v>
      </c>
      <c r="M376" s="160" t="str">
        <f>L71</f>
        <v>ND</v>
      </c>
      <c r="N376" s="575"/>
    </row>
    <row r="377" spans="1:14">
      <c r="A377" s="1054" t="s">
        <v>31</v>
      </c>
      <c r="B377" s="1055"/>
      <c r="C377" s="1055"/>
      <c r="D377" s="162" t="str">
        <f>C73</f>
        <v>3.4- 5.0</v>
      </c>
      <c r="E377" s="886"/>
      <c r="F377" s="157">
        <f>E73</f>
        <v>0</v>
      </c>
      <c r="G377" s="886"/>
      <c r="H377" s="157">
        <f>G73</f>
        <v>0</v>
      </c>
      <c r="I377" s="886"/>
      <c r="J377" s="157">
        <f>I73</f>
        <v>0</v>
      </c>
      <c r="K377" s="886"/>
      <c r="L377" s="157">
        <f>K73</f>
        <v>0</v>
      </c>
      <c r="M377" s="160" t="str">
        <f>L73</f>
        <v>ND</v>
      </c>
      <c r="N377" s="575"/>
    </row>
    <row r="378" spans="1:14">
      <c r="A378" s="1054" t="s">
        <v>36</v>
      </c>
      <c r="B378" s="1055"/>
      <c r="C378" s="1055"/>
      <c r="D378" s="162"/>
      <c r="E378" s="886"/>
      <c r="F378" s="157"/>
      <c r="G378" s="886"/>
      <c r="H378" s="157"/>
      <c r="I378" s="886"/>
      <c r="J378" s="157"/>
      <c r="K378" s="886"/>
      <c r="L378" s="157"/>
      <c r="M378" s="160"/>
      <c r="N378" s="575"/>
    </row>
    <row r="379" spans="1:14">
      <c r="A379" s="1054" t="s">
        <v>32</v>
      </c>
      <c r="B379" s="1055"/>
      <c r="C379" s="1055"/>
      <c r="D379" s="162"/>
      <c r="E379" s="886"/>
      <c r="F379" s="157"/>
      <c r="G379" s="886"/>
      <c r="H379" s="157"/>
      <c r="I379" s="886"/>
      <c r="J379" s="157"/>
      <c r="K379" s="886"/>
      <c r="L379" s="157"/>
      <c r="M379" s="160"/>
      <c r="N379" s="575"/>
    </row>
    <row r="380" spans="1:14" ht="15" customHeight="1">
      <c r="A380" s="1054" t="s">
        <v>33</v>
      </c>
      <c r="B380" s="1055"/>
      <c r="C380" s="1055"/>
      <c r="D380" s="162" t="str">
        <f>C76</f>
        <v>140-200mg</v>
      </c>
      <c r="E380" s="86"/>
      <c r="F380" s="95">
        <f>E76</f>
        <v>0</v>
      </c>
      <c r="G380" s="86"/>
      <c r="H380" s="95">
        <f>G76</f>
        <v>0</v>
      </c>
      <c r="I380" s="86"/>
      <c r="J380" s="95">
        <f>I76</f>
        <v>0</v>
      </c>
      <c r="K380" s="86"/>
      <c r="L380" s="95">
        <f>K76</f>
        <v>0</v>
      </c>
      <c r="M380" s="159" t="str">
        <f>L76</f>
        <v>ND</v>
      </c>
      <c r="N380" s="325"/>
    </row>
    <row r="381" spans="1:14">
      <c r="A381" s="1052" t="s">
        <v>34</v>
      </c>
      <c r="B381" s="1053"/>
      <c r="C381" s="1053"/>
      <c r="D381" s="165" t="str">
        <f>C78</f>
        <v>40-160</v>
      </c>
      <c r="E381" s="887"/>
      <c r="F381" s="116">
        <f>E78</f>
        <v>0</v>
      </c>
      <c r="G381" s="887"/>
      <c r="H381" s="116">
        <f>G78</f>
        <v>0</v>
      </c>
      <c r="I381" s="887"/>
      <c r="J381" s="116">
        <f>I78</f>
        <v>0</v>
      </c>
      <c r="K381" s="887"/>
      <c r="L381" s="116">
        <f>K78</f>
        <v>0</v>
      </c>
      <c r="M381" s="158" t="str">
        <f>L78</f>
        <v>ND</v>
      </c>
      <c r="N381" s="889"/>
    </row>
    <row r="382" spans="1:14">
      <c r="A382" s="1054" t="s">
        <v>35</v>
      </c>
      <c r="B382" s="1055"/>
      <c r="C382" s="1055"/>
      <c r="D382" s="162"/>
      <c r="E382" s="887"/>
      <c r="F382" s="116"/>
      <c r="G382" s="887"/>
      <c r="H382" s="116"/>
      <c r="I382" s="887"/>
      <c r="J382" s="116"/>
      <c r="K382" s="887"/>
      <c r="L382" s="116"/>
      <c r="M382" s="158"/>
      <c r="N382" s="889"/>
    </row>
    <row r="383" spans="1:14">
      <c r="A383" s="1054" t="s">
        <v>357</v>
      </c>
      <c r="B383" s="1055"/>
      <c r="C383" s="1055"/>
      <c r="D383" s="162"/>
      <c r="E383" s="887"/>
      <c r="F383" s="116"/>
      <c r="G383" s="887"/>
      <c r="H383" s="116"/>
      <c r="I383" s="887"/>
      <c r="J383" s="116"/>
      <c r="K383" s="887"/>
      <c r="L383" s="116"/>
      <c r="M383" s="158"/>
      <c r="N383" s="889"/>
    </row>
    <row r="384" spans="1:14">
      <c r="A384" s="331"/>
      <c r="B384" s="86"/>
      <c r="C384" s="86"/>
      <c r="D384" s="86"/>
      <c r="E384" s="887"/>
      <c r="F384" s="887"/>
      <c r="G384" s="887"/>
      <c r="H384" s="887"/>
      <c r="I384" s="887"/>
      <c r="J384" s="887"/>
      <c r="K384" s="887"/>
      <c r="L384" s="887"/>
      <c r="M384" s="887"/>
      <c r="N384" s="889"/>
    </row>
    <row r="385" spans="1:14" ht="15" customHeight="1">
      <c r="A385" s="1037" t="s">
        <v>544</v>
      </c>
      <c r="B385" s="1038"/>
      <c r="C385" s="1038"/>
      <c r="D385" s="1038"/>
      <c r="E385" s="1038"/>
      <c r="F385" s="1038"/>
      <c r="G385" s="1038"/>
      <c r="H385" s="1038"/>
      <c r="I385" s="1038"/>
      <c r="J385" s="1038"/>
      <c r="K385" s="1038"/>
      <c r="L385" s="1038"/>
      <c r="M385" s="1038"/>
      <c r="N385" s="1039"/>
    </row>
    <row r="386" spans="1:14">
      <c r="A386" s="1002"/>
      <c r="B386" s="1003"/>
      <c r="C386" s="1003"/>
      <c r="D386" s="1003"/>
      <c r="E386" s="1003"/>
      <c r="F386" s="1003"/>
      <c r="G386" s="1003"/>
      <c r="H386" s="1003"/>
      <c r="I386" s="1003"/>
      <c r="J386" s="1003"/>
      <c r="K386" s="1003"/>
      <c r="L386" s="1003"/>
      <c r="M386" s="1003"/>
      <c r="N386" s="1040"/>
    </row>
    <row r="387" spans="1:14">
      <c r="A387" s="1002"/>
      <c r="B387" s="1003"/>
      <c r="C387" s="1003"/>
      <c r="D387" s="1003"/>
      <c r="E387" s="1003"/>
      <c r="F387" s="1003"/>
      <c r="G387" s="1003"/>
      <c r="H387" s="1003"/>
      <c r="I387" s="1003"/>
      <c r="J387" s="1003"/>
      <c r="K387" s="1003"/>
      <c r="L387" s="1003"/>
      <c r="M387" s="1003"/>
      <c r="N387" s="1040"/>
    </row>
    <row r="388" spans="1:14">
      <c r="A388" s="1002"/>
      <c r="B388" s="1003"/>
      <c r="C388" s="1003"/>
      <c r="D388" s="1003"/>
      <c r="E388" s="1003"/>
      <c r="F388" s="1003"/>
      <c r="G388" s="1003"/>
      <c r="H388" s="1003"/>
      <c r="I388" s="1003"/>
      <c r="J388" s="1003"/>
      <c r="K388" s="1003"/>
      <c r="L388" s="1003"/>
      <c r="M388" s="1003"/>
      <c r="N388" s="1040"/>
    </row>
    <row r="389" spans="1:14">
      <c r="A389" s="1041"/>
      <c r="B389" s="1042"/>
      <c r="C389" s="1042"/>
      <c r="D389" s="1042"/>
      <c r="E389" s="1042"/>
      <c r="F389" s="1042"/>
      <c r="G389" s="1042"/>
      <c r="H389" s="1042"/>
      <c r="I389" s="1042"/>
      <c r="J389" s="1042"/>
      <c r="K389" s="1042"/>
      <c r="L389" s="1042"/>
      <c r="M389" s="1042"/>
      <c r="N389" s="1043"/>
    </row>
    <row r="390" spans="1:14">
      <c r="A390" s="1037"/>
      <c r="B390" s="1038"/>
      <c r="C390" s="1038"/>
      <c r="D390" s="1038"/>
      <c r="E390" s="1038"/>
      <c r="F390" s="1038"/>
      <c r="G390" s="1038"/>
      <c r="H390" s="1038"/>
      <c r="I390" s="1038"/>
      <c r="J390" s="1038"/>
      <c r="K390" s="1038"/>
      <c r="L390" s="1038"/>
      <c r="M390" s="1038"/>
      <c r="N390" s="1039"/>
    </row>
    <row r="391" spans="1:14" ht="17.100000000000001" customHeight="1">
      <c r="A391" s="1002"/>
      <c r="B391" s="1003"/>
      <c r="C391" s="1003"/>
      <c r="D391" s="1003"/>
      <c r="E391" s="1003"/>
      <c r="F391" s="1003"/>
      <c r="G391" s="1003"/>
      <c r="H391" s="1003"/>
      <c r="I391" s="1003"/>
      <c r="J391" s="1003"/>
      <c r="K391" s="1003"/>
      <c r="L391" s="1003"/>
      <c r="M391" s="1003"/>
      <c r="N391" s="1040"/>
    </row>
    <row r="392" spans="1:14" ht="15" customHeight="1">
      <c r="A392" s="1002"/>
      <c r="B392" s="1003"/>
      <c r="C392" s="1003"/>
      <c r="D392" s="1003"/>
      <c r="E392" s="1003"/>
      <c r="F392" s="1003"/>
      <c r="G392" s="1003"/>
      <c r="H392" s="1003"/>
      <c r="I392" s="1003"/>
      <c r="J392" s="1003"/>
      <c r="K392" s="1003"/>
      <c r="L392" s="1003"/>
      <c r="M392" s="1003"/>
      <c r="N392" s="1040"/>
    </row>
    <row r="393" spans="1:14" ht="15.75" customHeight="1">
      <c r="A393" s="1002"/>
      <c r="B393" s="1003"/>
      <c r="C393" s="1003"/>
      <c r="D393" s="1003"/>
      <c r="E393" s="1003"/>
      <c r="F393" s="1003"/>
      <c r="G393" s="1003"/>
      <c r="H393" s="1003"/>
      <c r="I393" s="1003"/>
      <c r="J393" s="1003"/>
      <c r="K393" s="1003"/>
      <c r="L393" s="1003"/>
      <c r="M393" s="1003"/>
      <c r="N393" s="1040"/>
    </row>
    <row r="394" spans="1:14">
      <c r="A394" s="1041"/>
      <c r="B394" s="1042"/>
      <c r="C394" s="1042"/>
      <c r="D394" s="1042"/>
      <c r="E394" s="1042"/>
      <c r="F394" s="1042"/>
      <c r="G394" s="1042"/>
      <c r="H394" s="1042"/>
      <c r="I394" s="1042"/>
      <c r="J394" s="1042"/>
      <c r="K394" s="1042"/>
      <c r="L394" s="1042"/>
      <c r="M394" s="1042"/>
      <c r="N394" s="1043"/>
    </row>
    <row r="395" spans="1:14">
      <c r="A395" s="1037"/>
      <c r="B395" s="1038"/>
      <c r="C395" s="1038"/>
      <c r="D395" s="1038"/>
      <c r="E395" s="1038"/>
      <c r="F395" s="1038"/>
      <c r="G395" s="1038"/>
      <c r="H395" s="1038"/>
      <c r="I395" s="1038"/>
      <c r="J395" s="1038"/>
      <c r="K395" s="1038"/>
      <c r="L395" s="1038"/>
      <c r="M395" s="1038"/>
      <c r="N395" s="1039"/>
    </row>
    <row r="396" spans="1:14">
      <c r="A396" s="1002"/>
      <c r="B396" s="1003"/>
      <c r="C396" s="1003"/>
      <c r="D396" s="1003"/>
      <c r="E396" s="1003"/>
      <c r="F396" s="1003"/>
      <c r="G396" s="1003"/>
      <c r="H396" s="1003"/>
      <c r="I396" s="1003"/>
      <c r="J396" s="1003"/>
      <c r="K396" s="1003"/>
      <c r="L396" s="1003"/>
      <c r="M396" s="1003"/>
      <c r="N396" s="1040"/>
    </row>
    <row r="397" spans="1:14">
      <c r="A397" s="1002"/>
      <c r="B397" s="1003"/>
      <c r="C397" s="1003"/>
      <c r="D397" s="1003"/>
      <c r="E397" s="1003"/>
      <c r="F397" s="1003"/>
      <c r="G397" s="1003"/>
      <c r="H397" s="1003"/>
      <c r="I397" s="1003"/>
      <c r="J397" s="1003"/>
      <c r="K397" s="1003"/>
      <c r="L397" s="1003"/>
      <c r="M397" s="1003"/>
      <c r="N397" s="1040"/>
    </row>
    <row r="398" spans="1:14">
      <c r="A398" s="1002"/>
      <c r="B398" s="1003"/>
      <c r="C398" s="1003"/>
      <c r="D398" s="1003"/>
      <c r="E398" s="1003"/>
      <c r="F398" s="1003"/>
      <c r="G398" s="1003"/>
      <c r="H398" s="1003"/>
      <c r="I398" s="1003"/>
      <c r="J398" s="1003"/>
      <c r="K398" s="1003"/>
      <c r="L398" s="1003"/>
      <c r="M398" s="1003"/>
      <c r="N398" s="1040"/>
    </row>
    <row r="399" spans="1:14">
      <c r="A399" s="1041"/>
      <c r="B399" s="1042"/>
      <c r="C399" s="1042"/>
      <c r="D399" s="1042"/>
      <c r="E399" s="1042"/>
      <c r="F399" s="1042"/>
      <c r="G399" s="1042"/>
      <c r="H399" s="1042"/>
      <c r="I399" s="1042"/>
      <c r="J399" s="1042"/>
      <c r="K399" s="1042"/>
      <c r="L399" s="1042"/>
      <c r="M399" s="1042"/>
      <c r="N399" s="1043"/>
    </row>
    <row r="400" spans="1:14">
      <c r="A400" s="1037"/>
      <c r="B400" s="1038"/>
      <c r="C400" s="1038"/>
      <c r="D400" s="1038"/>
      <c r="E400" s="1038"/>
      <c r="F400" s="1038"/>
      <c r="G400" s="1038"/>
      <c r="H400" s="1038"/>
      <c r="I400" s="1038"/>
      <c r="J400" s="1038"/>
      <c r="K400" s="1038"/>
      <c r="L400" s="1038"/>
      <c r="M400" s="1038"/>
      <c r="N400" s="1039"/>
    </row>
    <row r="401" spans="1:18">
      <c r="A401" s="1002"/>
      <c r="B401" s="1003"/>
      <c r="C401" s="1003"/>
      <c r="D401" s="1003"/>
      <c r="E401" s="1003"/>
      <c r="F401" s="1003"/>
      <c r="G401" s="1003"/>
      <c r="H401" s="1003"/>
      <c r="I401" s="1003"/>
      <c r="J401" s="1003"/>
      <c r="K401" s="1003"/>
      <c r="L401" s="1003"/>
      <c r="M401" s="1003"/>
      <c r="N401" s="1040"/>
    </row>
    <row r="402" spans="1:18" ht="15.75" customHeight="1">
      <c r="A402" s="1002"/>
      <c r="B402" s="1003"/>
      <c r="C402" s="1003"/>
      <c r="D402" s="1003"/>
      <c r="E402" s="1003"/>
      <c r="F402" s="1003"/>
      <c r="G402" s="1003"/>
      <c r="H402" s="1003"/>
      <c r="I402" s="1003"/>
      <c r="J402" s="1003"/>
      <c r="K402" s="1003"/>
      <c r="L402" s="1003"/>
      <c r="M402" s="1003"/>
      <c r="N402" s="1040"/>
    </row>
    <row r="403" spans="1:18">
      <c r="A403" s="1002"/>
      <c r="B403" s="1003"/>
      <c r="C403" s="1003"/>
      <c r="D403" s="1003"/>
      <c r="E403" s="1003"/>
      <c r="F403" s="1003"/>
      <c r="G403" s="1003"/>
      <c r="H403" s="1003"/>
      <c r="I403" s="1003"/>
      <c r="J403" s="1003"/>
      <c r="K403" s="1003"/>
      <c r="L403" s="1003"/>
      <c r="M403" s="1003"/>
      <c r="N403" s="1040"/>
    </row>
    <row r="404" spans="1:18">
      <c r="A404" s="1041"/>
      <c r="B404" s="1042"/>
      <c r="C404" s="1042"/>
      <c r="D404" s="1042"/>
      <c r="E404" s="1042"/>
      <c r="F404" s="1042"/>
      <c r="G404" s="1042"/>
      <c r="H404" s="1042"/>
      <c r="I404" s="1042"/>
      <c r="J404" s="1042"/>
      <c r="K404" s="1042"/>
      <c r="L404" s="1042"/>
      <c r="M404" s="1042"/>
      <c r="N404" s="1043"/>
      <c r="P404" s="2"/>
      <c r="Q404" s="2"/>
      <c r="R404" s="2"/>
    </row>
    <row r="405" spans="1:18">
      <c r="A405" s="331"/>
      <c r="B405" s="86"/>
      <c r="C405" s="86"/>
      <c r="D405" s="86"/>
      <c r="E405" s="86"/>
      <c r="F405" s="86"/>
      <c r="G405" s="86"/>
      <c r="H405" s="86"/>
      <c r="I405" s="86"/>
      <c r="J405" s="86"/>
      <c r="K405" s="86"/>
      <c r="L405" s="86"/>
      <c r="M405" s="86"/>
      <c r="N405" s="325"/>
      <c r="P405" s="2"/>
      <c r="Q405" s="2"/>
      <c r="R405" s="2"/>
    </row>
    <row r="406" spans="1:18">
      <c r="A406" s="331"/>
      <c r="B406" s="86"/>
      <c r="C406" s="86"/>
      <c r="D406" s="86"/>
      <c r="E406" s="86"/>
      <c r="F406" s="86"/>
      <c r="G406" s="86"/>
      <c r="H406" s="86"/>
      <c r="I406" s="86"/>
      <c r="J406" s="86"/>
      <c r="K406" s="86"/>
      <c r="L406" s="86"/>
      <c r="M406" s="86"/>
      <c r="N406" s="325"/>
      <c r="O406" s="2"/>
    </row>
    <row r="407" spans="1:18" ht="15.75">
      <c r="A407" s="1044"/>
      <c r="B407" s="1045"/>
      <c r="C407" s="86"/>
      <c r="D407" s="86"/>
      <c r="E407" s="86"/>
      <c r="F407" s="86"/>
      <c r="G407" s="86"/>
      <c r="H407" s="86"/>
      <c r="I407" s="86"/>
      <c r="J407" s="86"/>
      <c r="K407" s="86"/>
      <c r="L407" s="86"/>
      <c r="M407" s="86"/>
      <c r="N407" s="325"/>
      <c r="O407" s="2"/>
      <c r="P407" s="2"/>
      <c r="Q407" s="2"/>
      <c r="R407" s="2"/>
    </row>
    <row r="408" spans="1:18">
      <c r="A408" s="331"/>
      <c r="B408" s="86"/>
      <c r="C408" s="86"/>
      <c r="D408" s="86"/>
      <c r="E408" s="86"/>
      <c r="F408" s="86"/>
      <c r="G408" s="86"/>
      <c r="H408" s="86"/>
      <c r="I408" s="86"/>
      <c r="J408" s="86"/>
      <c r="K408" s="86"/>
      <c r="L408" s="86"/>
      <c r="M408" s="86"/>
      <c r="N408" s="325"/>
      <c r="O408" s="4"/>
      <c r="P408" s="36"/>
      <c r="Q408" s="36"/>
      <c r="R408" s="36"/>
    </row>
    <row r="409" spans="1:18">
      <c r="A409" s="1046" t="s">
        <v>404</v>
      </c>
      <c r="B409" s="1047"/>
      <c r="C409" s="1047"/>
      <c r="D409" s="1047"/>
      <c r="E409" s="1047"/>
      <c r="F409" s="88">
        <f>C39</f>
        <v>0</v>
      </c>
      <c r="G409" s="110"/>
      <c r="H409" s="110"/>
      <c r="I409" s="110"/>
      <c r="J409" s="110"/>
      <c r="K409" s="110"/>
      <c r="L409" s="110"/>
      <c r="M409" s="110"/>
      <c r="N409" s="431"/>
      <c r="O409" s="2"/>
      <c r="P409" s="2"/>
    </row>
    <row r="410" spans="1:18" ht="15" customHeight="1">
      <c r="A410" s="1048"/>
      <c r="B410" s="1030"/>
      <c r="C410" s="86"/>
      <c r="D410" s="86"/>
      <c r="E410" s="86"/>
      <c r="F410" s="86"/>
      <c r="G410" s="86"/>
      <c r="H410" s="86"/>
      <c r="I410" s="86"/>
      <c r="J410" s="86"/>
      <c r="K410" s="86"/>
      <c r="L410" s="86"/>
      <c r="M410" s="86"/>
      <c r="N410" s="325"/>
      <c r="O410" s="36"/>
      <c r="P410" s="2"/>
    </row>
    <row r="411" spans="1:18">
      <c r="A411" s="1046"/>
      <c r="B411" s="1047"/>
      <c r="C411" s="1047"/>
      <c r="D411" s="1047"/>
      <c r="E411" s="1047"/>
      <c r="F411" s="221"/>
      <c r="G411" s="221"/>
      <c r="H411" s="221"/>
      <c r="I411" s="221"/>
      <c r="J411" s="221"/>
      <c r="K411" s="221"/>
      <c r="L411" s="221"/>
      <c r="M411" s="221"/>
      <c r="N411" s="305"/>
      <c r="O411" s="2"/>
    </row>
    <row r="412" spans="1:18">
      <c r="A412" s="856"/>
      <c r="B412" s="857"/>
      <c r="C412" s="857"/>
      <c r="D412" s="857"/>
      <c r="E412" s="857"/>
      <c r="F412" s="221"/>
      <c r="G412" s="221"/>
      <c r="H412" s="221"/>
      <c r="I412" s="221"/>
      <c r="J412" s="221"/>
      <c r="K412" s="221"/>
      <c r="L412" s="221"/>
      <c r="M412" s="221"/>
      <c r="N412" s="305"/>
      <c r="O412" s="2"/>
    </row>
    <row r="413" spans="1:18">
      <c r="A413" s="856"/>
      <c r="B413" s="857"/>
      <c r="C413" s="857"/>
      <c r="D413" s="857"/>
      <c r="E413" s="857"/>
      <c r="F413" s="221"/>
      <c r="G413" s="221"/>
      <c r="H413" s="221"/>
      <c r="I413" s="221"/>
      <c r="J413" s="221"/>
      <c r="K413" s="221"/>
      <c r="L413" s="221"/>
      <c r="M413" s="221"/>
      <c r="N413" s="305"/>
      <c r="O413" s="2"/>
    </row>
    <row r="414" spans="1:18">
      <c r="A414" s="351"/>
      <c r="B414" s="335"/>
      <c r="C414" s="335"/>
      <c r="D414" s="335"/>
      <c r="E414" s="335"/>
      <c r="F414" s="306"/>
      <c r="G414" s="306"/>
      <c r="H414" s="306"/>
      <c r="I414" s="306"/>
      <c r="J414" s="306"/>
      <c r="K414" s="306"/>
      <c r="L414" s="306"/>
      <c r="M414" s="306"/>
      <c r="N414" s="432"/>
      <c r="O414" s="4"/>
    </row>
    <row r="415" spans="1:18">
      <c r="A415" s="336"/>
      <c r="B415" s="343" t="s">
        <v>71</v>
      </c>
      <c r="C415" s="343"/>
      <c r="D415" s="343"/>
      <c r="E415" s="343"/>
      <c r="F415" s="344"/>
      <c r="G415" s="344"/>
      <c r="H415" s="344"/>
      <c r="I415" s="344"/>
      <c r="J415" s="344"/>
      <c r="K415" s="344"/>
      <c r="L415" s="344"/>
      <c r="M415" s="344"/>
      <c r="N415" s="345"/>
      <c r="O415" s="37"/>
    </row>
    <row r="416" spans="1:18">
      <c r="A416" s="337"/>
      <c r="B416" s="334" t="s">
        <v>471</v>
      </c>
      <c r="C416" s="334"/>
      <c r="D416" s="334"/>
      <c r="E416" s="334"/>
      <c r="F416" s="334"/>
      <c r="G416" s="334"/>
      <c r="H416" s="333"/>
      <c r="I416" s="333"/>
      <c r="J416" s="333"/>
      <c r="K416" s="333"/>
      <c r="L416" s="333"/>
      <c r="M416" s="333"/>
      <c r="N416" s="346"/>
    </row>
    <row r="417" spans="1:17">
      <c r="A417" s="1049" t="s">
        <v>1</v>
      </c>
      <c r="B417" s="1050"/>
      <c r="C417" s="1050"/>
      <c r="D417" s="1050"/>
      <c r="E417" s="1050"/>
      <c r="F417" s="1050"/>
      <c r="G417" s="1050"/>
      <c r="H417" s="1050"/>
      <c r="I417" s="1050"/>
      <c r="J417" s="1050"/>
      <c r="K417" s="1050"/>
      <c r="L417" s="1050"/>
      <c r="M417" s="1050"/>
      <c r="N417" s="1051"/>
    </row>
    <row r="418" spans="1:17">
      <c r="A418" s="1027" t="s">
        <v>472</v>
      </c>
      <c r="B418" s="1028"/>
      <c r="C418" s="1028"/>
      <c r="D418" s="1028"/>
      <c r="E418" s="1028"/>
      <c r="F418" s="1028"/>
      <c r="G418" s="1028"/>
      <c r="H418" s="1028"/>
      <c r="I418" s="1028"/>
      <c r="J418" s="1028"/>
      <c r="K418" s="1028"/>
      <c r="L418" s="1028"/>
      <c r="M418" s="1028"/>
      <c r="N418" s="1029"/>
      <c r="O418" s="497">
        <v>8</v>
      </c>
    </row>
    <row r="419" spans="1:17">
      <c r="A419" s="338" t="s">
        <v>473</v>
      </c>
      <c r="B419" s="1030" t="s">
        <v>474</v>
      </c>
      <c r="C419" s="1030"/>
      <c r="D419" s="1030"/>
      <c r="E419" s="86"/>
      <c r="F419" s="86"/>
      <c r="G419" s="86"/>
      <c r="H419" s="86" t="s">
        <v>396</v>
      </c>
      <c r="I419" s="861"/>
      <c r="J419" s="861"/>
      <c r="K419" s="861"/>
      <c r="L419" s="86"/>
      <c r="M419" s="86"/>
      <c r="N419" s="347"/>
      <c r="O419" s="497">
        <v>7</v>
      </c>
    </row>
    <row r="420" spans="1:17">
      <c r="A420" s="860" t="s">
        <v>475</v>
      </c>
      <c r="B420" s="1030"/>
      <c r="C420" s="1030"/>
      <c r="D420" s="1030"/>
      <c r="E420" s="1030"/>
      <c r="F420" s="1030"/>
      <c r="G420" s="1030"/>
      <c r="H420" s="1030"/>
      <c r="I420" s="1030"/>
      <c r="J420" s="1030"/>
      <c r="K420" s="1030"/>
      <c r="L420" s="1030"/>
      <c r="M420" s="1030"/>
      <c r="N420" s="325"/>
      <c r="O420" s="497">
        <v>6</v>
      </c>
    </row>
    <row r="421" spans="1:17" ht="15.75" thickBot="1">
      <c r="A421" s="339" t="s">
        <v>291</v>
      </c>
      <c r="B421" s="1030"/>
      <c r="C421" s="1030"/>
      <c r="D421" s="1030"/>
      <c r="E421" s="1030"/>
      <c r="F421" s="86"/>
      <c r="G421" s="86" t="s">
        <v>476</v>
      </c>
      <c r="H421" s="858" t="s">
        <v>478</v>
      </c>
      <c r="I421" s="855"/>
      <c r="J421" s="86" t="s">
        <v>477</v>
      </c>
      <c r="K421" s="86"/>
      <c r="L421" s="86"/>
      <c r="M421" s="86"/>
      <c r="N421" s="325"/>
      <c r="O421" s="497">
        <v>5</v>
      </c>
      <c r="Q421" s="33"/>
    </row>
    <row r="422" spans="1:17" ht="15" customHeight="1" thickBot="1">
      <c r="A422" s="340" t="s">
        <v>480</v>
      </c>
      <c r="B422" s="311"/>
      <c r="C422" s="311"/>
      <c r="D422" s="311"/>
      <c r="E422" s="311"/>
      <c r="F422" s="312"/>
      <c r="G422" s="312"/>
      <c r="H422" s="312"/>
      <c r="I422" s="312"/>
      <c r="J422" s="312"/>
      <c r="K422" s="1031" t="s">
        <v>15</v>
      </c>
      <c r="L422" s="1032"/>
      <c r="M422" s="1032"/>
      <c r="N422" s="1033"/>
      <c r="O422" s="497">
        <v>4</v>
      </c>
      <c r="Q422" s="33"/>
    </row>
    <row r="423" spans="1:17" ht="15.75" thickBot="1">
      <c r="A423" s="331" t="s">
        <v>481</v>
      </c>
      <c r="B423" s="86"/>
      <c r="C423" s="86"/>
      <c r="D423" s="86"/>
      <c r="E423" s="86"/>
      <c r="F423" s="302"/>
      <c r="G423" s="312"/>
      <c r="H423" s="302" t="s">
        <v>402</v>
      </c>
      <c r="I423" s="302"/>
      <c r="J423" s="318"/>
      <c r="K423" s="302"/>
      <c r="L423" s="318"/>
      <c r="M423" s="318"/>
      <c r="N423" s="318"/>
      <c r="O423" s="497" t="s">
        <v>478</v>
      </c>
    </row>
    <row r="424" spans="1:17">
      <c r="A424" s="331" t="s">
        <v>482</v>
      </c>
      <c r="B424" s="86"/>
      <c r="C424" s="86"/>
      <c r="D424" s="86"/>
      <c r="E424" s="86"/>
      <c r="F424" s="302"/>
      <c r="G424" s="302"/>
      <c r="H424" s="302"/>
      <c r="I424" s="302"/>
      <c r="J424" s="303"/>
      <c r="K424" s="302"/>
      <c r="L424" s="303"/>
      <c r="M424" s="303"/>
      <c r="N424" s="303"/>
      <c r="O424" s="498" t="s">
        <v>479</v>
      </c>
    </row>
    <row r="425" spans="1:17" ht="15.75" thickBot="1">
      <c r="A425" s="331" t="s">
        <v>483</v>
      </c>
      <c r="B425" s="86"/>
      <c r="C425" s="86"/>
      <c r="D425" s="316"/>
      <c r="E425" s="86"/>
      <c r="F425" s="302"/>
      <c r="G425" s="302"/>
      <c r="H425" s="302"/>
      <c r="I425" s="302"/>
      <c r="J425" s="303"/>
      <c r="K425" s="302"/>
      <c r="L425" s="303"/>
      <c r="M425" s="303"/>
      <c r="N425" s="303"/>
      <c r="O425" s="498">
        <v>2</v>
      </c>
    </row>
    <row r="426" spans="1:17" ht="15.75" thickBot="1">
      <c r="A426" s="331" t="s">
        <v>484</v>
      </c>
      <c r="B426" s="86"/>
      <c r="C426" s="86"/>
      <c r="D426" s="313"/>
      <c r="E426" s="86"/>
      <c r="F426" s="302"/>
      <c r="G426" s="302"/>
      <c r="H426" s="302"/>
      <c r="I426" s="302"/>
      <c r="J426" s="303"/>
      <c r="K426" s="302"/>
      <c r="L426" s="303"/>
      <c r="M426" s="303"/>
      <c r="N426" s="303"/>
      <c r="O426" s="32"/>
    </row>
    <row r="427" spans="1:17" ht="15.75" thickBot="1">
      <c r="A427" s="331" t="s">
        <v>485</v>
      </c>
      <c r="B427" s="86"/>
      <c r="C427" s="316"/>
      <c r="D427" s="86"/>
      <c r="E427" s="86"/>
      <c r="F427" s="302"/>
      <c r="G427" s="302"/>
      <c r="H427" s="302"/>
      <c r="I427" s="302"/>
      <c r="J427" s="303"/>
      <c r="K427" s="302"/>
      <c r="L427" s="303"/>
      <c r="M427" s="303"/>
      <c r="N427" s="303"/>
      <c r="O427" s="32"/>
    </row>
    <row r="428" spans="1:17" ht="15.75" thickBot="1">
      <c r="A428" s="332" t="s">
        <v>486</v>
      </c>
      <c r="B428" s="313"/>
      <c r="C428" s="313"/>
      <c r="D428" s="313"/>
      <c r="E428" s="313"/>
      <c r="F428" s="312"/>
      <c r="G428" s="312"/>
      <c r="H428" s="312"/>
      <c r="I428" s="312"/>
      <c r="J428" s="312"/>
      <c r="K428" s="312"/>
      <c r="L428" s="312"/>
      <c r="M428" s="312"/>
      <c r="N428" s="348"/>
      <c r="O428" s="33"/>
    </row>
    <row r="429" spans="1:17" ht="15.75" thickBot="1">
      <c r="A429" s="331" t="s">
        <v>487</v>
      </c>
      <c r="B429" s="313"/>
      <c r="C429" s="86"/>
      <c r="D429" s="86"/>
      <c r="E429" s="86"/>
      <c r="F429" s="302"/>
      <c r="G429" s="302"/>
      <c r="H429" s="302"/>
      <c r="I429" s="302"/>
      <c r="J429" s="318"/>
      <c r="K429" s="302"/>
      <c r="L429" s="318"/>
      <c r="M429" s="320"/>
      <c r="N429" s="320"/>
      <c r="O429" s="33"/>
    </row>
    <row r="430" spans="1:17" ht="15" customHeight="1" thickBot="1">
      <c r="A430" s="331" t="s">
        <v>488</v>
      </c>
      <c r="B430" s="313"/>
      <c r="C430" s="86"/>
      <c r="D430" s="86"/>
      <c r="E430" s="86"/>
      <c r="F430" s="853"/>
      <c r="G430" s="853"/>
      <c r="H430" s="853"/>
      <c r="I430" s="853"/>
      <c r="J430" s="854"/>
      <c r="K430" s="853"/>
      <c r="L430" s="854"/>
      <c r="M430" s="321"/>
      <c r="N430" s="321"/>
      <c r="O430" s="33"/>
    </row>
    <row r="431" spans="1:17" ht="15.75" thickBot="1">
      <c r="A431" s="862" t="s">
        <v>489</v>
      </c>
      <c r="B431" s="311"/>
      <c r="C431" s="863"/>
      <c r="D431" s="863"/>
      <c r="E431" s="863"/>
      <c r="F431" s="221"/>
      <c r="G431" s="221"/>
      <c r="H431" s="221"/>
      <c r="I431" s="221"/>
      <c r="J431" s="305"/>
      <c r="K431" s="221"/>
      <c r="L431" s="305"/>
      <c r="M431" s="322"/>
      <c r="N431" s="322"/>
      <c r="O431" s="33"/>
    </row>
    <row r="432" spans="1:17" ht="15.75" thickBot="1">
      <c r="A432" s="862"/>
      <c r="B432" s="863"/>
      <c r="C432" s="863"/>
      <c r="D432" s="863"/>
      <c r="E432" s="863"/>
      <c r="F432" s="221"/>
      <c r="G432" s="221"/>
      <c r="H432" s="221"/>
      <c r="I432" s="221"/>
      <c r="J432" s="319"/>
      <c r="K432" s="221"/>
      <c r="L432" s="319"/>
      <c r="M432" s="323"/>
      <c r="N432" s="323"/>
      <c r="O432" s="37"/>
    </row>
    <row r="433" spans="1:15" ht="15.75" thickBot="1">
      <c r="A433" s="332" t="s">
        <v>490</v>
      </c>
      <c r="B433" s="314"/>
      <c r="C433" s="314"/>
      <c r="D433" s="313"/>
      <c r="E433" s="313"/>
      <c r="F433" s="315"/>
      <c r="G433" s="315"/>
      <c r="H433" s="315"/>
      <c r="I433" s="315"/>
      <c r="J433" s="315"/>
      <c r="K433" s="315"/>
      <c r="L433" s="315"/>
      <c r="M433" s="315"/>
      <c r="N433" s="349"/>
      <c r="O433" s="37"/>
    </row>
    <row r="434" spans="1:15" ht="15.75" thickBot="1">
      <c r="A434" s="331" t="s">
        <v>491</v>
      </c>
      <c r="B434" s="86"/>
      <c r="C434" s="313"/>
      <c r="D434" s="86"/>
      <c r="E434" s="86"/>
      <c r="F434" s="221"/>
      <c r="G434" s="221"/>
      <c r="H434" s="221"/>
      <c r="I434" s="221"/>
      <c r="J434" s="324"/>
      <c r="K434" s="221"/>
      <c r="L434" s="324"/>
      <c r="M434" s="326"/>
      <c r="N434" s="326"/>
      <c r="O434" s="37"/>
    </row>
    <row r="435" spans="1:15" ht="15.75" thickBot="1">
      <c r="A435" s="331" t="s">
        <v>488</v>
      </c>
      <c r="B435" s="316"/>
      <c r="C435" s="86"/>
      <c r="D435" s="86"/>
      <c r="E435" s="86"/>
      <c r="F435" s="221"/>
      <c r="G435" s="221"/>
      <c r="H435" s="221"/>
      <c r="I435" s="221"/>
      <c r="J435" s="305"/>
      <c r="K435" s="221"/>
      <c r="L435" s="305"/>
      <c r="M435" s="322"/>
      <c r="N435" s="304"/>
      <c r="O435" s="33"/>
    </row>
    <row r="436" spans="1:15" ht="15" customHeight="1" thickBot="1">
      <c r="A436" s="331" t="s">
        <v>489</v>
      </c>
      <c r="B436" s="316"/>
      <c r="C436" s="86"/>
      <c r="D436" s="86"/>
      <c r="E436" s="86"/>
      <c r="F436" s="221"/>
      <c r="G436" s="221"/>
      <c r="H436" s="221"/>
      <c r="I436" s="221"/>
      <c r="J436" s="305"/>
      <c r="K436" s="221"/>
      <c r="L436" s="305"/>
      <c r="M436" s="322"/>
      <c r="N436" s="322"/>
      <c r="O436" s="33"/>
    </row>
    <row r="437" spans="1:15">
      <c r="A437" s="341" t="s">
        <v>492</v>
      </c>
      <c r="B437" s="166"/>
      <c r="C437" s="166"/>
      <c r="D437" s="86"/>
      <c r="E437" s="86"/>
      <c r="F437" s="86"/>
      <c r="G437" s="86"/>
      <c r="H437" s="86"/>
      <c r="I437" s="86"/>
      <c r="J437" s="325"/>
      <c r="K437" s="86"/>
      <c r="L437" s="325"/>
      <c r="M437" s="327"/>
      <c r="N437" s="327"/>
      <c r="O437" s="33"/>
    </row>
    <row r="438" spans="1:15" ht="15.75" thickBot="1">
      <c r="A438" s="862" t="s">
        <v>493</v>
      </c>
      <c r="B438" s="863"/>
      <c r="C438" s="863"/>
      <c r="D438" s="317"/>
      <c r="E438" s="863"/>
      <c r="F438" s="221"/>
      <c r="G438" s="221"/>
      <c r="H438" s="221"/>
      <c r="I438" s="221"/>
      <c r="J438" s="305"/>
      <c r="K438" s="221"/>
      <c r="L438" s="305"/>
      <c r="M438" s="322"/>
      <c r="N438" s="322"/>
      <c r="O438" s="38"/>
    </row>
    <row r="439" spans="1:15" ht="15.75" thickBot="1">
      <c r="A439" s="331" t="s">
        <v>494</v>
      </c>
      <c r="B439" s="86"/>
      <c r="C439" s="86"/>
      <c r="D439" s="316"/>
      <c r="E439" s="86"/>
      <c r="F439" s="221"/>
      <c r="G439" s="221"/>
      <c r="H439" s="221"/>
      <c r="I439" s="221"/>
      <c r="J439" s="305"/>
      <c r="K439" s="221"/>
      <c r="L439" s="305"/>
      <c r="M439" s="322"/>
      <c r="N439" s="322"/>
      <c r="O439" s="38"/>
    </row>
    <row r="440" spans="1:15" ht="15.75" thickBot="1">
      <c r="A440" s="331" t="s">
        <v>495</v>
      </c>
      <c r="B440" s="86"/>
      <c r="C440" s="86"/>
      <c r="D440" s="316"/>
      <c r="E440" s="86"/>
      <c r="F440" s="221"/>
      <c r="G440" s="221"/>
      <c r="H440" s="221"/>
      <c r="I440" s="221"/>
      <c r="J440" s="305"/>
      <c r="K440" s="221"/>
      <c r="L440" s="305"/>
      <c r="M440" s="322"/>
      <c r="N440" s="322"/>
      <c r="O440" s="38"/>
    </row>
    <row r="441" spans="1:15" ht="15.75" thickBot="1">
      <c r="A441" s="331" t="s">
        <v>496</v>
      </c>
      <c r="B441" s="86"/>
      <c r="C441" s="86"/>
      <c r="D441" s="316"/>
      <c r="E441" s="86"/>
      <c r="F441" s="221"/>
      <c r="G441" s="221"/>
      <c r="H441" s="221"/>
      <c r="I441" s="221"/>
      <c r="J441" s="305"/>
      <c r="K441" s="221"/>
      <c r="L441" s="305"/>
      <c r="M441" s="322"/>
      <c r="N441" s="322"/>
      <c r="O441" s="38"/>
    </row>
    <row r="442" spans="1:15" ht="15.75" thickBot="1">
      <c r="A442" s="331" t="s">
        <v>497</v>
      </c>
      <c r="B442" s="86"/>
      <c r="C442" s="86"/>
      <c r="D442" s="316"/>
      <c r="E442" s="86"/>
      <c r="F442" s="221"/>
      <c r="G442" s="221"/>
      <c r="H442" s="221"/>
      <c r="I442" s="221"/>
      <c r="J442" s="305"/>
      <c r="K442" s="221"/>
      <c r="L442" s="305"/>
      <c r="M442" s="322"/>
      <c r="N442" s="322"/>
      <c r="O442" s="38"/>
    </row>
    <row r="443" spans="1:15" ht="15.75" thickBot="1">
      <c r="A443" s="331"/>
      <c r="B443" s="86"/>
      <c r="C443" s="86"/>
      <c r="D443" s="86"/>
      <c r="E443" s="86"/>
      <c r="F443" s="221"/>
      <c r="G443" s="221"/>
      <c r="H443" s="221"/>
      <c r="I443" s="221"/>
      <c r="J443" s="319"/>
      <c r="K443" s="221"/>
      <c r="L443" s="319"/>
      <c r="M443" s="323"/>
      <c r="N443" s="323"/>
      <c r="O443" s="38"/>
    </row>
    <row r="444" spans="1:15" ht="15.75" thickBot="1">
      <c r="A444" s="332" t="s">
        <v>498</v>
      </c>
      <c r="B444" s="314"/>
      <c r="C444" s="314"/>
      <c r="D444" s="314"/>
      <c r="E444" s="314"/>
      <c r="F444" s="315"/>
      <c r="G444" s="315"/>
      <c r="H444" s="315"/>
      <c r="I444" s="315"/>
      <c r="J444" s="315"/>
      <c r="K444" s="315"/>
      <c r="L444" s="315"/>
      <c r="M444" s="315"/>
      <c r="N444" s="349"/>
    </row>
    <row r="445" spans="1:15">
      <c r="A445" s="331" t="s">
        <v>499</v>
      </c>
      <c r="B445" s="86"/>
      <c r="C445" s="86"/>
      <c r="D445" s="86"/>
      <c r="E445" s="86"/>
      <c r="F445" s="86"/>
      <c r="G445" s="86"/>
      <c r="H445" s="86"/>
      <c r="I445" s="86"/>
      <c r="J445" s="328"/>
      <c r="K445" s="86"/>
      <c r="L445" s="328"/>
      <c r="M445" s="330"/>
      <c r="N445" s="330"/>
    </row>
    <row r="446" spans="1:15" ht="15.75" thickBot="1">
      <c r="A446" s="342" t="s">
        <v>500</v>
      </c>
      <c r="B446" s="316"/>
      <c r="C446" s="310" t="s">
        <v>549</v>
      </c>
      <c r="D446" s="316"/>
      <c r="E446" s="310" t="s">
        <v>501</v>
      </c>
      <c r="F446" s="316"/>
      <c r="G446" s="310" t="s">
        <v>502</v>
      </c>
      <c r="H446" s="316"/>
      <c r="I446" s="86"/>
      <c r="J446" s="325"/>
      <c r="K446" s="86"/>
      <c r="L446" s="325"/>
      <c r="M446" s="327"/>
      <c r="N446" s="327"/>
    </row>
    <row r="447" spans="1:15">
      <c r="A447" s="342" t="s">
        <v>503</v>
      </c>
      <c r="B447" s="86"/>
      <c r="C447" s="86"/>
      <c r="D447" s="86"/>
      <c r="E447" s="86"/>
      <c r="F447" s="86"/>
      <c r="G447" s="86"/>
      <c r="H447" s="86"/>
      <c r="I447" s="86"/>
      <c r="J447" s="325"/>
      <c r="K447" s="86"/>
      <c r="L447" s="325"/>
      <c r="M447" s="327"/>
      <c r="N447" s="327"/>
    </row>
    <row r="448" spans="1:15">
      <c r="A448" s="342"/>
      <c r="B448" s="343"/>
      <c r="C448" s="86"/>
      <c r="D448" s="86"/>
      <c r="E448" s="86"/>
      <c r="F448" s="86"/>
      <c r="G448" s="86"/>
      <c r="H448" s="86"/>
      <c r="I448" s="86"/>
      <c r="J448" s="325"/>
      <c r="K448" s="86"/>
      <c r="L448" s="325"/>
      <c r="M448" s="327"/>
      <c r="N448" s="327"/>
      <c r="O448" s="33"/>
    </row>
    <row r="449" spans="1:14" ht="15.75" thickBot="1">
      <c r="A449" s="342"/>
      <c r="B449" s="316"/>
      <c r="C449" s="86"/>
      <c r="D449" s="86"/>
      <c r="E449" s="86"/>
      <c r="F449" s="86"/>
      <c r="G449" s="86"/>
      <c r="H449" s="86"/>
      <c r="I449" s="86"/>
      <c r="J449" s="329"/>
      <c r="K449" s="86"/>
      <c r="L449" s="329"/>
      <c r="M449" s="308"/>
      <c r="N449" s="308"/>
    </row>
    <row r="450" spans="1:14" ht="15.75" thickBot="1">
      <c r="A450" s="332" t="s">
        <v>504</v>
      </c>
      <c r="B450" s="314"/>
      <c r="C450" s="314"/>
      <c r="D450" s="313"/>
      <c r="E450" s="313"/>
      <c r="F450" s="313"/>
      <c r="G450" s="313"/>
      <c r="H450" s="313"/>
      <c r="I450" s="313"/>
      <c r="J450" s="313"/>
      <c r="K450" s="313"/>
      <c r="L450" s="313"/>
      <c r="M450" s="313"/>
      <c r="N450" s="350"/>
    </row>
    <row r="451" spans="1:14">
      <c r="A451" s="331" t="s">
        <v>510</v>
      </c>
      <c r="B451" s="86"/>
      <c r="C451" s="86"/>
      <c r="D451" s="86"/>
      <c r="E451" s="86"/>
      <c r="F451" s="86"/>
      <c r="G451" s="86"/>
      <c r="H451" s="86"/>
      <c r="I451" s="86"/>
      <c r="J451" s="328"/>
      <c r="K451" s="86"/>
      <c r="L451" s="328"/>
      <c r="M451" s="330"/>
      <c r="N451" s="330"/>
    </row>
    <row r="452" spans="1:14">
      <c r="A452" s="331" t="s">
        <v>505</v>
      </c>
      <c r="B452" s="86"/>
      <c r="C452" s="86"/>
      <c r="D452" s="86"/>
      <c r="E452" s="86"/>
      <c r="F452" s="86"/>
      <c r="G452" s="86"/>
      <c r="H452" s="86"/>
      <c r="I452" s="86"/>
      <c r="J452" s="325"/>
      <c r="K452" s="86"/>
      <c r="L452" s="325"/>
      <c r="M452" s="327"/>
      <c r="N452" s="327"/>
    </row>
    <row r="453" spans="1:14" ht="15.75" thickBot="1">
      <c r="A453" s="354" t="s">
        <v>500</v>
      </c>
      <c r="B453" s="316"/>
      <c r="C453" s="86"/>
      <c r="D453" s="86"/>
      <c r="E453" s="86"/>
      <c r="F453" s="86"/>
      <c r="G453" s="86"/>
      <c r="H453" s="86"/>
      <c r="I453" s="86"/>
      <c r="J453" s="325"/>
      <c r="K453" s="86"/>
      <c r="L453" s="325"/>
      <c r="M453" s="327"/>
      <c r="N453" s="327"/>
    </row>
    <row r="454" spans="1:14" ht="15.75" thickBot="1">
      <c r="A454" s="354" t="s">
        <v>506</v>
      </c>
      <c r="B454" s="316"/>
      <c r="C454" s="86"/>
      <c r="D454" s="86"/>
      <c r="E454" s="86"/>
      <c r="F454" s="86"/>
      <c r="G454" s="86"/>
      <c r="H454" s="86"/>
      <c r="I454" s="86"/>
      <c r="J454" s="325"/>
      <c r="K454" s="86"/>
      <c r="L454" s="325"/>
      <c r="M454" s="327"/>
      <c r="N454" s="327"/>
    </row>
    <row r="455" spans="1:14" ht="15.75" thickBot="1">
      <c r="A455" s="354" t="s">
        <v>311</v>
      </c>
      <c r="B455" s="316"/>
      <c r="C455" s="86"/>
      <c r="D455" s="86"/>
      <c r="E455" s="86"/>
      <c r="F455" s="86"/>
      <c r="G455" s="86"/>
      <c r="H455" s="86"/>
      <c r="I455" s="86"/>
      <c r="J455" s="325"/>
      <c r="K455" s="86"/>
      <c r="L455" s="325"/>
      <c r="M455" s="327"/>
      <c r="N455" s="327"/>
    </row>
    <row r="456" spans="1:14">
      <c r="A456" s="331" t="s">
        <v>507</v>
      </c>
      <c r="B456" s="86"/>
      <c r="C456" s="86"/>
      <c r="D456" s="86"/>
      <c r="E456" s="86"/>
      <c r="F456" s="86"/>
      <c r="G456" s="86"/>
      <c r="H456" s="86"/>
      <c r="I456" s="86"/>
      <c r="J456" s="325"/>
      <c r="K456" s="331"/>
      <c r="L456" s="325"/>
      <c r="M456" s="327"/>
      <c r="N456" s="327"/>
    </row>
    <row r="457" spans="1:14" ht="15.75" thickBot="1">
      <c r="A457" s="342" t="s">
        <v>508</v>
      </c>
      <c r="B457" s="316"/>
      <c r="C457" s="86"/>
      <c r="D457" s="86"/>
      <c r="E457" s="86"/>
      <c r="F457" s="86"/>
      <c r="G457" s="86"/>
      <c r="H457" s="86"/>
      <c r="I457" s="86"/>
      <c r="J457" s="325"/>
      <c r="K457" s="86"/>
      <c r="L457" s="325"/>
      <c r="M457" s="327"/>
      <c r="N457" s="327"/>
    </row>
    <row r="458" spans="1:14" ht="15.75" thickBot="1">
      <c r="A458" s="342" t="s">
        <v>488</v>
      </c>
      <c r="B458" s="316"/>
      <c r="C458" s="86"/>
      <c r="D458" s="86"/>
      <c r="E458" s="86"/>
      <c r="F458" s="86"/>
      <c r="G458" s="86"/>
      <c r="H458" s="86"/>
      <c r="I458" s="86"/>
      <c r="J458" s="325"/>
      <c r="K458" s="86"/>
      <c r="L458" s="325"/>
      <c r="M458" s="327"/>
      <c r="N458" s="327"/>
    </row>
    <row r="459" spans="1:14">
      <c r="A459" s="351" t="s">
        <v>509</v>
      </c>
      <c r="B459" s="335"/>
      <c r="C459" s="335"/>
      <c r="D459" s="335"/>
      <c r="E459" s="335"/>
      <c r="F459" s="335"/>
      <c r="G459" s="335"/>
      <c r="H459" s="335"/>
      <c r="I459" s="335"/>
      <c r="J459" s="352"/>
      <c r="K459" s="335"/>
      <c r="L459" s="352"/>
      <c r="M459" s="307"/>
      <c r="N459" s="307"/>
    </row>
    <row r="460" spans="1:14">
      <c r="A460" s="336"/>
      <c r="B460" s="343" t="s">
        <v>71</v>
      </c>
      <c r="C460" s="343"/>
      <c r="D460" s="343"/>
      <c r="E460" s="343"/>
      <c r="F460" s="344"/>
      <c r="G460" s="344"/>
      <c r="H460" s="344"/>
      <c r="I460" s="344"/>
      <c r="J460" s="344"/>
      <c r="K460" s="344"/>
      <c r="L460" s="344"/>
      <c r="M460" s="344"/>
      <c r="N460" s="345"/>
    </row>
    <row r="461" spans="1:14">
      <c r="A461" s="337"/>
      <c r="B461" s="334" t="s">
        <v>471</v>
      </c>
      <c r="C461" s="334"/>
      <c r="D461" s="334"/>
      <c r="E461" s="334"/>
      <c r="F461" s="334"/>
      <c r="G461" s="334"/>
      <c r="H461" s="333"/>
      <c r="I461" s="333"/>
      <c r="J461" s="333"/>
      <c r="K461" s="333"/>
      <c r="L461" s="333"/>
      <c r="M461" s="333"/>
      <c r="N461" s="346"/>
    </row>
    <row r="462" spans="1:14">
      <c r="A462" s="309" t="s">
        <v>511</v>
      </c>
      <c r="B462" s="353"/>
      <c r="C462" s="353"/>
      <c r="D462" s="353"/>
      <c r="E462" s="353"/>
      <c r="F462" s="353"/>
      <c r="G462" s="353"/>
      <c r="H462" s="353"/>
      <c r="I462" s="353"/>
      <c r="J462" s="353"/>
      <c r="K462" s="1034" t="s">
        <v>15</v>
      </c>
      <c r="L462" s="1035"/>
      <c r="M462" s="1035"/>
      <c r="N462" s="1036"/>
    </row>
    <row r="463" spans="1:14">
      <c r="A463" s="331" t="s">
        <v>512</v>
      </c>
      <c r="B463" s="86"/>
      <c r="C463" s="86"/>
      <c r="D463" s="86"/>
      <c r="E463" s="86"/>
      <c r="F463" s="86"/>
      <c r="G463" s="86"/>
      <c r="H463" s="86"/>
      <c r="I463" s="86"/>
      <c r="J463" s="86"/>
      <c r="K463" s="86"/>
      <c r="L463" s="86"/>
      <c r="M463" s="86"/>
      <c r="N463" s="325"/>
    </row>
    <row r="464" spans="1:14">
      <c r="A464" s="331" t="s">
        <v>513</v>
      </c>
      <c r="B464" s="335"/>
      <c r="C464" s="86" t="s">
        <v>515</v>
      </c>
      <c r="D464" s="335"/>
      <c r="E464" s="86" t="s">
        <v>514</v>
      </c>
      <c r="F464" s="335"/>
      <c r="G464" s="86"/>
      <c r="H464" s="86"/>
      <c r="I464" s="86"/>
      <c r="J464" s="86"/>
      <c r="K464" s="86"/>
      <c r="L464" s="86"/>
      <c r="M464" s="86"/>
      <c r="N464" s="325"/>
    </row>
    <row r="465" spans="1:15">
      <c r="A465" s="351"/>
      <c r="B465" s="335"/>
      <c r="C465" s="335"/>
      <c r="D465" s="335"/>
      <c r="E465" s="335"/>
      <c r="F465" s="335"/>
      <c r="G465" s="335"/>
      <c r="H465" s="335"/>
      <c r="I465" s="335"/>
      <c r="J465" s="335"/>
      <c r="K465" s="335"/>
      <c r="L465" s="335"/>
      <c r="M465" s="335"/>
      <c r="N465" s="352"/>
    </row>
    <row r="466" spans="1:15">
      <c r="A466" s="331" t="s">
        <v>516</v>
      </c>
      <c r="B466" s="86"/>
      <c r="C466" s="86"/>
      <c r="D466" s="86"/>
      <c r="E466" s="86"/>
      <c r="F466" s="86"/>
      <c r="G466" s="86"/>
      <c r="H466" s="86"/>
      <c r="I466" s="86"/>
      <c r="J466" s="86"/>
      <c r="K466" s="86"/>
      <c r="L466" s="86"/>
      <c r="M466" s="86"/>
      <c r="N466" s="325"/>
    </row>
    <row r="467" spans="1:15">
      <c r="A467" s="331" t="s">
        <v>517</v>
      </c>
      <c r="B467" s="335"/>
      <c r="C467" s="86" t="s">
        <v>518</v>
      </c>
      <c r="D467" s="335"/>
      <c r="E467" s="86" t="s">
        <v>519</v>
      </c>
      <c r="F467" s="86"/>
      <c r="G467" s="335"/>
      <c r="H467" s="86" t="s">
        <v>520</v>
      </c>
      <c r="I467" s="86"/>
      <c r="J467" s="335"/>
      <c r="K467" s="86"/>
      <c r="L467" s="86"/>
      <c r="M467" s="86"/>
      <c r="N467" s="325"/>
    </row>
    <row r="468" spans="1:15">
      <c r="A468" s="331"/>
      <c r="B468" s="86"/>
      <c r="C468" s="86" t="s">
        <v>521</v>
      </c>
      <c r="D468" s="353"/>
      <c r="E468" s="86" t="s">
        <v>522</v>
      </c>
      <c r="F468" s="86"/>
      <c r="G468" s="353"/>
      <c r="H468" s="86" t="s">
        <v>523</v>
      </c>
      <c r="I468" s="335"/>
      <c r="J468" s="86"/>
      <c r="K468" s="86"/>
      <c r="L468" s="86"/>
      <c r="M468" s="86"/>
      <c r="N468" s="325"/>
    </row>
    <row r="469" spans="1:15" ht="45" customHeight="1">
      <c r="A469" s="351"/>
      <c r="B469" s="335"/>
      <c r="C469" s="335"/>
      <c r="D469" s="335"/>
      <c r="E469" s="335"/>
      <c r="F469" s="335"/>
      <c r="G469" s="335"/>
      <c r="H469" s="335"/>
      <c r="I469" s="335"/>
      <c r="J469" s="335"/>
      <c r="K469" s="335"/>
      <c r="L469" s="335"/>
      <c r="M469" s="335"/>
      <c r="N469" s="352"/>
    </row>
    <row r="470" spans="1:15">
      <c r="A470" s="127" t="s">
        <v>524</v>
      </c>
      <c r="B470" s="309" t="s">
        <v>525</v>
      </c>
      <c r="C470" s="353"/>
      <c r="D470" s="353"/>
      <c r="E470" s="353"/>
      <c r="F470" s="353"/>
      <c r="G470" s="353"/>
      <c r="H470" s="353"/>
      <c r="I470" s="353"/>
      <c r="J470" s="353"/>
      <c r="K470" s="353"/>
      <c r="L470" s="353"/>
      <c r="M470" s="353"/>
      <c r="N470" s="356"/>
    </row>
    <row r="471" spans="1:15">
      <c r="A471" s="327"/>
      <c r="B471" s="351" t="s">
        <v>526</v>
      </c>
      <c r="C471" s="335"/>
      <c r="D471" s="335"/>
      <c r="E471" s="335"/>
      <c r="F471" s="335"/>
      <c r="G471" s="335"/>
      <c r="H471" s="335"/>
      <c r="I471" s="335"/>
      <c r="J471" s="335"/>
      <c r="K471" s="335"/>
      <c r="L471" s="335"/>
      <c r="M471" s="335"/>
      <c r="N471" s="352"/>
    </row>
    <row r="472" spans="1:15">
      <c r="A472" s="307"/>
      <c r="B472" s="335" t="s">
        <v>527</v>
      </c>
      <c r="C472" s="335"/>
      <c r="D472" s="335"/>
      <c r="E472" s="335"/>
      <c r="F472" s="335"/>
      <c r="G472" s="335"/>
      <c r="H472" s="335"/>
      <c r="I472" s="335"/>
      <c r="J472" s="335"/>
      <c r="K472" s="335"/>
      <c r="L472" s="335"/>
      <c r="M472" s="335"/>
      <c r="N472" s="352"/>
    </row>
    <row r="473" spans="1:15" ht="15.75" thickBot="1">
      <c r="A473" s="338" t="s">
        <v>528</v>
      </c>
      <c r="B473" s="355"/>
      <c r="C473" s="355"/>
      <c r="D473" s="355"/>
      <c r="E473" s="355"/>
      <c r="F473" s="355"/>
      <c r="G473" s="355"/>
      <c r="H473" s="355"/>
      <c r="I473" s="355"/>
      <c r="J473" s="355"/>
      <c r="K473" s="355"/>
      <c r="L473" s="355"/>
      <c r="M473" s="355"/>
      <c r="N473" s="347"/>
    </row>
    <row r="474" spans="1:15">
      <c r="A474" s="999" t="s">
        <v>529</v>
      </c>
      <c r="B474" s="1000"/>
      <c r="C474" s="1000"/>
      <c r="D474" s="1001"/>
      <c r="E474" s="1008" t="s">
        <v>531</v>
      </c>
      <c r="F474" s="1009"/>
      <c r="G474" s="1009"/>
      <c r="H474" s="1009"/>
      <c r="I474" s="1010"/>
      <c r="J474" s="1017" t="s">
        <v>530</v>
      </c>
      <c r="K474" s="1018"/>
      <c r="L474" s="1018"/>
      <c r="M474" s="1018"/>
      <c r="N474" s="1019"/>
    </row>
    <row r="475" spans="1:15">
      <c r="A475" s="1002"/>
      <c r="B475" s="1003"/>
      <c r="C475" s="1003"/>
      <c r="D475" s="1004"/>
      <c r="E475" s="1011"/>
      <c r="F475" s="1012"/>
      <c r="G475" s="1012"/>
      <c r="H475" s="1012"/>
      <c r="I475" s="1013"/>
      <c r="J475" s="1020"/>
      <c r="K475" s="1021"/>
      <c r="L475" s="1021"/>
      <c r="M475" s="1021"/>
      <c r="N475" s="1022"/>
    </row>
    <row r="476" spans="1:15">
      <c r="A476" s="1002"/>
      <c r="B476" s="1003"/>
      <c r="C476" s="1003"/>
      <c r="D476" s="1004"/>
      <c r="E476" s="1011"/>
      <c r="F476" s="1012"/>
      <c r="G476" s="1012"/>
      <c r="H476" s="1012"/>
      <c r="I476" s="1013"/>
      <c r="J476" s="1020"/>
      <c r="K476" s="1021"/>
      <c r="L476" s="1021"/>
      <c r="M476" s="1021"/>
      <c r="N476" s="1022"/>
    </row>
    <row r="477" spans="1:15">
      <c r="A477" s="1002"/>
      <c r="B477" s="1003"/>
      <c r="C477" s="1003"/>
      <c r="D477" s="1004"/>
      <c r="E477" s="1011"/>
      <c r="F477" s="1012"/>
      <c r="G477" s="1012"/>
      <c r="H477" s="1012"/>
      <c r="I477" s="1013"/>
      <c r="J477" s="1020"/>
      <c r="K477" s="1021"/>
      <c r="L477" s="1021"/>
      <c r="M477" s="1021"/>
      <c r="N477" s="1022"/>
    </row>
    <row r="478" spans="1:15">
      <c r="A478" s="1002"/>
      <c r="B478" s="1003"/>
      <c r="C478" s="1003"/>
      <c r="D478" s="1004"/>
      <c r="E478" s="1011"/>
      <c r="F478" s="1012"/>
      <c r="G478" s="1012"/>
      <c r="H478" s="1012"/>
      <c r="I478" s="1013"/>
      <c r="J478" s="1020"/>
      <c r="K478" s="1021"/>
      <c r="L478" s="1021"/>
      <c r="M478" s="1021"/>
      <c r="N478" s="1022"/>
    </row>
    <row r="479" spans="1:15" ht="15.75" thickBot="1">
      <c r="A479" s="1005"/>
      <c r="B479" s="1006"/>
      <c r="C479" s="1006"/>
      <c r="D479" s="1007"/>
      <c r="E479" s="1014"/>
      <c r="F479" s="1015"/>
      <c r="G479" s="1015"/>
      <c r="H479" s="1015"/>
      <c r="I479" s="1016"/>
      <c r="J479" s="1023"/>
      <c r="K479" s="1024"/>
      <c r="L479" s="1024"/>
      <c r="M479" s="1024"/>
      <c r="N479" s="1025"/>
      <c r="O479" s="85"/>
    </row>
    <row r="480" spans="1:15" ht="15.75" thickBot="1">
      <c r="A480" s="332" t="s">
        <v>532</v>
      </c>
      <c r="B480" s="314"/>
      <c r="C480" s="314"/>
      <c r="D480" s="314"/>
      <c r="E480" s="314"/>
      <c r="F480" s="313"/>
      <c r="G480" s="313"/>
      <c r="H480" s="313"/>
      <c r="I480" s="313"/>
      <c r="J480" s="313"/>
      <c r="K480" s="313"/>
      <c r="L480" s="313"/>
      <c r="M480" s="313"/>
      <c r="N480" s="350"/>
    </row>
    <row r="481" spans="1:14">
      <c r="A481" s="331" t="s">
        <v>533</v>
      </c>
      <c r="B481" s="86"/>
      <c r="C481" s="86"/>
      <c r="D481" s="86"/>
      <c r="E481" s="86"/>
      <c r="F481" s="86"/>
      <c r="G481" s="86"/>
      <c r="H481" s="86"/>
      <c r="I481" s="86"/>
      <c r="J481" s="86"/>
      <c r="K481" s="86"/>
      <c r="L481" s="86"/>
      <c r="M481" s="86"/>
      <c r="N481" s="325"/>
    </row>
    <row r="482" spans="1:14">
      <c r="A482" s="331" t="s">
        <v>534</v>
      </c>
      <c r="B482" s="86"/>
      <c r="C482" s="86"/>
      <c r="D482" s="335">
        <f>M201</f>
        <v>1717</v>
      </c>
      <c r="E482" s="86" t="s">
        <v>535</v>
      </c>
      <c r="F482" s="86" t="s">
        <v>40</v>
      </c>
      <c r="G482" s="479">
        <f>B206</f>
        <v>53.388946819603753</v>
      </c>
      <c r="H482" s="86" t="s">
        <v>52</v>
      </c>
      <c r="I482" s="86" t="s">
        <v>536</v>
      </c>
      <c r="J482" s="479">
        <f>B207</f>
        <v>17.518248175182482</v>
      </c>
      <c r="K482" s="888" t="s">
        <v>52</v>
      </c>
      <c r="L482" s="119" t="s">
        <v>537</v>
      </c>
      <c r="M482" s="479">
        <f>B208</f>
        <v>29.092805005213766</v>
      </c>
      <c r="N482" s="325" t="s">
        <v>52</v>
      </c>
    </row>
    <row r="483" spans="1:14">
      <c r="A483" s="351"/>
      <c r="B483" s="335"/>
      <c r="C483" s="335"/>
      <c r="D483" s="335"/>
      <c r="E483" s="335"/>
      <c r="F483" s="335"/>
      <c r="G483" s="335"/>
      <c r="H483" s="335"/>
      <c r="I483" s="335"/>
      <c r="J483" s="335"/>
      <c r="K483" s="335"/>
      <c r="L483" s="335"/>
      <c r="M483" s="335"/>
      <c r="N483" s="352"/>
    </row>
    <row r="484" spans="1:14">
      <c r="A484" s="341" t="s">
        <v>538</v>
      </c>
      <c r="B484" s="166"/>
      <c r="C484" s="86"/>
      <c r="D484" s="86"/>
      <c r="E484" s="86"/>
      <c r="F484" s="86"/>
      <c r="G484" s="86"/>
      <c r="H484" s="86"/>
      <c r="I484" s="86"/>
      <c r="J484" s="86"/>
      <c r="K484" s="86"/>
      <c r="L484" s="86"/>
      <c r="M484" s="86"/>
      <c r="N484" s="325"/>
    </row>
    <row r="485" spans="1:14">
      <c r="A485" s="331"/>
      <c r="B485" s="86"/>
      <c r="C485" s="86"/>
      <c r="D485" s="86"/>
      <c r="E485" s="86"/>
      <c r="F485" s="86"/>
      <c r="G485" s="86"/>
      <c r="H485" s="86"/>
      <c r="I485" s="86"/>
      <c r="J485" s="86"/>
      <c r="K485" s="86"/>
      <c r="L485" s="86"/>
      <c r="M485" s="86"/>
      <c r="N485" s="325"/>
    </row>
    <row r="486" spans="1:14">
      <c r="A486" s="331"/>
      <c r="B486" s="86"/>
      <c r="C486" s="86"/>
      <c r="D486" s="86"/>
      <c r="E486" s="86"/>
      <c r="F486" s="86"/>
      <c r="G486" s="86"/>
      <c r="H486" s="86"/>
      <c r="I486" s="86"/>
      <c r="J486" s="86"/>
      <c r="K486" s="86"/>
      <c r="L486" s="86"/>
      <c r="M486" s="86"/>
      <c r="N486" s="325"/>
    </row>
    <row r="487" spans="1:14">
      <c r="A487" s="331"/>
      <c r="B487" s="86"/>
      <c r="C487" s="86"/>
      <c r="D487" s="86"/>
      <c r="E487" s="86"/>
      <c r="F487" s="86"/>
      <c r="G487" s="86"/>
      <c r="H487" s="86"/>
      <c r="I487" s="86"/>
      <c r="J487" s="86"/>
      <c r="K487" s="86"/>
      <c r="L487" s="86"/>
      <c r="M487" s="86"/>
      <c r="N487" s="325"/>
    </row>
    <row r="488" spans="1:14">
      <c r="A488" s="331"/>
      <c r="B488" s="86"/>
      <c r="C488" s="86"/>
      <c r="D488" s="86"/>
      <c r="E488" s="86"/>
      <c r="F488" s="86"/>
      <c r="G488" s="86"/>
      <c r="H488" s="86"/>
      <c r="I488" s="86"/>
      <c r="J488" s="86"/>
      <c r="K488" s="86"/>
      <c r="L488" s="86"/>
      <c r="M488" s="86"/>
      <c r="N488" s="325"/>
    </row>
    <row r="489" spans="1:14">
      <c r="A489" s="331"/>
      <c r="B489" s="86"/>
      <c r="C489" s="86"/>
      <c r="D489" s="86"/>
      <c r="E489" s="86"/>
      <c r="F489" s="86"/>
      <c r="G489" s="86"/>
      <c r="H489" s="86"/>
      <c r="I489" s="86"/>
      <c r="J489" s="86"/>
      <c r="K489" s="86"/>
      <c r="L489" s="86"/>
      <c r="M489" s="86"/>
      <c r="N489" s="325"/>
    </row>
    <row r="490" spans="1:14">
      <c r="A490" s="331"/>
      <c r="B490" s="86"/>
      <c r="C490" s="86"/>
      <c r="D490" s="86"/>
      <c r="E490" s="86"/>
      <c r="F490" s="86"/>
      <c r="G490" s="86"/>
      <c r="H490" s="86"/>
      <c r="I490" s="86"/>
      <c r="J490" s="86"/>
      <c r="K490" s="86"/>
      <c r="L490" s="86"/>
      <c r="M490" s="86"/>
      <c r="N490" s="325"/>
    </row>
    <row r="491" spans="1:14">
      <c r="A491" s="331"/>
      <c r="B491" s="86"/>
      <c r="C491" s="86"/>
      <c r="D491" s="86"/>
      <c r="E491" s="86"/>
      <c r="F491" s="86"/>
      <c r="G491" s="86"/>
      <c r="H491" s="86"/>
      <c r="I491" s="86"/>
      <c r="J491" s="86"/>
      <c r="K491" s="86"/>
      <c r="L491" s="86"/>
      <c r="M491" s="86"/>
      <c r="N491" s="325"/>
    </row>
    <row r="492" spans="1:14">
      <c r="A492" s="331"/>
      <c r="B492" s="86"/>
      <c r="C492" s="86"/>
      <c r="D492" s="86"/>
      <c r="E492" s="86"/>
      <c r="F492" s="86"/>
      <c r="G492" s="86"/>
      <c r="H492" s="86"/>
      <c r="I492" s="86"/>
      <c r="J492" s="86"/>
      <c r="K492" s="86"/>
      <c r="L492" s="86"/>
      <c r="M492" s="86"/>
      <c r="N492" s="325"/>
    </row>
    <row r="493" spans="1:14">
      <c r="A493" s="331"/>
      <c r="B493" s="86"/>
      <c r="C493" s="86"/>
      <c r="D493" s="86"/>
      <c r="E493" s="86"/>
      <c r="F493" s="86"/>
      <c r="G493" s="86"/>
      <c r="H493" s="86"/>
      <c r="I493" s="86"/>
      <c r="J493" s="86"/>
      <c r="K493" s="86"/>
      <c r="L493" s="86"/>
      <c r="M493" s="86"/>
      <c r="N493" s="325"/>
    </row>
    <row r="494" spans="1:14">
      <c r="A494" s="331"/>
      <c r="B494" s="86"/>
      <c r="C494" s="86"/>
      <c r="D494" s="86"/>
      <c r="E494" s="86"/>
      <c r="F494" s="86"/>
      <c r="G494" s="86"/>
      <c r="H494" s="86"/>
      <c r="I494" s="86"/>
      <c r="J494" s="86"/>
      <c r="K494" s="86"/>
      <c r="L494" s="86"/>
      <c r="M494" s="86"/>
      <c r="N494" s="325"/>
    </row>
    <row r="495" spans="1:14">
      <c r="A495" s="331"/>
      <c r="B495" s="86"/>
      <c r="C495" s="86"/>
      <c r="D495" s="86"/>
      <c r="E495" s="86"/>
      <c r="F495" s="86"/>
      <c r="G495" s="86"/>
      <c r="H495" s="86"/>
      <c r="I495" s="86"/>
      <c r="J495" s="86"/>
      <c r="K495" s="86"/>
      <c r="L495" s="86"/>
      <c r="M495" s="86"/>
      <c r="N495" s="325"/>
    </row>
    <row r="496" spans="1:14">
      <c r="A496" s="331"/>
      <c r="B496" s="86"/>
      <c r="C496" s="86"/>
      <c r="D496" s="86"/>
      <c r="E496" s="86"/>
      <c r="F496" s="86"/>
      <c r="G496" s="86"/>
      <c r="H496" s="86"/>
      <c r="I496" s="86"/>
      <c r="J496" s="86"/>
      <c r="K496" s="86"/>
      <c r="L496" s="86"/>
      <c r="M496" s="86"/>
      <c r="N496" s="325"/>
    </row>
    <row r="497" spans="1:14">
      <c r="A497" s="331"/>
      <c r="B497" s="86"/>
      <c r="C497" s="86"/>
      <c r="D497" s="86"/>
      <c r="E497" s="86"/>
      <c r="F497" s="86"/>
      <c r="G497" s="86"/>
      <c r="H497" s="86"/>
      <c r="I497" s="86"/>
      <c r="J497" s="86"/>
      <c r="K497" s="86"/>
      <c r="L497" s="86"/>
      <c r="M497" s="86"/>
      <c r="N497" s="325"/>
    </row>
    <row r="498" spans="1:14">
      <c r="A498" s="331"/>
      <c r="B498" s="86"/>
      <c r="C498" s="86"/>
      <c r="D498" s="86"/>
      <c r="E498" s="86"/>
      <c r="F498" s="86"/>
      <c r="G498" s="86"/>
      <c r="H498" s="86"/>
      <c r="I498" s="86"/>
      <c r="J498" s="86"/>
      <c r="K498" s="86"/>
      <c r="L498" s="86"/>
      <c r="M498" s="86"/>
      <c r="N498" s="325"/>
    </row>
    <row r="499" spans="1:14">
      <c r="A499" s="331"/>
      <c r="B499" s="86"/>
      <c r="C499" s="86"/>
      <c r="D499" s="86"/>
      <c r="E499" s="86"/>
      <c r="F499" s="86"/>
      <c r="G499" s="86"/>
      <c r="H499" s="86"/>
      <c r="I499" s="86"/>
      <c r="J499" s="86"/>
      <c r="K499" s="86"/>
      <c r="L499" s="86"/>
      <c r="M499" s="86"/>
      <c r="N499" s="325"/>
    </row>
    <row r="500" spans="1:14">
      <c r="A500" s="331"/>
      <c r="B500" s="86"/>
      <c r="C500" s="86"/>
      <c r="D500" s="86"/>
      <c r="E500" s="86"/>
      <c r="F500" s="86"/>
      <c r="G500" s="86"/>
      <c r="H500" s="86"/>
      <c r="I500" s="86"/>
      <c r="J500" s="86"/>
      <c r="K500" s="86"/>
      <c r="L500" s="86"/>
      <c r="M500" s="86"/>
      <c r="N500" s="325"/>
    </row>
    <row r="501" spans="1:14">
      <c r="A501" s="331"/>
      <c r="B501" s="86"/>
      <c r="C501" s="86"/>
      <c r="D501" s="86"/>
      <c r="E501" s="86"/>
      <c r="F501" s="86"/>
      <c r="G501" s="86"/>
      <c r="H501" s="86"/>
      <c r="I501" s="86"/>
      <c r="J501" s="86"/>
      <c r="K501" s="86"/>
      <c r="L501" s="86"/>
      <c r="M501" s="86"/>
      <c r="N501" s="325"/>
    </row>
    <row r="502" spans="1:14">
      <c r="A502" s="331"/>
      <c r="B502" s="86"/>
      <c r="C502" s="86"/>
      <c r="D502" s="86" t="s">
        <v>404</v>
      </c>
      <c r="E502" s="86"/>
      <c r="F502" s="86">
        <f>C39</f>
        <v>0</v>
      </c>
      <c r="G502" s="86"/>
      <c r="H502" s="86"/>
      <c r="I502" s="86"/>
      <c r="J502" s="86"/>
      <c r="K502" s="86"/>
      <c r="L502" s="86"/>
      <c r="M502" s="86"/>
      <c r="N502" s="325"/>
    </row>
    <row r="503" spans="1:14">
      <c r="A503" s="351"/>
      <c r="B503" s="335"/>
      <c r="C503" s="335"/>
      <c r="D503" s="335"/>
      <c r="E503" s="335"/>
      <c r="F503" s="335"/>
      <c r="G503" s="335"/>
      <c r="H503" s="335"/>
      <c r="I503" s="335"/>
      <c r="J503" s="335"/>
      <c r="K503" s="335"/>
      <c r="L503" s="335"/>
      <c r="M503" s="335"/>
      <c r="N503" s="352"/>
    </row>
    <row r="505" spans="1:14">
      <c r="A505" s="986" t="s">
        <v>171</v>
      </c>
      <c r="B505" s="986"/>
      <c r="C505" s="986"/>
      <c r="D505" s="986"/>
      <c r="E505" s="985" t="s">
        <v>172</v>
      </c>
      <c r="F505" s="985"/>
      <c r="G505" s="985"/>
      <c r="H505" s="985"/>
      <c r="I505" s="985"/>
      <c r="J505" s="985"/>
      <c r="K505" s="985"/>
      <c r="L505" s="985"/>
      <c r="M505" s="985"/>
      <c r="N505" s="985"/>
    </row>
    <row r="507" spans="1:14">
      <c r="A507" s="981" t="s">
        <v>173</v>
      </c>
      <c r="B507" s="981"/>
      <c r="C507" s="981"/>
      <c r="D507" s="981"/>
      <c r="E507" s="1026" t="s">
        <v>174</v>
      </c>
      <c r="F507" s="1026"/>
      <c r="G507" s="1026"/>
      <c r="H507" s="1026"/>
      <c r="I507" s="1026"/>
      <c r="J507" s="1026"/>
      <c r="K507" s="1026"/>
      <c r="L507" s="1026"/>
      <c r="M507" s="1026"/>
      <c r="N507" s="1026"/>
    </row>
    <row r="508" spans="1:14">
      <c r="E508" s="1026"/>
      <c r="F508" s="1026"/>
      <c r="G508" s="1026"/>
      <c r="H508" s="1026"/>
      <c r="I508" s="1026"/>
      <c r="J508" s="1026"/>
      <c r="K508" s="1026"/>
      <c r="L508" s="1026"/>
      <c r="M508" s="1026"/>
      <c r="N508" s="1026"/>
    </row>
    <row r="510" spans="1:14">
      <c r="A510" s="996" t="s">
        <v>175</v>
      </c>
      <c r="B510" s="996"/>
      <c r="C510" s="996"/>
      <c r="D510" s="996"/>
      <c r="E510" s="997" t="s">
        <v>176</v>
      </c>
      <c r="F510" s="997"/>
      <c r="G510" s="997"/>
      <c r="H510" s="997"/>
      <c r="I510" s="997"/>
      <c r="J510" s="997"/>
      <c r="K510" s="997"/>
      <c r="L510" s="997"/>
      <c r="M510" s="997"/>
      <c r="N510" s="997"/>
    </row>
    <row r="512" spans="1:14">
      <c r="A512" s="995" t="s">
        <v>177</v>
      </c>
      <c r="B512" s="995"/>
      <c r="C512" s="995"/>
      <c r="D512" s="995"/>
      <c r="E512" s="992" t="s">
        <v>178</v>
      </c>
      <c r="F512" s="992"/>
      <c r="G512" s="992"/>
      <c r="H512" s="992"/>
      <c r="I512" s="992"/>
      <c r="J512" s="992"/>
      <c r="K512" s="992"/>
      <c r="L512" s="992"/>
      <c r="M512" s="992"/>
      <c r="N512" s="992"/>
    </row>
    <row r="513" spans="1:14">
      <c r="E513" s="992"/>
      <c r="F513" s="992"/>
      <c r="G513" s="992"/>
      <c r="H513" s="992"/>
      <c r="I513" s="992"/>
      <c r="J513" s="992"/>
      <c r="K513" s="992"/>
      <c r="L513" s="992"/>
      <c r="M513" s="992"/>
      <c r="N513" s="992"/>
    </row>
    <row r="515" spans="1:14">
      <c r="A515" s="981" t="s">
        <v>179</v>
      </c>
      <c r="B515" s="981"/>
      <c r="C515" s="981"/>
      <c r="D515" s="981"/>
      <c r="E515" s="998" t="s">
        <v>180</v>
      </c>
      <c r="F515" s="998"/>
      <c r="G515" s="998"/>
      <c r="H515" s="998"/>
      <c r="I515" s="998"/>
      <c r="J515" s="998"/>
      <c r="K515" s="998"/>
      <c r="L515" s="998"/>
      <c r="M515" s="998"/>
      <c r="N515" s="998"/>
    </row>
    <row r="516" spans="1:14">
      <c r="E516" s="998"/>
      <c r="F516" s="998"/>
      <c r="G516" s="998"/>
      <c r="H516" s="998"/>
      <c r="I516" s="998"/>
      <c r="J516" s="998"/>
      <c r="K516" s="998"/>
      <c r="L516" s="998"/>
      <c r="M516" s="998"/>
      <c r="N516" s="998"/>
    </row>
    <row r="518" spans="1:14">
      <c r="A518" s="981" t="s">
        <v>181</v>
      </c>
      <c r="B518" s="981"/>
      <c r="C518" s="981"/>
      <c r="D518" s="981"/>
      <c r="E518" s="992" t="s">
        <v>182</v>
      </c>
      <c r="F518" s="992"/>
      <c r="G518" s="992"/>
      <c r="H518" s="992"/>
      <c r="I518" s="992"/>
      <c r="J518" s="992"/>
      <c r="K518" s="992"/>
      <c r="L518" s="992"/>
      <c r="M518" s="992"/>
      <c r="N518" s="992"/>
    </row>
    <row r="519" spans="1:14">
      <c r="E519" s="992"/>
      <c r="F519" s="992"/>
      <c r="G519" s="992"/>
      <c r="H519" s="992"/>
      <c r="I519" s="992"/>
      <c r="J519" s="992"/>
      <c r="K519" s="992"/>
      <c r="L519" s="992"/>
      <c r="M519" s="992"/>
      <c r="N519" s="992"/>
    </row>
    <row r="521" spans="1:14">
      <c r="A521" s="994" t="s">
        <v>20</v>
      </c>
      <c r="B521" s="994"/>
      <c r="C521" s="994"/>
      <c r="D521" s="994"/>
    </row>
    <row r="523" spans="1:14">
      <c r="A523" s="995" t="s">
        <v>183</v>
      </c>
      <c r="B523" s="995"/>
      <c r="C523" s="995"/>
      <c r="D523" s="995"/>
      <c r="E523" s="985" t="s">
        <v>184</v>
      </c>
      <c r="F523" s="985"/>
      <c r="G523" s="985"/>
      <c r="H523" s="985"/>
      <c r="I523" s="985"/>
      <c r="J523" s="985"/>
      <c r="K523" s="985"/>
      <c r="L523" s="985"/>
      <c r="M523" s="985"/>
      <c r="N523" s="985"/>
    </row>
    <row r="524" spans="1:14">
      <c r="E524" s="985"/>
      <c r="F524" s="985"/>
      <c r="G524" s="985"/>
      <c r="H524" s="985"/>
      <c r="I524" s="985"/>
      <c r="J524" s="985"/>
      <c r="K524" s="985"/>
      <c r="L524" s="985"/>
      <c r="M524" s="985"/>
      <c r="N524" s="985"/>
    </row>
    <row r="525" spans="1:14">
      <c r="E525" s="985"/>
      <c r="F525" s="985"/>
      <c r="G525" s="985"/>
      <c r="H525" s="985"/>
      <c r="I525" s="985"/>
      <c r="J525" s="985"/>
      <c r="K525" s="985"/>
      <c r="L525" s="985"/>
      <c r="M525" s="985"/>
      <c r="N525" s="985"/>
    </row>
    <row r="526" spans="1:14">
      <c r="E526" s="985"/>
      <c r="F526" s="985"/>
      <c r="G526" s="985"/>
      <c r="H526" s="985"/>
      <c r="I526" s="985"/>
      <c r="J526" s="985"/>
      <c r="K526" s="985"/>
      <c r="L526" s="985"/>
      <c r="M526" s="985"/>
      <c r="N526" s="985"/>
    </row>
    <row r="527" spans="1:14">
      <c r="E527" s="985"/>
      <c r="F527" s="985"/>
      <c r="G527" s="985"/>
      <c r="H527" s="985"/>
      <c r="I527" s="985"/>
      <c r="J527" s="985"/>
      <c r="K527" s="985"/>
      <c r="L527" s="985"/>
      <c r="M527" s="985"/>
      <c r="N527" s="985"/>
    </row>
    <row r="528" spans="1:14">
      <c r="E528" s="985"/>
      <c r="F528" s="985"/>
      <c r="G528" s="985"/>
      <c r="H528" s="985"/>
      <c r="I528" s="985"/>
      <c r="J528" s="985"/>
      <c r="K528" s="985"/>
      <c r="L528" s="985"/>
      <c r="M528" s="985"/>
      <c r="N528" s="985"/>
    </row>
    <row r="531" spans="1:14">
      <c r="A531" s="995" t="s">
        <v>185</v>
      </c>
      <c r="B531" s="995"/>
      <c r="C531" s="995"/>
      <c r="D531" s="995"/>
      <c r="E531" s="992" t="s">
        <v>186</v>
      </c>
      <c r="F531" s="992"/>
      <c r="G531" s="992"/>
      <c r="H531" s="992"/>
      <c r="I531" s="992"/>
      <c r="J531" s="992"/>
      <c r="K531" s="992"/>
      <c r="L531" s="992"/>
      <c r="M531" s="992"/>
      <c r="N531" s="992"/>
    </row>
    <row r="532" spans="1:14">
      <c r="E532" s="992"/>
      <c r="F532" s="992"/>
      <c r="G532" s="992"/>
      <c r="H532" s="992"/>
      <c r="I532" s="992"/>
      <c r="J532" s="992"/>
      <c r="K532" s="992"/>
      <c r="L532" s="992"/>
      <c r="M532" s="992"/>
      <c r="N532" s="992"/>
    </row>
    <row r="533" spans="1:14">
      <c r="E533" s="992"/>
      <c r="F533" s="992"/>
      <c r="G533" s="992"/>
      <c r="H533" s="992"/>
      <c r="I533" s="992"/>
      <c r="J533" s="992"/>
      <c r="K533" s="992"/>
      <c r="L533" s="992"/>
      <c r="M533" s="992"/>
      <c r="N533" s="992"/>
    </row>
    <row r="534" spans="1:14">
      <c r="E534" s="992"/>
      <c r="F534" s="992"/>
      <c r="G534" s="992"/>
      <c r="H534" s="992"/>
      <c r="I534" s="992"/>
      <c r="J534" s="992"/>
      <c r="K534" s="992"/>
      <c r="L534" s="992"/>
      <c r="M534" s="992"/>
      <c r="N534" s="992"/>
    </row>
    <row r="535" spans="1:14">
      <c r="E535" s="992"/>
      <c r="F535" s="992"/>
      <c r="G535" s="992"/>
      <c r="H535" s="992"/>
      <c r="I535" s="992"/>
      <c r="J535" s="992"/>
      <c r="K535" s="992"/>
      <c r="L535" s="992"/>
      <c r="M535" s="992"/>
      <c r="N535" s="992"/>
    </row>
    <row r="536" spans="1:14">
      <c r="E536" s="992"/>
      <c r="F536" s="992"/>
      <c r="G536" s="992"/>
      <c r="H536" s="992"/>
      <c r="I536" s="992"/>
      <c r="J536" s="992"/>
      <c r="K536" s="992"/>
      <c r="L536" s="992"/>
      <c r="M536" s="992"/>
      <c r="N536" s="992"/>
    </row>
    <row r="537" spans="1:14">
      <c r="E537" s="992"/>
      <c r="F537" s="992"/>
      <c r="G537" s="992"/>
      <c r="H537" s="992"/>
      <c r="I537" s="992"/>
      <c r="J537" s="992"/>
      <c r="K537" s="992"/>
      <c r="L537" s="992"/>
      <c r="M537" s="992"/>
      <c r="N537" s="992"/>
    </row>
    <row r="538" spans="1:14">
      <c r="E538" s="992"/>
      <c r="F538" s="992"/>
      <c r="G538" s="992"/>
      <c r="H538" s="992"/>
      <c r="I538" s="992"/>
      <c r="J538" s="992"/>
      <c r="K538" s="992"/>
      <c r="L538" s="992"/>
      <c r="M538" s="992"/>
      <c r="N538" s="992"/>
    </row>
    <row r="539" spans="1:14" ht="15.75" thickBot="1"/>
    <row r="540" spans="1:14" ht="15.75" thickBot="1">
      <c r="A540" s="986" t="s">
        <v>187</v>
      </c>
      <c r="B540" s="986"/>
      <c r="C540" s="986"/>
      <c r="D540" s="986"/>
      <c r="E540" s="990" t="s">
        <v>188</v>
      </c>
      <c r="F540" s="990"/>
      <c r="G540" s="990"/>
      <c r="H540" s="990"/>
      <c r="I540" s="990"/>
      <c r="J540" s="990"/>
      <c r="K540" s="990"/>
      <c r="L540" s="990"/>
      <c r="M540" s="990"/>
      <c r="N540" s="990"/>
    </row>
    <row r="541" spans="1:14" ht="15.75" thickBot="1">
      <c r="E541" s="990"/>
      <c r="F541" s="990"/>
      <c r="G541" s="990"/>
      <c r="H541" s="990"/>
      <c r="I541" s="990"/>
      <c r="J541" s="990"/>
      <c r="K541" s="990"/>
      <c r="L541" s="990"/>
      <c r="M541" s="990"/>
      <c r="N541" s="990"/>
    </row>
    <row r="542" spans="1:14" ht="15.75" thickBot="1">
      <c r="E542" s="990"/>
      <c r="F542" s="990"/>
      <c r="G542" s="990"/>
      <c r="H542" s="990"/>
      <c r="I542" s="990"/>
      <c r="J542" s="990"/>
      <c r="K542" s="990"/>
      <c r="L542" s="990"/>
      <c r="M542" s="990"/>
      <c r="N542" s="990"/>
    </row>
    <row r="543" spans="1:14">
      <c r="E543" s="990"/>
      <c r="F543" s="990"/>
      <c r="G543" s="990"/>
      <c r="H543" s="990"/>
      <c r="I543" s="990"/>
      <c r="J543" s="990"/>
      <c r="K543" s="990"/>
      <c r="L543" s="990"/>
      <c r="M543" s="990"/>
      <c r="N543" s="990"/>
    </row>
    <row r="544" spans="1:14">
      <c r="E544" s="32"/>
      <c r="F544" s="32"/>
      <c r="G544" s="32"/>
      <c r="H544" s="32"/>
      <c r="I544" s="32"/>
      <c r="J544" s="32"/>
      <c r="K544" s="32"/>
      <c r="L544" s="32"/>
      <c r="M544" s="32"/>
      <c r="N544" s="32"/>
    </row>
    <row r="545" spans="1:14">
      <c r="A545" s="991" t="s">
        <v>189</v>
      </c>
      <c r="B545" s="991"/>
      <c r="C545" s="991"/>
      <c r="D545" s="991"/>
      <c r="E545" s="992" t="s">
        <v>190</v>
      </c>
      <c r="F545" s="992"/>
      <c r="G545" s="992"/>
      <c r="H545" s="992"/>
      <c r="I545" s="992"/>
      <c r="J545" s="992"/>
      <c r="K545" s="992"/>
      <c r="L545" s="992"/>
      <c r="M545" s="992"/>
      <c r="N545" s="992"/>
    </row>
    <row r="546" spans="1:14">
      <c r="A546" s="33"/>
      <c r="B546" s="33"/>
      <c r="C546" s="33"/>
      <c r="D546" s="33"/>
      <c r="E546" s="992"/>
      <c r="F546" s="992"/>
      <c r="G546" s="992"/>
      <c r="H546" s="992"/>
      <c r="I546" s="992"/>
      <c r="J546" s="992"/>
      <c r="K546" s="992"/>
      <c r="L546" s="992"/>
      <c r="M546" s="992"/>
      <c r="N546" s="992"/>
    </row>
    <row r="547" spans="1:14">
      <c r="E547" s="992"/>
      <c r="F547" s="992"/>
      <c r="G547" s="992"/>
      <c r="H547" s="992"/>
      <c r="I547" s="992"/>
      <c r="J547" s="992"/>
      <c r="K547" s="992"/>
      <c r="L547" s="992"/>
      <c r="M547" s="992"/>
      <c r="N547" s="992"/>
    </row>
    <row r="548" spans="1:14">
      <c r="E548" s="992"/>
      <c r="F548" s="992"/>
      <c r="G548" s="992"/>
      <c r="H548" s="992"/>
      <c r="I548" s="992"/>
      <c r="J548" s="992"/>
      <c r="K548" s="992"/>
      <c r="L548" s="992"/>
      <c r="M548" s="992"/>
      <c r="N548" s="992"/>
    </row>
    <row r="549" spans="1:14" ht="15.75" thickBot="1"/>
    <row r="550" spans="1:14" ht="15.75" thickBot="1">
      <c r="A550" s="986" t="s">
        <v>191</v>
      </c>
      <c r="B550" s="986"/>
      <c r="C550" s="986"/>
      <c r="D550" s="986"/>
      <c r="E550" s="993" t="s">
        <v>192</v>
      </c>
      <c r="F550" s="993"/>
      <c r="G550" s="993"/>
      <c r="H550" s="993"/>
      <c r="I550" s="993"/>
      <c r="J550" s="993"/>
      <c r="K550" s="993"/>
      <c r="L550" s="993"/>
      <c r="M550" s="993"/>
      <c r="N550" s="993"/>
    </row>
    <row r="552" spans="1:14">
      <c r="A552" s="981" t="s">
        <v>193</v>
      </c>
      <c r="B552" s="981"/>
      <c r="C552" s="981"/>
      <c r="D552" s="981"/>
      <c r="E552" s="985" t="s">
        <v>194</v>
      </c>
      <c r="F552" s="985"/>
      <c r="G552" s="985"/>
      <c r="H552" s="985"/>
      <c r="I552" s="985"/>
      <c r="J552" s="985"/>
      <c r="K552" s="985"/>
      <c r="L552" s="985"/>
      <c r="M552" s="985"/>
      <c r="N552" s="985"/>
    </row>
    <row r="553" spans="1:14">
      <c r="E553" s="985"/>
      <c r="F553" s="985"/>
      <c r="G553" s="985"/>
      <c r="H553" s="985"/>
      <c r="I553" s="985"/>
      <c r="J553" s="985"/>
      <c r="K553" s="985"/>
      <c r="L553" s="985"/>
      <c r="M553" s="985"/>
      <c r="N553" s="985"/>
    </row>
    <row r="554" spans="1:14">
      <c r="E554" s="985"/>
      <c r="F554" s="985"/>
      <c r="G554" s="985"/>
      <c r="H554" s="985"/>
      <c r="I554" s="985"/>
      <c r="J554" s="985"/>
      <c r="K554" s="985"/>
      <c r="L554" s="985"/>
      <c r="M554" s="985"/>
      <c r="N554" s="985"/>
    </row>
    <row r="555" spans="1:14">
      <c r="E555" s="985"/>
      <c r="F555" s="985"/>
      <c r="G555" s="985"/>
      <c r="H555" s="985"/>
      <c r="I555" s="985"/>
      <c r="J555" s="985"/>
      <c r="K555" s="985"/>
      <c r="L555" s="985"/>
      <c r="M555" s="985"/>
      <c r="N555" s="985"/>
    </row>
    <row r="556" spans="1:14">
      <c r="E556" s="985"/>
      <c r="F556" s="985"/>
      <c r="G556" s="985"/>
      <c r="H556" s="985"/>
      <c r="I556" s="985"/>
      <c r="J556" s="985"/>
      <c r="K556" s="985"/>
      <c r="L556" s="985"/>
      <c r="M556" s="985"/>
      <c r="N556" s="985"/>
    </row>
    <row r="557" spans="1:14">
      <c r="E557" s="985"/>
      <c r="F557" s="985"/>
      <c r="G557" s="985"/>
      <c r="H557" s="985"/>
      <c r="I557" s="985"/>
      <c r="J557" s="985"/>
      <c r="K557" s="985"/>
      <c r="L557" s="985"/>
      <c r="M557" s="985"/>
      <c r="N557" s="985"/>
    </row>
    <row r="558" spans="1:14">
      <c r="E558" s="985"/>
      <c r="F558" s="985"/>
      <c r="G558" s="985"/>
      <c r="H558" s="985"/>
      <c r="I558" s="985"/>
      <c r="J558" s="985"/>
      <c r="K558" s="985"/>
      <c r="L558" s="985"/>
      <c r="M558" s="985"/>
      <c r="N558" s="985"/>
    </row>
    <row r="559" spans="1:14">
      <c r="C559" s="4"/>
      <c r="E559" s="985"/>
      <c r="F559" s="985"/>
      <c r="G559" s="985"/>
      <c r="H559" s="985"/>
      <c r="I559" s="985"/>
      <c r="J559" s="985"/>
      <c r="K559" s="985"/>
      <c r="L559" s="985"/>
      <c r="M559" s="985"/>
      <c r="N559" s="985"/>
    </row>
    <row r="560" spans="1:14">
      <c r="E560" s="985"/>
      <c r="F560" s="985"/>
      <c r="G560" s="985"/>
      <c r="H560" s="985"/>
      <c r="I560" s="985"/>
      <c r="J560" s="985"/>
      <c r="K560" s="985"/>
      <c r="L560" s="985"/>
      <c r="M560" s="985"/>
      <c r="N560" s="985"/>
    </row>
    <row r="561" spans="1:14" ht="15.75" thickBot="1">
      <c r="E561" s="32"/>
      <c r="F561" s="32"/>
      <c r="G561" s="32"/>
      <c r="H561" s="32"/>
      <c r="I561" s="32"/>
      <c r="J561" s="32"/>
      <c r="K561" s="32"/>
      <c r="L561" s="32"/>
      <c r="M561" s="32"/>
      <c r="N561" s="32"/>
    </row>
    <row r="562" spans="1:14" ht="15.75" thickBot="1">
      <c r="A562" s="986" t="s">
        <v>195</v>
      </c>
      <c r="B562" s="986"/>
      <c r="C562" s="986"/>
      <c r="D562" s="986"/>
      <c r="E562" s="987" t="s">
        <v>196</v>
      </c>
      <c r="F562" s="987"/>
      <c r="G562" s="987"/>
      <c r="H562" s="987"/>
      <c r="I562" s="987"/>
      <c r="J562" s="987"/>
      <c r="K562" s="987"/>
      <c r="L562" s="987"/>
      <c r="M562" s="987"/>
      <c r="N562" s="987"/>
    </row>
    <row r="566" spans="1:14" ht="15.75">
      <c r="A566" s="988" t="s">
        <v>29</v>
      </c>
      <c r="B566" s="988"/>
    </row>
    <row r="567" spans="1:14" ht="15.75" thickBot="1"/>
    <row r="568" spans="1:14" ht="15.75" thickBot="1">
      <c r="A568" s="989" t="s">
        <v>197</v>
      </c>
      <c r="B568" s="989"/>
      <c r="C568" s="989"/>
      <c r="D568" s="989"/>
      <c r="E568" s="989"/>
      <c r="F568" s="34" t="s">
        <v>198</v>
      </c>
      <c r="G568" s="35"/>
      <c r="H568" s="35"/>
      <c r="I568" s="35"/>
      <c r="J568" s="35"/>
      <c r="K568" s="35"/>
      <c r="L568" s="35"/>
      <c r="M568" s="35"/>
      <c r="N568" s="35"/>
    </row>
    <row r="570" spans="1:14">
      <c r="A570" s="981" t="s">
        <v>199</v>
      </c>
      <c r="B570" s="981"/>
      <c r="C570" s="981"/>
      <c r="D570" s="981"/>
      <c r="E570" s="981"/>
      <c r="F570" s="982" t="s">
        <v>200</v>
      </c>
      <c r="G570" s="982"/>
      <c r="H570" s="982"/>
      <c r="I570" s="982"/>
      <c r="J570" s="982"/>
      <c r="K570" s="982"/>
      <c r="L570" s="982"/>
      <c r="M570" s="982"/>
      <c r="N570" s="982"/>
    </row>
    <row r="571" spans="1:14">
      <c r="F571" s="982"/>
      <c r="G571" s="982"/>
      <c r="H571" s="982"/>
      <c r="I571" s="982"/>
      <c r="J571" s="982"/>
      <c r="K571" s="982"/>
      <c r="L571" s="982"/>
      <c r="M571" s="982"/>
      <c r="N571" s="982"/>
    </row>
    <row r="572" spans="1:14">
      <c r="F572" s="982"/>
      <c r="G572" s="982"/>
      <c r="H572" s="982"/>
      <c r="I572" s="982"/>
      <c r="J572" s="982"/>
      <c r="K572" s="982"/>
      <c r="L572" s="982"/>
      <c r="M572" s="982"/>
      <c r="N572" s="982"/>
    </row>
    <row r="574" spans="1:14">
      <c r="A574" s="983" t="s">
        <v>31</v>
      </c>
      <c r="B574" s="983"/>
    </row>
    <row r="578" spans="1:14">
      <c r="A578" s="984" t="s">
        <v>32</v>
      </c>
      <c r="B578" s="984"/>
      <c r="C578" s="984"/>
      <c r="D578" s="984"/>
      <c r="E578" s="984"/>
    </row>
    <row r="579" spans="1:14">
      <c r="I579" s="4"/>
    </row>
    <row r="581" spans="1:14">
      <c r="A581" s="981" t="s">
        <v>201</v>
      </c>
      <c r="B581" s="981"/>
      <c r="C581" s="981"/>
      <c r="D581" s="981"/>
      <c r="E581" s="981"/>
      <c r="F581" s="985" t="s">
        <v>202</v>
      </c>
      <c r="G581" s="985"/>
      <c r="H581" s="985"/>
      <c r="I581" s="985"/>
      <c r="J581" s="985"/>
      <c r="K581" s="985"/>
      <c r="L581" s="985"/>
      <c r="M581" s="985"/>
      <c r="N581" s="985"/>
    </row>
    <row r="582" spans="1:14">
      <c r="F582" s="985"/>
      <c r="G582" s="985"/>
      <c r="H582" s="985"/>
      <c r="I582" s="985"/>
      <c r="J582" s="985"/>
      <c r="K582" s="985"/>
      <c r="L582" s="985"/>
      <c r="M582" s="985"/>
      <c r="N582" s="985"/>
    </row>
    <row r="583" spans="1:14">
      <c r="F583" s="985"/>
      <c r="G583" s="985"/>
      <c r="H583" s="985"/>
      <c r="I583" s="985"/>
      <c r="J583" s="985"/>
      <c r="K583" s="985"/>
      <c r="L583" s="985"/>
      <c r="M583" s="985"/>
      <c r="N583" s="985"/>
    </row>
    <row r="584" spans="1:14">
      <c r="F584" s="985"/>
      <c r="G584" s="985"/>
      <c r="H584" s="985"/>
      <c r="I584" s="985"/>
      <c r="J584" s="985"/>
      <c r="K584" s="985"/>
      <c r="L584" s="985"/>
      <c r="M584" s="985"/>
      <c r="N584" s="985"/>
    </row>
    <row r="585" spans="1:14">
      <c r="F585" s="985"/>
      <c r="G585" s="985"/>
      <c r="H585" s="985"/>
      <c r="I585" s="985"/>
      <c r="J585" s="985"/>
      <c r="K585" s="985"/>
      <c r="L585" s="985"/>
      <c r="M585" s="985"/>
      <c r="N585" s="985"/>
    </row>
    <row r="586" spans="1:14">
      <c r="F586" s="985"/>
      <c r="G586" s="985"/>
      <c r="H586" s="985"/>
      <c r="I586" s="985"/>
      <c r="J586" s="985"/>
      <c r="K586" s="985"/>
      <c r="L586" s="985"/>
      <c r="M586" s="985"/>
      <c r="N586" s="985"/>
    </row>
    <row r="587" spans="1:14">
      <c r="F587" s="985"/>
      <c r="G587" s="985"/>
      <c r="H587" s="985"/>
      <c r="I587" s="985"/>
      <c r="J587" s="985"/>
      <c r="K587" s="985"/>
      <c r="L587" s="985"/>
      <c r="M587" s="985"/>
      <c r="N587" s="985"/>
    </row>
    <row r="588" spans="1:14">
      <c r="F588" s="985"/>
      <c r="G588" s="985"/>
      <c r="H588" s="985"/>
      <c r="I588" s="985"/>
      <c r="J588" s="985"/>
      <c r="K588" s="985"/>
      <c r="L588" s="985"/>
      <c r="M588" s="985"/>
      <c r="N588" s="985"/>
    </row>
    <row r="589" spans="1:14">
      <c r="F589" s="32"/>
      <c r="G589" s="32"/>
      <c r="H589" s="32"/>
      <c r="I589" s="32"/>
      <c r="J589" s="32"/>
      <c r="K589" s="32"/>
      <c r="L589" s="32"/>
      <c r="M589" s="32"/>
      <c r="N589" s="32"/>
    </row>
    <row r="590" spans="1:14">
      <c r="A590" s="981" t="s">
        <v>203</v>
      </c>
      <c r="B590" s="981"/>
      <c r="C590" s="981"/>
      <c r="D590" s="981"/>
      <c r="E590" s="981"/>
      <c r="F590" s="982" t="s">
        <v>204</v>
      </c>
      <c r="G590" s="982"/>
      <c r="H590" s="982"/>
      <c r="I590" s="982"/>
      <c r="J590" s="982"/>
      <c r="K590" s="982"/>
      <c r="L590" s="982"/>
      <c r="M590" s="982"/>
      <c r="N590" s="982"/>
    </row>
    <row r="591" spans="1:14">
      <c r="F591" s="982"/>
      <c r="G591" s="982"/>
      <c r="H591" s="982"/>
      <c r="I591" s="982"/>
      <c r="J591" s="982"/>
      <c r="K591" s="982"/>
      <c r="L591" s="982"/>
      <c r="M591" s="982"/>
      <c r="N591" s="982"/>
    </row>
    <row r="592" spans="1:14">
      <c r="F592" s="982"/>
      <c r="G592" s="982"/>
      <c r="H592" s="982"/>
      <c r="I592" s="982"/>
      <c r="J592" s="982"/>
      <c r="K592" s="982"/>
      <c r="L592" s="982"/>
      <c r="M592" s="982"/>
      <c r="N592" s="982"/>
    </row>
    <row r="593" spans="1:14">
      <c r="F593" s="982"/>
      <c r="G593" s="982"/>
      <c r="H593" s="982"/>
      <c r="I593" s="982"/>
      <c r="J593" s="982"/>
      <c r="K593" s="982"/>
      <c r="L593" s="982"/>
      <c r="M593" s="982"/>
      <c r="N593" s="982"/>
    </row>
    <row r="594" spans="1:14">
      <c r="F594" s="982"/>
      <c r="G594" s="982"/>
      <c r="H594" s="982"/>
      <c r="I594" s="982"/>
      <c r="J594" s="982"/>
      <c r="K594" s="982"/>
      <c r="L594" s="982"/>
      <c r="M594" s="982"/>
      <c r="N594" s="982"/>
    </row>
    <row r="596" spans="1:14">
      <c r="A596" s="981" t="s">
        <v>205</v>
      </c>
      <c r="B596" s="981"/>
      <c r="C596" s="981"/>
      <c r="D596" s="981"/>
      <c r="E596" s="981"/>
      <c r="F596" s="982" t="s">
        <v>206</v>
      </c>
      <c r="G596" s="982"/>
      <c r="H596" s="982"/>
      <c r="I596" s="982"/>
      <c r="J596" s="982"/>
      <c r="K596" s="982"/>
      <c r="L596" s="982"/>
      <c r="M596" s="982"/>
      <c r="N596" s="982"/>
    </row>
    <row r="597" spans="1:14">
      <c r="F597" s="982"/>
      <c r="G597" s="982"/>
      <c r="H597" s="982"/>
      <c r="I597" s="982"/>
      <c r="J597" s="982"/>
      <c r="K597" s="982"/>
      <c r="L597" s="982"/>
      <c r="M597" s="982"/>
      <c r="N597" s="982"/>
    </row>
    <row r="598" spans="1:14">
      <c r="F598" s="982"/>
      <c r="G598" s="982"/>
      <c r="H598" s="982"/>
      <c r="I598" s="982"/>
      <c r="J598" s="982"/>
      <c r="K598" s="982"/>
      <c r="L598" s="982"/>
      <c r="M598" s="982"/>
      <c r="N598" s="982"/>
    </row>
    <row r="599" spans="1:14">
      <c r="F599" s="982"/>
      <c r="G599" s="982"/>
      <c r="H599" s="982"/>
      <c r="I599" s="982"/>
      <c r="J599" s="982"/>
      <c r="K599" s="982"/>
      <c r="L599" s="982"/>
      <c r="M599" s="982"/>
      <c r="N599" s="982"/>
    </row>
    <row r="600" spans="1:14">
      <c r="F600" s="982"/>
      <c r="G600" s="982"/>
      <c r="H600" s="982"/>
      <c r="I600" s="982"/>
      <c r="J600" s="982"/>
      <c r="K600" s="982"/>
      <c r="L600" s="982"/>
      <c r="M600" s="982"/>
      <c r="N600" s="982"/>
    </row>
    <row r="601" spans="1:14">
      <c r="F601" s="982"/>
      <c r="G601" s="982"/>
      <c r="H601" s="982"/>
      <c r="I601" s="982"/>
      <c r="J601" s="982"/>
      <c r="K601" s="982"/>
      <c r="L601" s="982"/>
      <c r="M601" s="982"/>
      <c r="N601" s="982"/>
    </row>
  </sheetData>
  <mergeCells count="280">
    <mergeCell ref="B1:H1"/>
    <mergeCell ref="B2:H2"/>
    <mergeCell ref="B3:J3"/>
    <mergeCell ref="B4:I4"/>
    <mergeCell ref="K4:L4"/>
    <mergeCell ref="M4:N4"/>
    <mergeCell ref="A190:C190"/>
    <mergeCell ref="H190:K190"/>
    <mergeCell ref="A189:C189"/>
    <mergeCell ref="A187:N187"/>
    <mergeCell ref="H10:I10"/>
    <mergeCell ref="L10:N10"/>
    <mergeCell ref="A12:C12"/>
    <mergeCell ref="H12:I12"/>
    <mergeCell ref="H13:I13"/>
    <mergeCell ref="H14:I14"/>
    <mergeCell ref="B5:C5"/>
    <mergeCell ref="D6:E6"/>
    <mergeCell ref="G6:K6"/>
    <mergeCell ref="D8:E8"/>
    <mergeCell ref="H8:I8"/>
    <mergeCell ref="H9:I9"/>
    <mergeCell ref="C20:K20"/>
    <mergeCell ref="A21:C21"/>
    <mergeCell ref="A22:C22"/>
    <mergeCell ref="A23:C23"/>
    <mergeCell ref="E23:M23"/>
    <mergeCell ref="A24:C24"/>
    <mergeCell ref="E24:N24"/>
    <mergeCell ref="F15:I15"/>
    <mergeCell ref="A17:C17"/>
    <mergeCell ref="H17:I17"/>
    <mergeCell ref="A18:C18"/>
    <mergeCell ref="H18:I18"/>
    <mergeCell ref="A19:C19"/>
    <mergeCell ref="F19:M19"/>
    <mergeCell ref="F28:G28"/>
    <mergeCell ref="K28:M28"/>
    <mergeCell ref="E29:F29"/>
    <mergeCell ref="A33:B33"/>
    <mergeCell ref="A35:B35"/>
    <mergeCell ref="A36:B36"/>
    <mergeCell ref="H36:J36"/>
    <mergeCell ref="L36:M36"/>
    <mergeCell ref="A25:C25"/>
    <mergeCell ref="F25:I25"/>
    <mergeCell ref="A26:D26"/>
    <mergeCell ref="E26:J26"/>
    <mergeCell ref="A27:D27"/>
    <mergeCell ref="E27:F27"/>
    <mergeCell ref="O41:S41"/>
    <mergeCell ref="A42:B42"/>
    <mergeCell ref="C42:N42"/>
    <mergeCell ref="O42:S42"/>
    <mergeCell ref="A53:D53"/>
    <mergeCell ref="A54:C54"/>
    <mergeCell ref="A37:B37"/>
    <mergeCell ref="A38:B38"/>
    <mergeCell ref="A39:B39"/>
    <mergeCell ref="L39:M39"/>
    <mergeCell ref="O39:T39"/>
    <mergeCell ref="A40:B40"/>
    <mergeCell ref="L40:M40"/>
    <mergeCell ref="O40:T40"/>
    <mergeCell ref="A64:B64"/>
    <mergeCell ref="A66:B66"/>
    <mergeCell ref="A68:B68"/>
    <mergeCell ref="A69:C69"/>
    <mergeCell ref="A70:C70"/>
    <mergeCell ref="A73:B73"/>
    <mergeCell ref="A55:B55"/>
    <mergeCell ref="A57:B57"/>
    <mergeCell ref="A59:B59"/>
    <mergeCell ref="A60:C60"/>
    <mergeCell ref="A61:C61"/>
    <mergeCell ref="A62:B62"/>
    <mergeCell ref="A94:F94"/>
    <mergeCell ref="D106:E106"/>
    <mergeCell ref="D107:E107"/>
    <mergeCell ref="D108:E108"/>
    <mergeCell ref="A109:F109"/>
    <mergeCell ref="D121:E121"/>
    <mergeCell ref="A75:C75"/>
    <mergeCell ref="A78:B78"/>
    <mergeCell ref="C79:F79"/>
    <mergeCell ref="A80:C80"/>
    <mergeCell ref="A83:B83"/>
    <mergeCell ref="A93:C93"/>
    <mergeCell ref="F93:J93"/>
    <mergeCell ref="P153:S153"/>
    <mergeCell ref="P154:S154"/>
    <mergeCell ref="P155:S155"/>
    <mergeCell ref="D122:E122"/>
    <mergeCell ref="D123:E123"/>
    <mergeCell ref="A124:F124"/>
    <mergeCell ref="D136:E136"/>
    <mergeCell ref="D137:E137"/>
    <mergeCell ref="D138:E138"/>
    <mergeCell ref="A211:C211"/>
    <mergeCell ref="B228:H228"/>
    <mergeCell ref="B229:K229"/>
    <mergeCell ref="B230:J230"/>
    <mergeCell ref="M231:N231"/>
    <mergeCell ref="B232:C232"/>
    <mergeCell ref="K232:L232"/>
    <mergeCell ref="A140:F140"/>
    <mergeCell ref="I152:M152"/>
    <mergeCell ref="A236:B236"/>
    <mergeCell ref="C236:D236"/>
    <mergeCell ref="E236:F236"/>
    <mergeCell ref="G236:H236"/>
    <mergeCell ref="I236:K236"/>
    <mergeCell ref="L236:M236"/>
    <mergeCell ref="A233:B233"/>
    <mergeCell ref="E233:F233"/>
    <mergeCell ref="I233:J233"/>
    <mergeCell ref="A234:C234"/>
    <mergeCell ref="A235:B235"/>
    <mergeCell ref="C235:H235"/>
    <mergeCell ref="I235:K235"/>
    <mergeCell ref="J240:K240"/>
    <mergeCell ref="A241:B241"/>
    <mergeCell ref="J241:K241"/>
    <mergeCell ref="A242:B242"/>
    <mergeCell ref="J242:K242"/>
    <mergeCell ref="A243:B243"/>
    <mergeCell ref="J243:K243"/>
    <mergeCell ref="A237:B237"/>
    <mergeCell ref="J237:K237"/>
    <mergeCell ref="A238:B238"/>
    <mergeCell ref="J238:K238"/>
    <mergeCell ref="A239:B239"/>
    <mergeCell ref="J239:K239"/>
    <mergeCell ref="A255:B255"/>
    <mergeCell ref="A256:B256"/>
    <mergeCell ref="A257:B257"/>
    <mergeCell ref="A258:C258"/>
    <mergeCell ref="A259:B259"/>
    <mergeCell ref="E273:F273"/>
    <mergeCell ref="A244:B244"/>
    <mergeCell ref="J244:K244"/>
    <mergeCell ref="I246:J246"/>
    <mergeCell ref="A251:B251"/>
    <mergeCell ref="A252:B252"/>
    <mergeCell ref="A254:B254"/>
    <mergeCell ref="E277:F277"/>
    <mergeCell ref="E278:F278"/>
    <mergeCell ref="E279:G279"/>
    <mergeCell ref="E281:F281"/>
    <mergeCell ref="E282:F282"/>
    <mergeCell ref="E283:F283"/>
    <mergeCell ref="I273:K273"/>
    <mergeCell ref="E274:F274"/>
    <mergeCell ref="E275:F275"/>
    <mergeCell ref="E276:F276"/>
    <mergeCell ref="A315:N315"/>
    <mergeCell ref="B318:C318"/>
    <mergeCell ref="D318:M318"/>
    <mergeCell ref="B322:H322"/>
    <mergeCell ref="B323:H323"/>
    <mergeCell ref="B324:J324"/>
    <mergeCell ref="E284:F284"/>
    <mergeCell ref="E285:F285"/>
    <mergeCell ref="E286:F286"/>
    <mergeCell ref="J293:K293"/>
    <mergeCell ref="J294:K294"/>
    <mergeCell ref="D305:F305"/>
    <mergeCell ref="E328:F328"/>
    <mergeCell ref="A332:B332"/>
    <mergeCell ref="A334:B334"/>
    <mergeCell ref="A335:B335"/>
    <mergeCell ref="H335:J335"/>
    <mergeCell ref="L335:M335"/>
    <mergeCell ref="B325:G325"/>
    <mergeCell ref="I325:J325"/>
    <mergeCell ref="M325:N325"/>
    <mergeCell ref="A326:F326"/>
    <mergeCell ref="D327:E327"/>
    <mergeCell ref="F327:G327"/>
    <mergeCell ref="I327:J327"/>
    <mergeCell ref="K327:M327"/>
    <mergeCell ref="A349:D349"/>
    <mergeCell ref="E349:F349"/>
    <mergeCell ref="H349:I349"/>
    <mergeCell ref="K349:M349"/>
    <mergeCell ref="A350:D350"/>
    <mergeCell ref="K350:L350"/>
    <mergeCell ref="A336:B336"/>
    <mergeCell ref="A337:B337"/>
    <mergeCell ref="A338:B338"/>
    <mergeCell ref="L338:M338"/>
    <mergeCell ref="A339:B339"/>
    <mergeCell ref="L339:M339"/>
    <mergeCell ref="A354:F354"/>
    <mergeCell ref="C355:D355"/>
    <mergeCell ref="F355:N355"/>
    <mergeCell ref="E368:F368"/>
    <mergeCell ref="A369:C369"/>
    <mergeCell ref="A370:C370"/>
    <mergeCell ref="A351:D351"/>
    <mergeCell ref="K351:L351"/>
    <mergeCell ref="A352:D352"/>
    <mergeCell ref="K352:L352"/>
    <mergeCell ref="A353:D353"/>
    <mergeCell ref="K353:L353"/>
    <mergeCell ref="A377:C377"/>
    <mergeCell ref="A378:C378"/>
    <mergeCell ref="A379:C379"/>
    <mergeCell ref="A380:C380"/>
    <mergeCell ref="A381:C381"/>
    <mergeCell ref="A382:C382"/>
    <mergeCell ref="A371:C371"/>
    <mergeCell ref="A372:C372"/>
    <mergeCell ref="A373:C373"/>
    <mergeCell ref="A374:C374"/>
    <mergeCell ref="A375:C375"/>
    <mergeCell ref="A376:C376"/>
    <mergeCell ref="A409:E409"/>
    <mergeCell ref="A410:B410"/>
    <mergeCell ref="A411:E411"/>
    <mergeCell ref="A417:N417"/>
    <mergeCell ref="A418:N418"/>
    <mergeCell ref="B419:D419"/>
    <mergeCell ref="A383:C383"/>
    <mergeCell ref="A385:N389"/>
    <mergeCell ref="A390:N394"/>
    <mergeCell ref="A395:N399"/>
    <mergeCell ref="A400:N404"/>
    <mergeCell ref="A407:B407"/>
    <mergeCell ref="A505:D505"/>
    <mergeCell ref="E505:N505"/>
    <mergeCell ref="A507:D507"/>
    <mergeCell ref="E507:N508"/>
    <mergeCell ref="A510:D510"/>
    <mergeCell ref="E510:N510"/>
    <mergeCell ref="B420:M420"/>
    <mergeCell ref="B421:E421"/>
    <mergeCell ref="K422:N422"/>
    <mergeCell ref="K462:N462"/>
    <mergeCell ref="A474:D479"/>
    <mergeCell ref="E474:I479"/>
    <mergeCell ref="J474:N479"/>
    <mergeCell ref="E552:N560"/>
    <mergeCell ref="A521:D521"/>
    <mergeCell ref="A523:D523"/>
    <mergeCell ref="E523:N528"/>
    <mergeCell ref="A531:D531"/>
    <mergeCell ref="E531:N538"/>
    <mergeCell ref="A540:D540"/>
    <mergeCell ref="E540:N543"/>
    <mergeCell ref="A512:D512"/>
    <mergeCell ref="E512:N513"/>
    <mergeCell ref="A515:D515"/>
    <mergeCell ref="E515:N516"/>
    <mergeCell ref="A518:D518"/>
    <mergeCell ref="E518:N519"/>
    <mergeCell ref="A596:E596"/>
    <mergeCell ref="F596:N601"/>
    <mergeCell ref="B203:G203"/>
    <mergeCell ref="A188:D188"/>
    <mergeCell ref="D189:E189"/>
    <mergeCell ref="H189:K189"/>
    <mergeCell ref="L189:M189"/>
    <mergeCell ref="A574:B574"/>
    <mergeCell ref="A578:E578"/>
    <mergeCell ref="A581:E581"/>
    <mergeCell ref="F581:N588"/>
    <mergeCell ref="A590:E590"/>
    <mergeCell ref="F590:N594"/>
    <mergeCell ref="A562:D562"/>
    <mergeCell ref="E562:N562"/>
    <mergeCell ref="A566:B566"/>
    <mergeCell ref="A568:E568"/>
    <mergeCell ref="A570:E570"/>
    <mergeCell ref="F570:N572"/>
    <mergeCell ref="A545:D545"/>
    <mergeCell ref="E545:N548"/>
    <mergeCell ref="A550:D550"/>
    <mergeCell ref="E550:N550"/>
    <mergeCell ref="A552:D552"/>
  </mergeCells>
  <dataValidations disablePrompts="1" count="17">
    <dataValidation type="list" allowBlank="1" showInputMessage="1" showErrorMessage="1" sqref="E26:J26">
      <formula1>$Q$20:$Q$24</formula1>
    </dataValidation>
    <dataValidation type="list" allowBlank="1" showInputMessage="1" showErrorMessage="1" sqref="L40:M40">
      <formula1>$R$327:$R$328</formula1>
    </dataValidation>
    <dataValidation type="list" allowBlank="1" showInputMessage="1" showErrorMessage="1" sqref="C33">
      <formula1>$P$327:$P$328</formula1>
    </dataValidation>
    <dataValidation type="list" allowBlank="1" showInputMessage="1" showErrorMessage="1" sqref="G29">
      <formula1>$U$316:$U$327</formula1>
    </dataValidation>
    <dataValidation type="list" allowBlank="1" showInputMessage="1" showErrorMessage="1" sqref="D29">
      <formula1>$T$316:$T$327</formula1>
    </dataValidation>
    <dataValidation type="list" allowBlank="1" showInputMessage="1" showErrorMessage="1" sqref="F28">
      <formula1>$P$316:$P$325</formula1>
    </dataValidation>
    <dataValidation type="list" allowBlank="1" showInputMessage="1" showErrorMessage="1" sqref="K28:M28">
      <formula1>$R$315:$R$325</formula1>
    </dataValidation>
    <dataValidation type="list" allowBlank="1" showInputMessage="1" showErrorMessage="1" sqref="C42:N42">
      <formula1>$O$39:$O$43</formula1>
    </dataValidation>
    <dataValidation type="list" allowBlank="1" showInputMessage="1" showErrorMessage="1" sqref="H421">
      <formula1>$O$418:$O$425</formula1>
    </dataValidation>
    <dataValidation type="list" allowBlank="1" showInputMessage="1" showErrorMessage="1" sqref="C410">
      <formula1>$O$409:$O$413</formula1>
    </dataValidation>
    <dataValidation type="list" allowBlank="1" showInputMessage="1" showErrorMessage="1" sqref="L339:M339">
      <formula1>$R$328:$R$329</formula1>
    </dataValidation>
    <dataValidation type="list" allowBlank="1" showInputMessage="1" showErrorMessage="1" sqref="C332">
      <formula1>$P$328:$P$329</formula1>
    </dataValidation>
    <dataValidation type="list" allowBlank="1" showInputMessage="1" showErrorMessage="1" sqref="G328">
      <formula1>$U$317:$U$328</formula1>
    </dataValidation>
    <dataValidation type="list" allowBlank="1" showInputMessage="1" showErrorMessage="1" sqref="D328">
      <formula1>$T$317:$T$328</formula1>
    </dataValidation>
    <dataValidation type="list" allowBlank="1" showInputMessage="1" showErrorMessage="1" sqref="K327:M327">
      <formula1>$R$317:$R$326</formula1>
    </dataValidation>
    <dataValidation type="list" allowBlank="1" showInputMessage="1" showErrorMessage="1" sqref="F327:G327">
      <formula1>$P$317:$P$326</formula1>
    </dataValidation>
    <dataValidation type="list" allowBlank="1" showInputMessage="1" showErrorMessage="1" sqref="E188">
      <formula1>$U$187:$U$192</formula1>
    </dataValidation>
  </dataValidations>
  <pageMargins left="0.25" right="0.25" top="0.75" bottom="0.75" header="0.3" footer="0.3"/>
  <pageSetup firstPageNumber="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X567"/>
  <sheetViews>
    <sheetView showGridLines="0" showRowColHeaders="0" topLeftCell="A20" zoomScaleNormal="100" zoomScalePageLayoutView="60" workbookViewId="0">
      <selection activeCell="A45" sqref="A45"/>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5.570312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t="s">
        <v>635</v>
      </c>
      <c r="C4" s="1252"/>
      <c r="D4" s="1252"/>
      <c r="E4" s="1252"/>
      <c r="F4" s="1252"/>
      <c r="G4" s="1252"/>
      <c r="H4" s="1252"/>
      <c r="I4" s="1252"/>
      <c r="J4" s="358"/>
      <c r="K4" s="1172" t="s">
        <v>291</v>
      </c>
      <c r="L4" s="1172"/>
      <c r="M4" s="1253" t="s">
        <v>638</v>
      </c>
      <c r="N4" s="1254"/>
      <c r="O4" s="80"/>
      <c r="P4" s="80"/>
      <c r="Q4" s="80"/>
      <c r="R4" s="80"/>
      <c r="S4" s="80"/>
      <c r="T4" s="80"/>
      <c r="U4" s="80"/>
    </row>
    <row r="5" spans="1:22">
      <c r="A5" s="380" t="s">
        <v>3</v>
      </c>
      <c r="B5" s="1255">
        <v>42192</v>
      </c>
      <c r="C5" s="1255"/>
      <c r="D5" s="457"/>
      <c r="E5" s="457"/>
      <c r="F5" s="457"/>
      <c r="G5" s="457"/>
      <c r="H5" s="457"/>
      <c r="I5" s="457"/>
      <c r="J5" s="79"/>
      <c r="K5" s="457"/>
      <c r="L5" s="457"/>
      <c r="M5" s="78"/>
      <c r="N5" s="359"/>
      <c r="O5" s="80"/>
      <c r="P5" s="80"/>
      <c r="Q5" s="80"/>
      <c r="R5" s="80"/>
      <c r="S5" s="80"/>
      <c r="T5" s="80"/>
      <c r="U5" s="80"/>
    </row>
    <row r="6" spans="1:22">
      <c r="A6" s="380" t="s">
        <v>234</v>
      </c>
      <c r="B6" s="457"/>
      <c r="C6" s="457"/>
      <c r="D6" s="1256">
        <v>41257</v>
      </c>
      <c r="E6" s="1255"/>
      <c r="F6" s="457"/>
      <c r="G6" s="1118" t="str">
        <f ca="1">DATEDIF(D6,TODAY(),"y")&amp;"_años_"&amp;DATEDIF(D6,TODAY(),"ym")&amp;"_meses_"&amp;DATEDIF(D6,TODAY(),"md")&amp;"_dias_"</f>
        <v>5_años_4_meses_4_dias_</v>
      </c>
      <c r="H6" s="1118"/>
      <c r="I6" s="1118"/>
      <c r="J6" s="1118"/>
      <c r="K6" s="1118"/>
      <c r="L6" s="457"/>
      <c r="M6" s="457"/>
      <c r="N6" s="360"/>
      <c r="O6" s="275">
        <v>1</v>
      </c>
      <c r="P6" s="215"/>
      <c r="Q6" s="215"/>
      <c r="R6" s="215"/>
      <c r="S6" s="215"/>
      <c r="T6" s="215"/>
      <c r="U6" s="215"/>
      <c r="V6" s="215"/>
    </row>
    <row r="7" spans="1:22">
      <c r="A7" s="380"/>
      <c r="B7" s="457"/>
      <c r="C7" s="457"/>
      <c r="D7" s="457"/>
      <c r="E7" s="457"/>
      <c r="F7" s="457"/>
      <c r="G7" s="457"/>
      <c r="H7" s="457"/>
      <c r="I7" s="457"/>
      <c r="J7" s="79"/>
      <c r="K7" s="457"/>
      <c r="L7" s="457"/>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170"/>
      <c r="M8" s="361"/>
      <c r="N8" s="360"/>
      <c r="O8" s="275">
        <v>3</v>
      </c>
      <c r="P8" s="215"/>
      <c r="Q8" s="215"/>
      <c r="R8" s="215"/>
      <c r="S8" s="215"/>
      <c r="T8" s="215"/>
      <c r="U8" s="215"/>
      <c r="V8" s="215"/>
    </row>
    <row r="9" spans="1:22">
      <c r="A9" s="380" t="s">
        <v>418</v>
      </c>
      <c r="B9" s="79"/>
      <c r="C9" s="79"/>
      <c r="D9" s="438" t="s">
        <v>5</v>
      </c>
      <c r="E9" s="438"/>
      <c r="F9" s="169"/>
      <c r="G9" s="79"/>
      <c r="H9" s="357"/>
      <c r="I9" s="438"/>
      <c r="J9" s="169"/>
      <c r="K9" s="171"/>
      <c r="L9" s="170"/>
      <c r="M9" s="361"/>
      <c r="N9" s="360"/>
      <c r="O9" s="275">
        <v>4</v>
      </c>
      <c r="P9" s="215"/>
      <c r="Q9" s="215"/>
      <c r="R9" s="215"/>
      <c r="S9" s="215"/>
      <c r="T9" s="215"/>
      <c r="U9" s="215"/>
      <c r="V9" s="215"/>
    </row>
    <row r="10" spans="1:22">
      <c r="A10" s="380" t="s">
        <v>412</v>
      </c>
      <c r="B10" s="79"/>
      <c r="C10" s="79"/>
      <c r="D10" s="438" t="s">
        <v>5</v>
      </c>
      <c r="E10" s="438"/>
      <c r="F10" s="169"/>
      <c r="G10" s="79"/>
      <c r="H10" s="438"/>
      <c r="I10" s="438"/>
      <c r="J10" s="169"/>
      <c r="K10" s="171"/>
      <c r="L10" s="170"/>
      <c r="M10" s="361"/>
      <c r="N10" s="360"/>
      <c r="O10" s="275">
        <v>5</v>
      </c>
      <c r="P10" s="215"/>
      <c r="Q10" s="215"/>
      <c r="R10" s="215"/>
      <c r="S10" s="215"/>
      <c r="T10" s="215"/>
      <c r="U10" s="215"/>
      <c r="V10" s="215"/>
    </row>
    <row r="11" spans="1:22" ht="15.75">
      <c r="A11" s="380" t="s">
        <v>417</v>
      </c>
      <c r="B11" s="79"/>
      <c r="C11" s="79"/>
      <c r="D11" s="139">
        <v>2</v>
      </c>
      <c r="E11" s="79" t="s">
        <v>5</v>
      </c>
      <c r="F11" s="169" t="s">
        <v>408</v>
      </c>
      <c r="G11" s="289">
        <v>6</v>
      </c>
      <c r="H11" s="1257" t="s">
        <v>407</v>
      </c>
      <c r="I11" s="1257"/>
      <c r="J11" s="783"/>
      <c r="K11" s="169"/>
      <c r="L11" s="438"/>
      <c r="M11" s="79"/>
      <c r="N11" s="360"/>
      <c r="O11" s="275">
        <v>6</v>
      </c>
      <c r="P11" s="215"/>
      <c r="Q11" s="215"/>
      <c r="R11" s="215"/>
      <c r="S11" s="215"/>
      <c r="T11" s="215"/>
      <c r="U11" s="215"/>
      <c r="V11" s="215"/>
    </row>
    <row r="12" spans="1:22" ht="15.75">
      <c r="A12" s="380" t="s">
        <v>6</v>
      </c>
      <c r="B12" s="79"/>
      <c r="C12" s="79"/>
      <c r="D12" s="139">
        <v>11</v>
      </c>
      <c r="E12" s="79" t="s">
        <v>7</v>
      </c>
      <c r="F12" s="79"/>
      <c r="G12" s="79"/>
      <c r="H12" s="1173"/>
      <c r="I12" s="1173"/>
      <c r="J12" s="438"/>
      <c r="K12" s="171"/>
      <c r="L12" s="170"/>
      <c r="M12" s="169"/>
      <c r="N12" s="488"/>
      <c r="O12" s="275">
        <v>7</v>
      </c>
      <c r="P12" s="215"/>
      <c r="Q12" s="215"/>
      <c r="R12" s="215"/>
      <c r="S12" s="215"/>
      <c r="T12" s="215"/>
      <c r="U12" s="215"/>
      <c r="V12" s="215"/>
    </row>
    <row r="13" spans="1:22" s="81" customFormat="1" ht="15.75">
      <c r="A13" s="1177" t="s">
        <v>11</v>
      </c>
      <c r="B13" s="1178"/>
      <c r="C13" s="1178"/>
      <c r="D13" s="139">
        <v>92</v>
      </c>
      <c r="E13" s="79" t="s">
        <v>17</v>
      </c>
      <c r="F13" s="79"/>
      <c r="G13" s="79"/>
      <c r="H13" s="1173"/>
      <c r="I13" s="1173"/>
      <c r="J13" s="438"/>
      <c r="K13" s="171"/>
      <c r="L13" s="170"/>
      <c r="M13" s="79"/>
      <c r="N13" s="360"/>
      <c r="O13" s="275">
        <v>8</v>
      </c>
      <c r="P13" s="215"/>
      <c r="Q13" s="215"/>
      <c r="R13" s="215"/>
      <c r="S13" s="215"/>
      <c r="T13" s="215"/>
      <c r="U13" s="215"/>
      <c r="V13" s="215"/>
    </row>
    <row r="14" spans="1:22" ht="15.75">
      <c r="A14" s="1177" t="s">
        <v>13</v>
      </c>
      <c r="B14" s="1178"/>
      <c r="C14" s="1178"/>
      <c r="D14" s="613">
        <f>D12/(D13*D13)*10000</f>
        <v>12.996219281663517</v>
      </c>
      <c r="E14" s="364" t="s">
        <v>14</v>
      </c>
      <c r="F14" s="79"/>
      <c r="G14" s="79"/>
      <c r="H14" s="1173"/>
      <c r="I14" s="1173"/>
      <c r="J14" s="438"/>
      <c r="K14" s="171"/>
      <c r="L14" s="170"/>
      <c r="M14" s="79"/>
      <c r="N14" s="360"/>
      <c r="O14" s="275">
        <v>9</v>
      </c>
      <c r="P14" s="215"/>
      <c r="Q14" s="215"/>
      <c r="R14" s="215"/>
      <c r="S14" s="215"/>
      <c r="T14" s="215"/>
      <c r="U14" s="215"/>
      <c r="V14" s="215"/>
    </row>
    <row r="15" spans="1:22" s="80" customFormat="1" ht="15.75">
      <c r="A15" s="481" t="s">
        <v>419</v>
      </c>
      <c r="B15" s="254"/>
      <c r="C15" s="254"/>
      <c r="D15" s="482">
        <v>4</v>
      </c>
      <c r="E15" s="364" t="s">
        <v>407</v>
      </c>
      <c r="F15" s="79"/>
      <c r="G15" s="79"/>
      <c r="H15" s="438"/>
      <c r="I15" s="438"/>
      <c r="J15" s="438"/>
      <c r="K15" s="171"/>
      <c r="L15" s="79"/>
      <c r="M15" s="79"/>
      <c r="N15" s="360"/>
      <c r="O15" s="215"/>
      <c r="P15" s="215"/>
      <c r="Q15" s="215"/>
      <c r="R15" s="215"/>
      <c r="S15" s="215"/>
      <c r="T15" s="215"/>
      <c r="U15" s="215"/>
      <c r="V15" s="215"/>
    </row>
    <row r="16" spans="1:22" ht="15.75">
      <c r="A16" s="481" t="s">
        <v>420</v>
      </c>
      <c r="B16" s="254"/>
      <c r="C16" s="254"/>
      <c r="D16" s="482">
        <v>4</v>
      </c>
      <c r="E16" s="364" t="s">
        <v>407</v>
      </c>
      <c r="F16" s="79"/>
      <c r="G16" s="79"/>
      <c r="H16" s="438"/>
      <c r="I16" s="438"/>
      <c r="J16" s="438"/>
      <c r="K16" s="171"/>
      <c r="L16" s="79"/>
      <c r="M16" s="79"/>
      <c r="N16" s="360"/>
      <c r="O16" s="215" t="s">
        <v>424</v>
      </c>
      <c r="P16" s="215"/>
      <c r="Q16" s="215"/>
      <c r="R16" s="215"/>
      <c r="S16" s="215"/>
      <c r="T16" s="215"/>
      <c r="U16" s="215"/>
      <c r="V16" s="215"/>
    </row>
    <row r="17" spans="1:22">
      <c r="A17" s="483" t="s">
        <v>421</v>
      </c>
      <c r="B17" s="255"/>
      <c r="C17" s="255"/>
      <c r="D17" s="484">
        <v>3</v>
      </c>
      <c r="E17" s="364" t="s">
        <v>422</v>
      </c>
      <c r="F17" s="79"/>
      <c r="G17" s="79"/>
      <c r="H17" s="438"/>
      <c r="I17" s="438"/>
      <c r="J17" s="438"/>
      <c r="K17" s="169"/>
      <c r="L17" s="79"/>
      <c r="M17" s="79"/>
      <c r="N17" s="360"/>
      <c r="O17" s="215" t="s">
        <v>423</v>
      </c>
      <c r="P17" s="215"/>
      <c r="Q17" s="215"/>
      <c r="R17" s="215"/>
      <c r="S17" s="215"/>
      <c r="T17" s="215"/>
      <c r="U17" s="215"/>
      <c r="V17" s="215"/>
    </row>
    <row r="18" spans="1:22" ht="15.75" customHeight="1">
      <c r="A18" s="451" t="s">
        <v>323</v>
      </c>
      <c r="B18" s="452"/>
      <c r="C18" s="1178" t="s">
        <v>424</v>
      </c>
      <c r="D18" s="1178"/>
      <c r="E18" s="364"/>
      <c r="F18" s="79"/>
      <c r="G18" s="79"/>
      <c r="H18" s="438"/>
      <c r="I18" s="438"/>
      <c r="J18" s="438"/>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f>D11</f>
        <v>2</v>
      </c>
      <c r="C20" s="238" t="s">
        <v>5</v>
      </c>
      <c r="D20" s="239">
        <f>G11</f>
        <v>6</v>
      </c>
      <c r="E20" s="1246" t="s">
        <v>407</v>
      </c>
      <c r="F20" s="1247"/>
      <c r="G20" s="1244"/>
      <c r="H20" s="1245"/>
      <c r="I20" s="1245"/>
      <c r="J20" s="1245"/>
      <c r="K20" s="1245"/>
      <c r="L20" s="1245"/>
      <c r="M20" s="476"/>
      <c r="N20" s="489"/>
      <c r="O20" s="215"/>
      <c r="P20" s="215"/>
      <c r="Q20" s="215"/>
      <c r="R20" s="215"/>
      <c r="S20" s="215"/>
      <c r="T20" s="215"/>
      <c r="U20" s="215"/>
      <c r="V20" s="215"/>
    </row>
    <row r="21" spans="1:22">
      <c r="A21" s="238" t="s">
        <v>4</v>
      </c>
      <c r="B21" s="239">
        <f>(B20*12)+D20</f>
        <v>30</v>
      </c>
      <c r="C21" s="238" t="s">
        <v>407</v>
      </c>
      <c r="D21" s="476"/>
      <c r="E21" s="1248" t="s">
        <v>74</v>
      </c>
      <c r="F21" s="1248"/>
      <c r="G21" s="240">
        <f>D12</f>
        <v>11</v>
      </c>
      <c r="H21" s="238" t="s">
        <v>409</v>
      </c>
      <c r="I21" s="476"/>
      <c r="J21" s="246" t="s">
        <v>11</v>
      </c>
      <c r="K21" s="239">
        <f>D13</f>
        <v>92</v>
      </c>
      <c r="L21" s="238" t="s">
        <v>410</v>
      </c>
      <c r="M21" s="476"/>
      <c r="N21" s="489"/>
      <c r="O21" s="215"/>
      <c r="P21" s="215"/>
      <c r="Q21" s="215"/>
      <c r="R21" s="215"/>
      <c r="S21" s="215"/>
      <c r="T21" s="215"/>
      <c r="U21" s="215"/>
      <c r="V21" s="215"/>
    </row>
    <row r="22" spans="1:22">
      <c r="A22" s="485"/>
      <c r="B22" s="476"/>
      <c r="C22" s="476"/>
      <c r="D22" s="476"/>
      <c r="E22" s="476"/>
      <c r="F22" s="476"/>
      <c r="G22" s="476"/>
      <c r="H22" s="476"/>
      <c r="I22" s="476"/>
      <c r="J22" s="476"/>
      <c r="K22" s="476"/>
      <c r="L22" s="476"/>
      <c r="M22" s="476"/>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476"/>
      <c r="N23" s="489"/>
      <c r="O23" s="215"/>
      <c r="P23" s="215"/>
      <c r="Q23" s="215"/>
      <c r="R23" s="215"/>
      <c r="S23" s="215"/>
      <c r="T23" s="215"/>
      <c r="U23" s="215"/>
      <c r="V23" s="215"/>
    </row>
    <row r="24" spans="1:22">
      <c r="A24" s="485"/>
      <c r="B24" s="476"/>
      <c r="C24" s="476"/>
      <c r="D24" s="476"/>
      <c r="E24" s="476"/>
      <c r="F24" s="238" t="s">
        <v>411</v>
      </c>
      <c r="G24" s="476"/>
      <c r="H24" s="476"/>
      <c r="I24" s="476"/>
      <c r="J24" s="476"/>
      <c r="K24" s="476"/>
      <c r="L24" s="476"/>
      <c r="M24" s="476"/>
      <c r="N24" s="489"/>
      <c r="O24" s="215"/>
      <c r="P24" s="215"/>
      <c r="Q24" s="215"/>
      <c r="R24" s="215"/>
      <c r="S24" s="215"/>
      <c r="T24" s="215"/>
      <c r="U24" s="215"/>
      <c r="V24" s="215"/>
    </row>
    <row r="25" spans="1:22">
      <c r="A25" s="1238" t="s">
        <v>412</v>
      </c>
      <c r="B25" s="1239"/>
      <c r="C25" s="1239"/>
      <c r="D25" s="239">
        <v>2.4</v>
      </c>
      <c r="E25" s="475" t="s">
        <v>409</v>
      </c>
      <c r="F25" s="241">
        <f>(D25-3.2)*(100)/3.2</f>
        <v>-25.000000000000007</v>
      </c>
      <c r="G25" s="247">
        <f>3.2-D25</f>
        <v>0.80000000000000027</v>
      </c>
      <c r="H25" s="242" t="s">
        <v>402</v>
      </c>
      <c r="I25" s="476"/>
      <c r="J25" s="476"/>
      <c r="K25" s="476"/>
      <c r="L25" s="476"/>
      <c r="M25" s="476"/>
      <c r="N25" s="489"/>
      <c r="O25" s="215"/>
      <c r="P25" s="215"/>
      <c r="Q25" s="215"/>
      <c r="R25" s="215"/>
      <c r="S25" s="215"/>
      <c r="T25" s="215"/>
      <c r="U25" s="215"/>
      <c r="V25" s="215"/>
    </row>
    <row r="26" spans="1:22">
      <c r="A26" s="1238" t="s">
        <v>413</v>
      </c>
      <c r="B26" s="1239"/>
      <c r="C26" s="1239"/>
      <c r="D26" s="239">
        <v>50</v>
      </c>
      <c r="E26" s="475" t="s">
        <v>410</v>
      </c>
      <c r="F26" s="241">
        <f>(D26-49)*(100)/49</f>
        <v>2.0408163265306123</v>
      </c>
      <c r="G26" s="239"/>
      <c r="H26" s="242" t="s">
        <v>414</v>
      </c>
      <c r="I26" s="476"/>
      <c r="J26" s="476"/>
      <c r="K26" s="476"/>
      <c r="L26" s="476"/>
      <c r="M26" s="476"/>
      <c r="N26" s="489"/>
      <c r="O26" s="215"/>
      <c r="P26" s="215">
        <f>50-D26</f>
        <v>0</v>
      </c>
      <c r="Q26" s="215"/>
      <c r="R26" s="215"/>
      <c r="S26" s="215"/>
      <c r="T26" s="215"/>
      <c r="U26" s="215"/>
      <c r="V26" s="215"/>
    </row>
    <row r="27" spans="1:22">
      <c r="A27" s="1238" t="s">
        <v>415</v>
      </c>
      <c r="B27" s="1239"/>
      <c r="C27" s="1240"/>
      <c r="D27" s="531">
        <f>IF(B21=0,3.3,IF(B21=1,4.5,IF(B21=2,5.6,IF(B21=3,6.4,IF(B21=4,7,IF(B21=5,7.5,IF(B21=6,7.9,IF(B21=7,8.3,IF(B21=8,8.6,IF(B21=9,8.9,IF(B21=10,9.2,IF(B21=11,9.4,IF(B21=12,9.6,IF(B21=13,9.9,IF(B21=14,10.1,IF(B21=15,10.3,IF(B21=16,10.5,IF(B21=17,10.7,IF(B21=18,10.9,IF(B21=19,11.1,IF(B21=20,11.3,IF(B21=21,11.5,IF(B21=22,11.8,IF(B21=23,12,IF(B21=24,12.2,IF(B21=25,12.4,IF(B21=26,12.5,IF(B21=27,12.7,IF(B21=28,12.9,IF(B21=29,13.1,IF(B21=30,13.3,IF(B21=31,13.5,IF(B21=32,13.7,IF(B21=33,13.8,IF(B21=34,14,IF(B21=35,14.2,IF(B21=36,14.3)))))))))))))))))))))))))))))))))))))</f>
        <v>13.3</v>
      </c>
      <c r="E27" s="238" t="s">
        <v>409</v>
      </c>
      <c r="F27" s="241">
        <f>(G21-D27)*(100)/D27</f>
        <v>-17.29323308270677</v>
      </c>
      <c r="G27" s="250">
        <f>D27-G21</f>
        <v>2.3000000000000007</v>
      </c>
      <c r="H27" s="243" t="s">
        <v>402</v>
      </c>
      <c r="I27" s="476"/>
      <c r="J27" s="476"/>
      <c r="K27" s="476"/>
      <c r="L27" s="476"/>
      <c r="M27" s="476"/>
      <c r="N27" s="489"/>
      <c r="O27" s="215"/>
      <c r="P27" s="215"/>
      <c r="Q27" s="215"/>
      <c r="R27" s="215"/>
      <c r="S27" s="215"/>
      <c r="T27" s="215"/>
      <c r="U27" s="215"/>
      <c r="V27" s="215"/>
    </row>
    <row r="28" spans="1:22" ht="15.75">
      <c r="A28" s="1238" t="s">
        <v>416</v>
      </c>
      <c r="B28" s="1239"/>
      <c r="C28" s="1240"/>
      <c r="D28" s="782">
        <f>IF(B21=0,49.9,IF(B21=1,54.7,IF(B21=2,58.4,IF(B21=3,61.4,IF(B21=4,63.9,IF(B21=5,65.9,IF(B21=6,67.6,IF(B21=7,69.2,IF(B21=8,70.6,IF(B21=9,72,IF(B21=10,73.3,IF(B21=11,74.5,IF(B21=12,75.7,IF(B21=13,76.9,IF(B21=14,78,IF(B21=15,79.1,IF(B21=16,80.2,IF(B21=17,81.2,IF(B21=18,82.3,IF(B21=19,83.2,IF(B21=20,84.2,IF(B21=21,85.1,IF(B21=22,86,IF(B21=23,86.9,IF(B21=24,87.8,IF(B21=25,88,IF(B21=26,88.8,IF(B21=27,89.6,IF(B21=28,90.4,IF(B21=29,91.2,IF(B21=30,91.9,IF(B21=31,92.7,IF(B21=32,93.4,IF(B21=33,94.1,IF(B21=34,94.8,IF(B21=35,95.4,IF(B21=36,96.1)))))))))))))))))))))))))))))))))))))</f>
        <v>91.9</v>
      </c>
      <c r="E28" s="238" t="s">
        <v>410</v>
      </c>
      <c r="F28" s="241">
        <f>(K21-D28)*(100)/D28</f>
        <v>0.10881392818280121</v>
      </c>
      <c r="G28" s="239">
        <f>D28-K21</f>
        <v>-9.9999999999994316E-2</v>
      </c>
      <c r="H28" s="243" t="s">
        <v>414</v>
      </c>
      <c r="I28" s="476"/>
      <c r="J28" s="476"/>
      <c r="K28" s="476"/>
      <c r="L28" s="476"/>
      <c r="M28" s="476"/>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82.706766917293223</v>
      </c>
      <c r="I30" s="293" t="str">
        <f>IF(H30&gt;110,"EXCESO O SOBREPESO",IF(H30=109.9,"NORMAL",IF(H30&gt;=90,"NORMAL",IF(H30=88.9,"DESNUTRICION LEVE 1ER GRADO",IF(H30&gt;=80,"DESNUTRICION LEVE 1ER GRADO",IF(H30=79.9,"DESNUTRICION MODERADA 2DO GRADO",IF(H30&gt;=70,"DESNUTRICION MODERADA 2DO GRADO",IF(H30&lt;70,"DESNUTRICION SEVERA 3ER GRADO"))))))))</f>
        <v>DESNUTRICION LEVE 1ER GRADO</v>
      </c>
      <c r="J30" s="293"/>
      <c r="K30" s="293"/>
      <c r="L30" s="293"/>
      <c r="M30" s="293"/>
      <c r="N30" s="490"/>
      <c r="O30" s="215"/>
      <c r="P30" s="215"/>
      <c r="Q30" s="215"/>
      <c r="R30" s="215"/>
      <c r="S30" s="215"/>
      <c r="T30" s="215"/>
      <c r="U30" s="215"/>
      <c r="V30" s="215"/>
    </row>
    <row r="31" spans="1:22">
      <c r="A31" s="485" t="s">
        <v>436</v>
      </c>
      <c r="B31" s="476"/>
      <c r="C31" s="476"/>
      <c r="D31" s="251"/>
      <c r="E31" s="476"/>
      <c r="F31" s="252"/>
      <c r="G31" s="251"/>
      <c r="H31" s="253">
        <f>(G21/D27)*100</f>
        <v>82.706766917293223</v>
      </c>
      <c r="I31" s="476" t="str">
        <f>IF(H31&gt;=90,"NORMAL",IF(H31=89.9,"DESNUTRICION LEVE 1ER GRADO",IF(H31&gt;=75,"DESNUTRICION LEVE 1ER GRADO",IF(H31=74.9,"DESNUTRICION MODERADA 2DO GRADO",IF(H31&gt;=60,"DESNUTRICION MODERADA 2DO GRADO",IF(H31&lt;59.9,"DESNUTRICION SEVERA 3ER GRADO"))))))</f>
        <v>DESNUTRICION LEVE 1ER GRADO</v>
      </c>
      <c r="J31" s="476"/>
      <c r="K31" s="476"/>
      <c r="L31" s="476"/>
      <c r="M31" s="476"/>
      <c r="N31" s="489"/>
      <c r="O31" s="215"/>
      <c r="P31" s="215"/>
      <c r="Q31" s="215"/>
      <c r="R31" s="215"/>
      <c r="S31" s="215"/>
      <c r="T31" s="215"/>
      <c r="U31" s="215"/>
      <c r="V31" s="215"/>
    </row>
    <row r="32" spans="1:22">
      <c r="A32" s="485" t="s">
        <v>437</v>
      </c>
      <c r="B32" s="476"/>
      <c r="C32" s="476"/>
      <c r="D32" s="251"/>
      <c r="E32" s="476"/>
      <c r="F32" s="252"/>
      <c r="G32" s="251"/>
      <c r="H32" s="253">
        <f>(K21/D28)*100</f>
        <v>100.1088139281828</v>
      </c>
      <c r="I32" s="476" t="str">
        <f>IF(H32&gt;95,"NORMAL",IF(H32=94.9,"DESNUTRICION LEVE 1ER GRADO",IF(H32&gt;=90,"DESNUTRICION LEVE 1ER GRADO",IF(H32=89.9,"DESNUTRICION MODERADA 2DO GRADO",IF(H32&gt;=85,"DESNUTRICION MODERADA 2DO GRADO",IF(H32&lt;84.9,"DESNUTRICION SEVERA 3ER GRADO"))))))</f>
        <v>NORMAL</v>
      </c>
      <c r="J32" s="476"/>
      <c r="K32" s="476"/>
      <c r="L32" s="476"/>
      <c r="M32" s="476"/>
      <c r="N32" s="489"/>
      <c r="O32" s="215"/>
      <c r="P32" s="215"/>
      <c r="Q32" s="215"/>
      <c r="R32" s="215"/>
      <c r="S32" s="215"/>
      <c r="T32" s="215"/>
      <c r="U32" s="215"/>
      <c r="V32" s="215"/>
    </row>
    <row r="33" spans="1:32">
      <c r="A33" s="485"/>
      <c r="B33" s="476"/>
      <c r="C33" s="476"/>
      <c r="D33" s="251"/>
      <c r="E33" s="476"/>
      <c r="F33" s="252"/>
      <c r="G33" s="251"/>
      <c r="H33" s="253"/>
      <c r="I33" s="476"/>
      <c r="J33" s="476"/>
      <c r="K33" s="476"/>
      <c r="L33" s="476"/>
      <c r="M33" s="476"/>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441"/>
      <c r="D37" s="370" t="s">
        <v>349</v>
      </c>
      <c r="E37" s="370"/>
      <c r="F37" s="370"/>
      <c r="G37" s="441"/>
      <c r="H37" s="370" t="s">
        <v>354</v>
      </c>
      <c r="I37" s="370"/>
      <c r="J37" s="441"/>
      <c r="K37" s="370"/>
      <c r="L37" s="370" t="s">
        <v>358</v>
      </c>
      <c r="M37" s="370"/>
      <c r="N37" s="377"/>
      <c r="O37" s="215"/>
      <c r="P37" s="215"/>
      <c r="Q37" s="215"/>
      <c r="R37" s="215"/>
      <c r="S37" s="215"/>
      <c r="T37" s="215"/>
      <c r="U37" s="215"/>
      <c r="V37" s="215"/>
    </row>
    <row r="38" spans="1:32">
      <c r="A38" s="1074" t="s">
        <v>345</v>
      </c>
      <c r="B38" s="1075"/>
      <c r="C38" s="441"/>
      <c r="D38" s="370" t="s">
        <v>350</v>
      </c>
      <c r="E38" s="370"/>
      <c r="F38" s="370"/>
      <c r="G38" s="441"/>
      <c r="H38" s="370" t="s">
        <v>355</v>
      </c>
      <c r="I38" s="370"/>
      <c r="J38" s="441"/>
      <c r="K38" s="370"/>
      <c r="L38" s="370" t="s">
        <v>359</v>
      </c>
      <c r="M38" s="370"/>
      <c r="N38" s="377"/>
      <c r="O38" s="215"/>
      <c r="P38" s="215"/>
      <c r="Q38" s="215"/>
      <c r="R38" s="215"/>
      <c r="S38" s="215"/>
      <c r="T38" s="215"/>
      <c r="U38" s="215"/>
      <c r="V38" s="215"/>
    </row>
    <row r="39" spans="1:32">
      <c r="A39" s="1074" t="s">
        <v>346</v>
      </c>
      <c r="B39" s="1075"/>
      <c r="C39" s="441" t="s">
        <v>405</v>
      </c>
      <c r="D39" s="370" t="s">
        <v>351</v>
      </c>
      <c r="E39" s="370"/>
      <c r="F39" s="370"/>
      <c r="G39" s="441"/>
      <c r="H39" s="370" t="s">
        <v>356</v>
      </c>
      <c r="I39" s="370"/>
      <c r="J39" s="441"/>
      <c r="K39" s="370"/>
      <c r="L39" s="1076" t="s">
        <v>360</v>
      </c>
      <c r="M39" s="1076"/>
      <c r="N39" s="377"/>
      <c r="O39" s="215"/>
      <c r="P39" s="215"/>
      <c r="Q39" s="215"/>
      <c r="R39" s="215"/>
      <c r="S39" s="215"/>
      <c r="T39" s="215"/>
      <c r="U39" s="215"/>
      <c r="V39" s="215"/>
      <c r="W39" s="80"/>
      <c r="X39" s="80"/>
      <c r="Y39" s="80"/>
      <c r="Z39" s="80"/>
      <c r="AA39" s="80"/>
      <c r="AB39" s="80"/>
      <c r="AC39" s="80"/>
      <c r="AD39" s="80"/>
      <c r="AE39" s="80"/>
      <c r="AF39" s="80"/>
    </row>
    <row r="40" spans="1:32">
      <c r="A40" s="1074" t="s">
        <v>347</v>
      </c>
      <c r="B40" s="1075"/>
      <c r="C40" s="441"/>
      <c r="D40" s="370" t="s">
        <v>352</v>
      </c>
      <c r="E40" s="370"/>
      <c r="F40" s="370"/>
      <c r="G40" s="441"/>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446"/>
      <c r="B41" s="445"/>
      <c r="C41" s="441"/>
      <c r="D41" s="370"/>
      <c r="E41" s="370"/>
      <c r="F41" s="370"/>
      <c r="G41" s="441"/>
      <c r="H41" s="370"/>
      <c r="I41" s="370"/>
      <c r="J41" s="370"/>
      <c r="K41" s="370"/>
      <c r="L41" s="445"/>
      <c r="M41" s="445"/>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440</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233"/>
      <c r="B50" s="233"/>
      <c r="C50" s="233"/>
      <c r="D50" s="3"/>
      <c r="O50" s="215"/>
      <c r="P50" s="215"/>
      <c r="Q50" s="215"/>
      <c r="R50" s="215"/>
      <c r="S50" s="215"/>
      <c r="T50" s="215"/>
      <c r="U50" s="215"/>
      <c r="V50" s="215"/>
      <c r="W50" s="80"/>
      <c r="X50" s="80"/>
      <c r="Y50" s="80"/>
      <c r="Z50" s="80"/>
      <c r="AA50" s="80"/>
      <c r="AB50" s="80"/>
      <c r="AC50" s="80"/>
      <c r="AD50" s="80"/>
      <c r="AE50" s="80"/>
      <c r="AF50" s="80"/>
    </row>
    <row r="51" spans="1:32" s="62" customFormat="1" ht="15.75">
      <c r="A51" s="233"/>
      <c r="B51" s="233"/>
      <c r="C51" s="233"/>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233"/>
      <c r="B52" s="233"/>
      <c r="C52" s="233"/>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231" t="s">
        <v>211</v>
      </c>
      <c r="D53" s="231"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E59" s="942">
        <v>42191</v>
      </c>
      <c r="G59" s="942">
        <v>42192</v>
      </c>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12.3</v>
      </c>
      <c r="F60" s="1" t="str">
        <f>IF(E60=0,"ND",IF(E60&lt;12,"BAJO",IF(E60=11.9,"BAJO",IF(E60=12,"NORMAL",IF(E60&lt;=16,"NORMAL",IF(E60&gt;=16.1,"ALTO"))))))</f>
        <v>NORMAL</v>
      </c>
      <c r="G60" s="141">
        <v>11.6</v>
      </c>
      <c r="H60" s="1" t="str">
        <f>IF(G60=0,"ND",IF(G60&lt;12,"BAJO",IF(G60=11.9,"BAJO",IF(G60=12,"NORMAL",IF(G60&lt;=16,"NORMAL",IF(G60&gt;=16.1,"ALTO"))))))</f>
        <v>BAJO</v>
      </c>
      <c r="I60" s="141"/>
      <c r="J60" s="1" t="str">
        <f>IF(I60=0,"ND",IF(I60&lt;12,"BAJO",IF(I60=11.9,"BAJO",IF(I60=12,"NORMAL",IF(I60&lt;=16,"NORMAL",IF(I60&gt;=16.1,"ALTO"))))))</f>
        <v>ND</v>
      </c>
      <c r="K60" s="141"/>
      <c r="L60" s="1" t="str">
        <f>IF(K60=0,"ND",IF(K60&lt;12,"BAJO",IF(K60=11.9,"BAJO",IF(K60=12,"NORMAL",IF(K60&lt;=16,"NORMAL",IF(K60&gt;=16.1,"ALTO"))))))</f>
        <v>ND</v>
      </c>
      <c r="M60" s="141"/>
      <c r="N60" s="1" t="str">
        <f>IF(M60=0,"ND",IF(M60&lt;12,"BAJO",IF(M60=11.9,"BAJO",IF(M60=12,"NORMAL",IF(M60&lt;=16,"NORMAL",IF(M60&gt;=16.1,"ALTO"))))))</f>
        <v>ND</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36.5</v>
      </c>
      <c r="F62" s="1" t="str">
        <f>IF(E62=0,"ND",IF(E62&lt;36,"BAJO",IF(E62=35.9,"BAJO",IF(E62=36,"NORMAL",IF(E62&lt;=47,"NORMAL",IF(E62&gt;=47.1,"ALTO"))))))</f>
        <v>NORMAL</v>
      </c>
      <c r="G62" s="141">
        <v>34.700000000000003</v>
      </c>
      <c r="H62" s="1" t="str">
        <f>IF(G62=0,"ND",IF(G62&lt;36,"BAJO",IF(G62=35.9,"BAJO",IF(G62=36,"NORMAL",IF(G62&lt;=47,"NORMAL",IF(G62&gt;=47.1,"ALTO"))))))</f>
        <v>BAJO</v>
      </c>
      <c r="I62" s="141"/>
      <c r="J62" s="1" t="str">
        <f>IF(I62=0,"ND",IF(I62&lt;36,"BAJO",IF(I62=35.9,"BAJO",IF(I62=36,"NORMAL",IF(I62&lt;=47,"NORMAL",IF(I62&gt;=47.1,"ALTO"))))))</f>
        <v>ND</v>
      </c>
      <c r="K62" s="141"/>
      <c r="L62" s="1" t="str">
        <f>IF(K62=0,"ND",IF(K62&lt;36,"BAJO",IF(K62=35.9,"BAJO",IF(K62=36,"NORMAL",IF(K62&lt;=47,"NORMAL",IF(K62&gt;=47.1,"ALTO"))))))</f>
        <v>ND</v>
      </c>
      <c r="M62" s="141"/>
      <c r="N62" s="1" t="str">
        <f>IF(M62=0,"ND",IF(M62&lt;36,"BAJO",IF(M62=35.9,"BAJO",IF(M62=36,"NORMAL",IF(M62&lt;=47,"NORMAL",IF(M62&gt;=47.1,"ALTO"))))))</f>
        <v>ND</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943">
        <v>13900</v>
      </c>
      <c r="F64" s="1" t="str">
        <f>IF(E64=0,"ND",IF(E64&lt;4000,"BAJO",IF(E64=4000,"NORMAL",IF(E64&lt;=11000,"NORMAL",IF(E64&gt;=11001,"ALTO")))))</f>
        <v>ALTO</v>
      </c>
      <c r="G64" s="944">
        <v>18200</v>
      </c>
      <c r="H64" s="1" t="str">
        <f>IF(G64=0,"ND",IF(G64&lt;4000,"BAJO",IF(G64=4000,"NORMAL",IF(G64&lt;=11000,"NORMAL",IF(G64&gt;=11001,"ALTO")))))</f>
        <v>ALTO</v>
      </c>
      <c r="I64" s="143"/>
      <c r="J64" s="1" t="str">
        <f>IF(I64=0,"ND",IF(I64&lt;4000,"BAJO",IF(I64=4000,"NORMAL",IF(I64&lt;=11000,"NORMAL",IF(I64&gt;=11001,"ALTO")))))</f>
        <v>ND</v>
      </c>
      <c r="K64" s="143"/>
      <c r="L64" s="1" t="str">
        <f>IF(K64=0,"ND",IF(K64&lt;4000,"BAJO",IF(K64=4000,"NORMAL",IF(K64&lt;=11000,"NORMAL",IF(K64&gt;=11001,"ALTO")))))</f>
        <v>ND</v>
      </c>
      <c r="M64" s="143"/>
      <c r="N64" s="1" t="str">
        <f>IF(M64=0,"ND",IF(M64&lt;4000,"BAJO",IF(M64=4000,"NORMAL",IF(M64&lt;=11000,"NORMAL",IF(M64&gt;=11001,"ALTO")))))</f>
        <v>ND</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0</v>
      </c>
      <c r="F67" s="1" t="str">
        <f>IF(E67=0,"ND",IF(E67&lt;65,"BAJO",IF(E67=64.9,"BAJO",IF(E67=65,"NORMAL",IF(E67&lt;=110,"NORMAL",IF(E67&gt;=110.1,"ALTO"))))))</f>
        <v>ND</v>
      </c>
      <c r="G67" s="144"/>
      <c r="H67" s="1" t="str">
        <f>IF(G67=0,"ND",IF(G67&lt;65,"BAJO",IF(G67=64.9,"BAJO",IF(G67=65,"NORMAL",IF(G67&lt;=110,"NORMAL",IF(G67&gt;=110.1,"ALTO"))))))</f>
        <v>ND</v>
      </c>
      <c r="I67" s="144"/>
      <c r="J67" s="1" t="str">
        <f>IF(I67=0,"ND",IF(I67&lt;65,"BAJO",IF(I67=64.9,"BAJO",IF(I67=65,"NORMAL",IF(I67&lt;=110,"NORMAL",IF(I67&gt;=110.1,"ALTO"))))))</f>
        <v>ND</v>
      </c>
      <c r="K67" s="144"/>
      <c r="L67" s="1" t="str">
        <f>IF(K67=0,"ND",IF(K67&lt;65,"BAJO",IF(K67=64.9,"BAJO",IF(K67=65,"NORMAL",IF(K67&lt;=110,"NORMAL",IF(K67&gt;=110.1,"ALTO"))))))</f>
        <v>ND</v>
      </c>
      <c r="M67" s="144"/>
      <c r="N67" s="1" t="str">
        <f>IF(M67=0,"ND",IF(M67&lt;65,"BAJO",IF(M67=64.9,"BAJO",IF(M67=65,"NORMAL",IF(M67&lt;=110,"NORMAL",IF(M67&gt;=110.1,"ALTO"))))))</f>
        <v>ND</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IF(E69=0,"ND",IF(E69&lt;14,"BAJO",IF(E69=13.9,"BAJO",IF(E69=14,"NORMAL",IF(E69&lt;=44,"NORMAL",IF(E69&gt;=44.1,"ALTO"))))))</f>
        <v>ND</v>
      </c>
      <c r="G69" s="145"/>
      <c r="H69" s="1" t="str">
        <f>IF(G69=0,"ND",IF(G69&lt;14,"BAJO",IF(G69=13.9,"BAJO",IF(G69=14,"NORMAL",IF(G69&lt;=44,"NORMAL",IF(G69&gt;=44.1,"ALTO"))))))</f>
        <v>ND</v>
      </c>
      <c r="I69" s="145"/>
      <c r="J69" s="1" t="str">
        <f>IF(I69=0,"ND",IF(I69&lt;14,"BAJO",IF(I69=13.9,"BAJO",IF(I69=14,"NORMAL",IF(I69&lt;=44,"NORMAL",IF(I69&gt;=44.1,"ALTO"))))))</f>
        <v>ND</v>
      </c>
      <c r="K69" s="145"/>
      <c r="L69" s="1" t="str">
        <f>IF(K69=0,"ND",IF(K69&lt;14,"BAJO",IF(K69=13.9,"BAJO",IF(K69=14,"NORMAL",IF(K69&lt;=44,"NORMAL",IF(K69&gt;=44.1,"ALTO"))))))</f>
        <v>ND</v>
      </c>
      <c r="M69" s="145"/>
      <c r="N69" s="1" t="str">
        <f>IF(M69=0,"ND",IF(M69&lt;14,"BAJO",IF(M69=13.9,"BAJO",IF(M69=14,"NORMAL",IF(M69&lt;=44,"NORMAL",IF(M69&gt;=44.1,"ALTO"))))))</f>
        <v>ND</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IF(E71=0,"ND",IF(E71&lt;3.4,"BAJO",IF(E71&lt;=3.39,"BAJO",IF(E71=3.4,"NORMAL",IF(E71&lt;=7,"NORMAL",IF(E71&gt;=7.1,"ALTO"))))))</f>
        <v>ND</v>
      </c>
      <c r="G71" s="145"/>
      <c r="H71" s="1" t="str">
        <f>IF(G71=0,"ND",IF(G71&lt;3.4,"BAJO",IF(G71&lt;=3.39,"BAJO",IF(G71=3.4,"NORMAL",IF(G71&lt;=7,"NORMAL",IF(G71&gt;=7.1,"ALTO"))))))</f>
        <v>ND</v>
      </c>
      <c r="I71" s="145"/>
      <c r="J71" s="1" t="str">
        <f>IF(I71=0,"ND",IF(I71&lt;3.4,"BAJO",IF(I71&lt;=3.39,"BAJO",IF(I71=3.4,"NORMAL",IF(I71&lt;=7,"NORMAL",IF(I71&gt;=7.1,"ALTO"))))))</f>
        <v>ND</v>
      </c>
      <c r="K71" s="145"/>
      <c r="L71" s="1" t="str">
        <f>IF(K71=0,"ND",IF(K71&lt;3.4,"BAJO",IF(K71&lt;=3.39,"BAJO",IF(K71=3.4,"NORMAL",IF(K71&lt;=7,"NORMAL",IF(K71&gt;=7.1,"ALTO"))))))</f>
        <v>ND</v>
      </c>
      <c r="M71" s="145"/>
      <c r="N71" s="1" t="str">
        <f>IF(M71=0,"ND",IF(M71&lt;3.4,"BAJO",IF(M71&lt;=3.39,"BAJO",IF(M71=3.4,"NORMAL",IF(M71&lt;=7,"NORMAL",IF(M71&gt;=7.1,"ALTO"))))))</f>
        <v>ND</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IF(E73=0,"ND",IF(E73&lt;0.5,"BAJO",IF(E73=0.49,"BAJO",IF(E73=0.5,"NORMAL",IF(E73&lt;=1.6,"NORMAL",IF(E73&gt;=1.61,"ALTO"))))))</f>
        <v>ND</v>
      </c>
      <c r="G73" s="143"/>
      <c r="H73" s="1" t="str">
        <f>IF(G73=0,"ND",IF(G73&lt;0.5,"BAJO",IF(G73=0.49,"BAJO",IF(G73=0.5,"NORMAL",IF(G73&lt;=1.6,"NORMAL",IF(G73&gt;=1.61,"ALTO"))))))</f>
        <v>ND</v>
      </c>
      <c r="I73" s="143"/>
      <c r="J73" s="1" t="str">
        <f>IF(I73=0,"ND",IF(I73&lt;0.5,"BAJO",IF(I73=0.49,"BAJO",IF(I73=0.5,"NORMAL",IF(I73&lt;=1.6,"NORMAL",IF(I73&gt;=1.61,"ALTO"))))))</f>
        <v>ND</v>
      </c>
      <c r="K73" s="143"/>
      <c r="L73" s="1" t="str">
        <f>IF(K73=0,"ND",IF(K73&lt;0.5,"BAJO",IF(K73=0.49,"BAJO",IF(K73=0.5,"NORMAL",IF(K73&lt;=1.6,"NORMAL",IF(K73&gt;=1.61,"ALTO"))))))</f>
        <v>ND</v>
      </c>
      <c r="M73" s="143"/>
      <c r="N73" s="1" t="str">
        <f>IF(M73=0,"ND",IF(M73&lt;0.5,"BAJO",IF(M73=0.49,"BAJO",IF(M73=0.5,"NORMAL",IF(M73&lt;=1.6,"NORMAL",IF(M73&gt;=1.61,"ALTO"))))))</f>
        <v>ND</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231" t="s">
        <v>30</v>
      </c>
      <c r="B76" s="231"/>
      <c r="C76" s="56" t="s">
        <v>224</v>
      </c>
      <c r="D76" s="57" t="s">
        <v>219</v>
      </c>
      <c r="E76" s="144">
        <v>0</v>
      </c>
      <c r="F76" s="1" t="str">
        <f>IF(E76=0,"ND",IF(E76&lt;6.4,"BAJO",IF(E76=6.39,"BAJO",IF(E76=6.4,"NORMAL",IF(E76&lt;=8.3,"NORMAL",IF(E76&gt;=8.31,"ALTO"))))))</f>
        <v>ND</v>
      </c>
      <c r="G76" s="144"/>
      <c r="H76" s="1" t="str">
        <f>IF(G76=0,"ND",IF(G76&lt;6.4,"BAJO",IF(G76=6.39,"BAJO",IF(G76=6.4,"NORMAL",IF(G76&lt;=8.3,"NORMAL",IF(G76&gt;=8.31,"ALTO"))))))</f>
        <v>ND</v>
      </c>
      <c r="I76" s="144"/>
      <c r="J76" s="1" t="str">
        <f>IF(I76=0,"ND",IF(I76&lt;6.4,"BAJO",IF(I76=6.39,"BAJO",IF(I76=6.4,"NORMAL",IF(I76&lt;=8.3,"NORMAL",IF(I76&gt;=8.31,"ALTO"))))))</f>
        <v>ND</v>
      </c>
      <c r="K76" s="144"/>
      <c r="L76" s="1" t="str">
        <f>IF(K76=0,"ND",IF(K76&lt;6.4,"BAJO",IF(K76=6.39,"BAJO",IF(K76=6.4,"NORMAL",IF(K76&lt;=8.3,"NORMAL",IF(K76&gt;=8.31,"ALTO"))))))</f>
        <v>ND</v>
      </c>
      <c r="M76" s="144"/>
      <c r="N76" s="1" t="str">
        <f>IF(M76=0,"ND",IF(M76&lt;6.4,"BAJO",IF(M76=6.39,"BAJO",IF(M76=6.4,"NORMAL",IF(M76&lt;=8.3,"NORMAL",IF(M76&gt;=8.31,"ALTO"))))))</f>
        <v>ND</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v>0</v>
      </c>
      <c r="F78" s="1" t="str">
        <f>IF(E78=0,"ND",IF(E78&lt;3.4,"BAJO",IF(E78=3.39,"BAJO",IF(E78=3.4,"NORMAL",IF(E78&lt;=5,"NORMAL",IF(E78&gt;=5.01,"ALTO"))))))</f>
        <v>ND</v>
      </c>
      <c r="G78" s="143"/>
      <c r="H78" s="1" t="str">
        <f>IF(G78=0,"ND",IF(G78&lt;3.4,"BAJO",IF(G78=3.39,"BAJO",IF(G78=3.4,"NORMAL",IF(G78&lt;=5,"NORMAL",IF(G78&gt;=5.01,"ALTO"))))))</f>
        <v>ND</v>
      </c>
      <c r="I78" s="143"/>
      <c r="J78" s="1" t="str">
        <f>IF(I78=0,"ND",IF(I78&lt;3.4,"BAJO",IF(I78=3.39,"BAJO",IF(I78=3.4,"NORMAL",IF(I78&lt;=5,"NORMAL",IF(I78&gt;=5.01,"ALTO"))))))</f>
        <v>ND</v>
      </c>
      <c r="K78" s="143"/>
      <c r="L78" s="1" t="str">
        <f>IF(K78=0,"ND",IF(K78&lt;3.4,"BAJO",IF(K78=3.39,"BAJO",IF(K78=3.4,"NORMAL",IF(K78&lt;=5,"NORMAL",IF(K78&gt;=5.01,"ALTO"))))))</f>
        <v>ND</v>
      </c>
      <c r="M78" s="143"/>
      <c r="N78" s="1" t="str">
        <f>IF(M78=0,"ND",IF(M78&lt;3.4,"BAJO",IF(M78=3.39,"BAJO",IF(M78=3.4,"NORMAL",IF(M78&lt;=5,"NORMAL",IF(M78&gt;=5.01,"ALTO"))))))</f>
        <v>ND</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227" t="s">
        <v>33</v>
      </c>
      <c r="B81" s="227"/>
      <c r="C81" s="46" t="s">
        <v>232</v>
      </c>
      <c r="D81" s="42" t="s">
        <v>221</v>
      </c>
      <c r="E81" s="141">
        <v>0</v>
      </c>
      <c r="F81" s="1" t="str">
        <f>IF(E81=0,"ND",IF(E81&lt;140,"BAJO",IF(E81=139.9,"BAJO",IF(E81=140,"NORMAL",IF(E81&lt;=200,"NORMAL",IF(E81&gt;=200.1,"ALTO"))))))</f>
        <v>ND</v>
      </c>
      <c r="G81" s="141"/>
      <c r="H81" s="1" t="str">
        <f>IF(G81=0,"ND",IF(G81&lt;140,"BAJO",IF(G81=139.9,"BAJO",IF(G81=140,"NORMAL",IF(G81&lt;=200,"NORMAL",IF(G81&gt;=200.1,"ALTO"))))))</f>
        <v>ND</v>
      </c>
      <c r="I81" s="141"/>
      <c r="J81" s="1" t="str">
        <f>IF(I81=0,"ND",IF(I81&lt;140,"BAJO",IF(I81=139.9,"BAJO",IF(I81=140,"NORMAL",IF(I81&lt;=200,"NORMAL",IF(I81&gt;=200.1,"ALTO"))))))</f>
        <v>ND</v>
      </c>
      <c r="K81" s="141"/>
      <c r="L81" s="1" t="str">
        <f>IF(K81=0,"ND",IF(K81&lt;140,"BAJO",IF(K81=139.9,"BAJO",IF(K81=140,"NORMAL",IF(K81&lt;=200,"NORMAL",IF(K81&gt;=200.1,"ALTO"))))))</f>
        <v>ND</v>
      </c>
      <c r="M81" s="141"/>
      <c r="N81" s="1" t="str">
        <f>IF(M81=0,"ND",IF(M81&lt;140,"BAJO",IF(M81=139.9,"BAJO",IF(M81=140,"NORMAL",IF(M81&lt;=200,"NORMAL",IF(M81&gt;=200.1,"ALTO"))))))</f>
        <v>ND</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IF(E83=0,"ND",IF(E83&lt;40,"BAJO",IF(E83=39.9,"BAJO",IF(E83=40,"NORMAL",IF(E83&lt;=160,"NORMAL",IF(E83&gt;=160.1,"ALTO"))))))</f>
        <v>ND</v>
      </c>
      <c r="G83" s="141"/>
      <c r="H83" s="1" t="str">
        <f>IF(G83=0,"ND",IF(G83&lt;40,"BAJO",IF(G83=39.9,"BAJO",IF(G83=40,"NORMAL",IF(G83&lt;=160,"NORMAL",IF(G83&gt;=160.1,"ALTO"))))))</f>
        <v>ND</v>
      </c>
      <c r="I83" s="141"/>
      <c r="J83" s="1" t="str">
        <f>IF(I83=0,"ND",IF(I83&lt;40,"BAJO",IF(I83=39.9,"BAJO",IF(I83=40,"NORMAL",IF(I83&lt;=160,"NORMAL",IF(I83&gt;=160.1,"ALTO"))))))</f>
        <v>ND</v>
      </c>
      <c r="K83" s="141"/>
      <c r="L83" s="1" t="str">
        <f>IF(K83=0,"ND",IF(K83&lt;40,"BAJO",IF(K83=39.9,"BAJO",IF(K83=40,"NORMAL",IF(K83&lt;=160,"NORMAL",IF(K83&gt;=160.1,"ALTO"))))))</f>
        <v>ND</v>
      </c>
      <c r="M83" s="141"/>
      <c r="N83" s="1" t="str">
        <f>IF(M83=0,"ND",IF(M83&lt;40,"BAJO",IF(M83=39.9,"BAJO",IF(M83=40,"NORMAL",IF(M83&lt;=160,"NORMAL",IF(M83&gt;=160.1,"ALTO"))))))</f>
        <v>ND</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232"/>
      <c r="B86" s="232"/>
      <c r="C86" s="232"/>
      <c r="D86" s="4"/>
      <c r="E86" s="45"/>
      <c r="O86" s="215"/>
      <c r="P86" s="215"/>
      <c r="Q86" s="215"/>
      <c r="R86" s="215"/>
      <c r="S86" s="215"/>
      <c r="T86" s="215"/>
      <c r="U86" s="215"/>
      <c r="V86" s="215"/>
      <c r="W86" s="80"/>
      <c r="X86" s="80"/>
      <c r="Y86" s="80"/>
      <c r="Z86" s="80"/>
      <c r="AA86" s="80"/>
      <c r="AB86" s="80"/>
      <c r="AC86" s="80"/>
      <c r="AD86" s="80"/>
      <c r="AE86" s="80"/>
      <c r="AF86" s="80"/>
    </row>
    <row r="87" spans="1:32">
      <c r="A87" s="232"/>
      <c r="B87" s="232"/>
      <c r="C87" s="232"/>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IF(E88=0,"ND",IF(E88&lt;9,"BAJO",IF(E88=8.9,"BAJO",IF(E88=9,"NORMAL",IF(E88&lt;=20,"NORMAL",IF(E88&gt;=20.1,"ALTO"))))))</f>
        <v>ND</v>
      </c>
      <c r="G88" s="141"/>
      <c r="H88" s="1" t="str">
        <f>IF(G88=0,"ND",IF(G88&lt;9,"BAJO",IF(G88=8.9,"BAJO",IF(G88=9,"NORMAL",IF(G88&lt;=20,"NORMAL",IF(G88&gt;=20.1,"ALTO"))))))</f>
        <v>ND</v>
      </c>
      <c r="I88" s="141"/>
      <c r="J88" s="1" t="str">
        <f>IF(I88=0,"ND",IF(I88&lt;9,"BAJO",IF(I88=8.9,"BAJO",IF(I88=9,"NORMAL",IF(I88&lt;=20,"NORMAL",IF(I88&gt;=20.1,"ALTO"))))))</f>
        <v>ND</v>
      </c>
      <c r="K88" s="141"/>
      <c r="L88" s="1" t="str">
        <f>IF(K88=0,"ND",IF(K88&lt;9,"BAJO",IF(K88=8.9,"BAJO",IF(K88=9,"NORMAL",IF(K88&lt;=20,"NORMAL",IF(K88&gt;=20.1,"ALTO"))))))</f>
        <v>ND</v>
      </c>
      <c r="M88" s="141"/>
      <c r="N88" s="1" t="str">
        <f>IF(M88=0,"ND",IF(M88&lt;9,"BAJO",IF(M88=8.9,"BAJO",IF(M88=9,"NORMAL",IF(M88&lt;=20,"NORMAL",IF(M88&gt;=20.1,"ALTO"))))))</f>
        <v>ND</v>
      </c>
      <c r="O88" s="215"/>
      <c r="P88" s="215"/>
      <c r="Q88" s="215"/>
      <c r="R88" s="215"/>
      <c r="S88" s="215"/>
      <c r="T88" s="215"/>
      <c r="U88" s="215"/>
      <c r="V88" s="215"/>
      <c r="W88" s="80"/>
      <c r="X88" s="80"/>
      <c r="Y88" s="80"/>
      <c r="Z88" s="80"/>
      <c r="AA88" s="80"/>
      <c r="AB88" s="80"/>
      <c r="AC88" s="80"/>
      <c r="AD88" s="80"/>
      <c r="AE88" s="80"/>
      <c r="AF88" s="80"/>
    </row>
    <row r="89" spans="1:32">
      <c r="A89" s="227"/>
      <c r="B89" s="227"/>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227"/>
      <c r="B90" s="227"/>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227"/>
      <c r="B91" s="227"/>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227"/>
      <c r="B92" s="227"/>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0</v>
      </c>
      <c r="C96" s="50">
        <f>B96*12</f>
        <v>0</v>
      </c>
      <c r="D96" s="51">
        <f>B96*9</f>
        <v>0</v>
      </c>
      <c r="E96" s="52">
        <f>B96*5</f>
        <v>0</v>
      </c>
      <c r="F96" s="9">
        <f t="shared" ref="F96:F103" si="0">(C96*4)+(D96*4)+(E96*9)</f>
        <v>0</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0</v>
      </c>
      <c r="C97" s="6">
        <v>0</v>
      </c>
      <c r="D97" s="7">
        <f>B97*7</f>
        <v>0</v>
      </c>
      <c r="E97" s="8">
        <f>B97*4</f>
        <v>0</v>
      </c>
      <c r="F97" s="9">
        <f t="shared" si="0"/>
        <v>0</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0</v>
      </c>
      <c r="C98" s="6">
        <f>B98*15</f>
        <v>0</v>
      </c>
      <c r="D98" s="7">
        <f>B98*0</f>
        <v>0</v>
      </c>
      <c r="E98" s="8">
        <f>B98*0</f>
        <v>0</v>
      </c>
      <c r="F98" s="9">
        <f t="shared" si="0"/>
        <v>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0</v>
      </c>
      <c r="C99" s="6">
        <f>B99*4</f>
        <v>0</v>
      </c>
      <c r="D99" s="7">
        <f>B99*2</f>
        <v>0</v>
      </c>
      <c r="E99" s="8"/>
      <c r="F99" s="9">
        <f t="shared" si="0"/>
        <v>0</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0</v>
      </c>
      <c r="C100" s="6">
        <f>B100*15</f>
        <v>0</v>
      </c>
      <c r="D100" s="7">
        <f>B100*2</f>
        <v>0</v>
      </c>
      <c r="E100" s="8">
        <f>B100*0</f>
        <v>0</v>
      </c>
      <c r="F100" s="9">
        <f t="shared" si="0"/>
        <v>0</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0</v>
      </c>
      <c r="C102" s="6">
        <f>B102*0</f>
        <v>0</v>
      </c>
      <c r="D102" s="7">
        <f>B102*0</f>
        <v>0</v>
      </c>
      <c r="E102" s="8">
        <f>B102*5</f>
        <v>0</v>
      </c>
      <c r="F102" s="9">
        <f t="shared" si="0"/>
        <v>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0</v>
      </c>
      <c r="C103" s="6">
        <f>B103*10</f>
        <v>0</v>
      </c>
      <c r="D103" s="7">
        <f>B103*0</f>
        <v>0</v>
      </c>
      <c r="E103" s="10">
        <f>B103*0</f>
        <v>0</v>
      </c>
      <c r="F103" s="11">
        <f t="shared" si="0"/>
        <v>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0</v>
      </c>
      <c r="D104" s="7">
        <f>SUM(D96:D103)</f>
        <v>0</v>
      </c>
      <c r="E104" s="10">
        <f>SUM(E96:E103)</f>
        <v>0</v>
      </c>
      <c r="F104" s="11">
        <f>SUM(F96:F103)</f>
        <v>0</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t="e">
        <f>(D106*100)/F104</f>
        <v>#DIV/0!</v>
      </c>
      <c r="C106" s="1">
        <f>C104</f>
        <v>0</v>
      </c>
      <c r="D106" s="1130">
        <f>C106*4</f>
        <v>0</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t="e">
        <f>(D107*100)/F104</f>
        <v>#DIV/0!</v>
      </c>
      <c r="C107" s="1">
        <f>D104</f>
        <v>0</v>
      </c>
      <c r="D107" s="1130">
        <f>C107*4</f>
        <v>0</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t="e">
        <f>(D108*100)/F104</f>
        <v>#DIV/0!</v>
      </c>
      <c r="C108" s="1">
        <f>E104</f>
        <v>0</v>
      </c>
      <c r="D108" s="1130">
        <f>C108*9</f>
        <v>0</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0</v>
      </c>
      <c r="C112" s="6">
        <v>0</v>
      </c>
      <c r="D112" s="7">
        <f>B112*7</f>
        <v>0</v>
      </c>
      <c r="E112" s="8">
        <f>B112*4</f>
        <v>0</v>
      </c>
      <c r="F112" s="9">
        <f t="shared" si="1"/>
        <v>0</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0</v>
      </c>
      <c r="C113" s="6">
        <f>B113*15</f>
        <v>0</v>
      </c>
      <c r="D113" s="7">
        <f>B113*0</f>
        <v>0</v>
      </c>
      <c r="E113" s="8">
        <f>B113*0</f>
        <v>0</v>
      </c>
      <c r="F113" s="9">
        <f t="shared" si="1"/>
        <v>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0</v>
      </c>
      <c r="C114" s="6">
        <f>B114*4</f>
        <v>0</v>
      </c>
      <c r="D114" s="7">
        <f>B114*2</f>
        <v>0</v>
      </c>
      <c r="E114" s="8"/>
      <c r="F114" s="9">
        <f t="shared" si="1"/>
        <v>0</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0</v>
      </c>
      <c r="C115" s="6">
        <f>B115*15</f>
        <v>0</v>
      </c>
      <c r="D115" s="7">
        <f>B115*2</f>
        <v>0</v>
      </c>
      <c r="E115" s="8">
        <f>B115*0</f>
        <v>0</v>
      </c>
      <c r="F115" s="9">
        <f t="shared" si="1"/>
        <v>0</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0</v>
      </c>
      <c r="C116" s="6">
        <f>B116*20</f>
        <v>0</v>
      </c>
      <c r="D116" s="7">
        <f>B116*8</f>
        <v>0</v>
      </c>
      <c r="E116" s="8">
        <f>B116*1</f>
        <v>0</v>
      </c>
      <c r="F116" s="9">
        <f t="shared" si="1"/>
        <v>0</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0</v>
      </c>
      <c r="C117" s="6">
        <f>B117*0</f>
        <v>0</v>
      </c>
      <c r="D117" s="7">
        <f>B117*0</f>
        <v>0</v>
      </c>
      <c r="E117" s="8">
        <f>B117*5</f>
        <v>0</v>
      </c>
      <c r="F117" s="9">
        <f t="shared" si="1"/>
        <v>0</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0</v>
      </c>
      <c r="C118" s="6">
        <f>B118*10</f>
        <v>0</v>
      </c>
      <c r="D118" s="7">
        <f>B118*0</f>
        <v>0</v>
      </c>
      <c r="E118" s="10">
        <f>B118*0</f>
        <v>0</v>
      </c>
      <c r="F118" s="11">
        <f t="shared" si="1"/>
        <v>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0</v>
      </c>
      <c r="D119" s="7">
        <f>SUM(D111:D118)</f>
        <v>0</v>
      </c>
      <c r="E119" s="10">
        <f>SUM(E111:E118)</f>
        <v>0</v>
      </c>
      <c r="F119" s="11">
        <f>SUM(F111:F118)</f>
        <v>0</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t="e">
        <f>(D121*100)/F119</f>
        <v>#DIV/0!</v>
      </c>
      <c r="C121" s="1">
        <f>C119</f>
        <v>0</v>
      </c>
      <c r="D121" s="1130">
        <f>C121*4</f>
        <v>0</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t="e">
        <f>(D122*100)/F119</f>
        <v>#DIV/0!</v>
      </c>
      <c r="C122" s="1">
        <f>D119</f>
        <v>0</v>
      </c>
      <c r="D122" s="1130">
        <f>C122*4</f>
        <v>0</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t="e">
        <f>(D123*100)/F119</f>
        <v>#DIV/0!</v>
      </c>
      <c r="C123" s="1">
        <f>E119</f>
        <v>0</v>
      </c>
      <c r="D123" s="1130">
        <f>C123*9</f>
        <v>0</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0</v>
      </c>
      <c r="C126" s="50">
        <f>B126*12</f>
        <v>0</v>
      </c>
      <c r="D126" s="51">
        <f>B126*9</f>
        <v>0</v>
      </c>
      <c r="E126" s="52">
        <f>B126*5</f>
        <v>0</v>
      </c>
      <c r="F126" s="9">
        <f t="shared" ref="F126:F133" si="2">(C126*4)+(D126*4)+(E126*9)</f>
        <v>0</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0</v>
      </c>
      <c r="C127" s="6">
        <v>0</v>
      </c>
      <c r="D127" s="7">
        <f>B127*7</f>
        <v>0</v>
      </c>
      <c r="E127" s="8">
        <f>B127*4</f>
        <v>0</v>
      </c>
      <c r="F127" s="9">
        <f t="shared" si="2"/>
        <v>0</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0</v>
      </c>
      <c r="C128" s="6">
        <f>B128*15</f>
        <v>0</v>
      </c>
      <c r="D128" s="7">
        <f>B128*0</f>
        <v>0</v>
      </c>
      <c r="E128" s="8">
        <f>B128*0</f>
        <v>0</v>
      </c>
      <c r="F128" s="9">
        <f t="shared" si="2"/>
        <v>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0</v>
      </c>
      <c r="C129" s="6">
        <f>B129*4</f>
        <v>0</v>
      </c>
      <c r="D129" s="7">
        <f>B129*2</f>
        <v>0</v>
      </c>
      <c r="E129" s="8"/>
      <c r="F129" s="9">
        <f t="shared" si="2"/>
        <v>0</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0</v>
      </c>
      <c r="C130" s="6">
        <f>B130*15</f>
        <v>0</v>
      </c>
      <c r="D130" s="7">
        <f>B130*2</f>
        <v>0</v>
      </c>
      <c r="E130" s="8">
        <f>B130*0</f>
        <v>0</v>
      </c>
      <c r="F130" s="9">
        <f t="shared" si="2"/>
        <v>0</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0</v>
      </c>
      <c r="C132" s="6">
        <f>B132*0</f>
        <v>0</v>
      </c>
      <c r="D132" s="7">
        <f>B132*0</f>
        <v>0</v>
      </c>
      <c r="E132" s="8">
        <f>B132*5</f>
        <v>0</v>
      </c>
      <c r="F132" s="9">
        <f t="shared" si="2"/>
        <v>0</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0</v>
      </c>
      <c r="C133" s="6">
        <f>B133*10</f>
        <v>0</v>
      </c>
      <c r="D133" s="7">
        <f>B133*0</f>
        <v>0</v>
      </c>
      <c r="E133" s="10">
        <f>B133*0</f>
        <v>0</v>
      </c>
      <c r="F133" s="11">
        <f t="shared" si="2"/>
        <v>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0</v>
      </c>
      <c r="D134" s="7">
        <f>SUM(D126:D133)</f>
        <v>0</v>
      </c>
      <c r="E134" s="10">
        <f>SUM(E126:E133)</f>
        <v>0</v>
      </c>
      <c r="F134" s="11">
        <f>SUM(F126:F133)</f>
        <v>0</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t="e">
        <f>(D136*100)/F134</f>
        <v>#DIV/0!</v>
      </c>
      <c r="C136" s="1">
        <f>C134</f>
        <v>0</v>
      </c>
      <c r="D136" s="1130">
        <f>C136*4</f>
        <v>0</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t="e">
        <f>(D137*100)/F134</f>
        <v>#DIV/0!</v>
      </c>
      <c r="C137" s="1">
        <f>D134</f>
        <v>0</v>
      </c>
      <c r="D137" s="1130">
        <f>C137*4</f>
        <v>0</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t="e">
        <f>(D138*100)/F134</f>
        <v>#DIV/0!</v>
      </c>
      <c r="C138" s="1">
        <f>E134</f>
        <v>0</v>
      </c>
      <c r="D138" s="1130">
        <f>C138*9</f>
        <v>0</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0</v>
      </c>
      <c r="C142" s="50">
        <f>B142*12</f>
        <v>0</v>
      </c>
      <c r="D142" s="51">
        <f>B142*9</f>
        <v>0</v>
      </c>
      <c r="E142" s="52">
        <f>B142*5</f>
        <v>0</v>
      </c>
      <c r="F142" s="9">
        <f t="shared" ref="F142:F149" si="4">(C142*4)+(D142*4)+(E142*9)</f>
        <v>0</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0</v>
      </c>
      <c r="C143" s="6">
        <v>0</v>
      </c>
      <c r="D143" s="7">
        <f>B143*7</f>
        <v>0</v>
      </c>
      <c r="E143" s="8">
        <f>B143*4</f>
        <v>0</v>
      </c>
      <c r="F143" s="9">
        <f t="shared" si="4"/>
        <v>0</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0</v>
      </c>
      <c r="C144" s="6">
        <f>B144*15</f>
        <v>0</v>
      </c>
      <c r="D144" s="7">
        <f>B144*0</f>
        <v>0</v>
      </c>
      <c r="E144" s="8">
        <f>B144*0</f>
        <v>0</v>
      </c>
      <c r="F144" s="9">
        <f t="shared" si="4"/>
        <v>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0</v>
      </c>
      <c r="C145" s="6">
        <f>B145*4</f>
        <v>0</v>
      </c>
      <c r="D145" s="7">
        <f>B145*2</f>
        <v>0</v>
      </c>
      <c r="E145" s="8"/>
      <c r="F145" s="9">
        <f t="shared" si="4"/>
        <v>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0</v>
      </c>
      <c r="C146" s="6">
        <f>B146*15</f>
        <v>0</v>
      </c>
      <c r="D146" s="7">
        <f>B146*2</f>
        <v>0</v>
      </c>
      <c r="E146" s="8">
        <f>B146*0</f>
        <v>0</v>
      </c>
      <c r="F146" s="9">
        <f t="shared" si="4"/>
        <v>0</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0</v>
      </c>
      <c r="C147" s="6">
        <f>B147*20</f>
        <v>0</v>
      </c>
      <c r="D147" s="7">
        <f>B147*8</f>
        <v>0</v>
      </c>
      <c r="E147" s="8">
        <f>B147*1</f>
        <v>0</v>
      </c>
      <c r="F147" s="9">
        <f t="shared" si="4"/>
        <v>0</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0</v>
      </c>
      <c r="C148" s="6">
        <f>B148*0</f>
        <v>0</v>
      </c>
      <c r="D148" s="7">
        <f>B148*0</f>
        <v>0</v>
      </c>
      <c r="E148" s="8">
        <f>B148*5</f>
        <v>0</v>
      </c>
      <c r="F148" s="9">
        <f t="shared" si="4"/>
        <v>0</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0</v>
      </c>
      <c r="C149" s="6">
        <f>B149*10</f>
        <v>0</v>
      </c>
      <c r="D149" s="7">
        <f>B149*0</f>
        <v>0</v>
      </c>
      <c r="E149" s="10">
        <f>B149*0</f>
        <v>0</v>
      </c>
      <c r="F149" s="11">
        <f t="shared" si="4"/>
        <v>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0</v>
      </c>
      <c r="D150" s="7">
        <f>SUM(D142:D149)</f>
        <v>0</v>
      </c>
      <c r="E150" s="10">
        <f>SUM(E142:E149)</f>
        <v>0</v>
      </c>
      <c r="F150" s="11">
        <f>SUM(F142:F149)</f>
        <v>0</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0</v>
      </c>
      <c r="D152" s="74">
        <f>C152*4</f>
        <v>0</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0</v>
      </c>
      <c r="D153" s="74">
        <f>C153*4</f>
        <v>0</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0</v>
      </c>
      <c r="D154" s="74">
        <f>C154*9</f>
        <v>0</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0</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IF(B21&lt;=73,"95"*D27,IF(B21&lt;=96,"90"*D27,IF(B21&lt;=120,"78"*D27,IF(B21&lt;=144,2200))))</f>
        <v>1263.5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694.92500000000007</v>
      </c>
      <c r="F159" s="257">
        <f>E159/4</f>
        <v>173.73125000000002</v>
      </c>
      <c r="G159" s="258">
        <f>(E159*100)/E158</f>
        <v>55</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53.2</v>
      </c>
      <c r="F160" s="257">
        <f>IF(J11&lt;=144,"1.0"*D27)</f>
        <v>13.3</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515.37499999999989</v>
      </c>
      <c r="F161" s="258">
        <f>E161/9</f>
        <v>57.263888888888879</v>
      </c>
      <c r="G161" s="258">
        <f>(E161*100)/E158</f>
        <v>40.789473684210513</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1520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0</v>
      </c>
      <c r="C166" s="22">
        <f>B166*12</f>
        <v>0</v>
      </c>
      <c r="D166" s="27">
        <f>B166*9</f>
        <v>0</v>
      </c>
      <c r="E166" s="23">
        <f>B166*5</f>
        <v>0</v>
      </c>
      <c r="F166" s="150">
        <f t="shared" ref="F166:F173" si="5">(C166*4)+(D166*4)+(E166*9)</f>
        <v>0</v>
      </c>
      <c r="G166" s="24">
        <f t="shared" ref="G166:G173" si="6">B166</f>
        <v>0</v>
      </c>
      <c r="H166" s="148">
        <v>0</v>
      </c>
      <c r="I166" s="148">
        <v>0</v>
      </c>
      <c r="J166" s="148">
        <v>0</v>
      </c>
      <c r="K166" s="148">
        <v>0</v>
      </c>
      <c r="L166" s="149">
        <v>0</v>
      </c>
      <c r="M166" s="4">
        <f t="shared" ref="M166:M175" si="7">SUM(H166:L166)</f>
        <v>0</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0</v>
      </c>
      <c r="C167" s="22">
        <v>0</v>
      </c>
      <c r="D167" s="27">
        <f>B167*7</f>
        <v>0</v>
      </c>
      <c r="E167" s="23">
        <f>B167*4</f>
        <v>0</v>
      </c>
      <c r="F167" s="150">
        <f t="shared" si="5"/>
        <v>0</v>
      </c>
      <c r="G167" s="24">
        <f t="shared" si="6"/>
        <v>0</v>
      </c>
      <c r="H167" s="148">
        <v>0</v>
      </c>
      <c r="I167" s="148">
        <v>0</v>
      </c>
      <c r="J167" s="148">
        <v>0</v>
      </c>
      <c r="K167" s="148">
        <v>0</v>
      </c>
      <c r="L167" s="148">
        <v>0</v>
      </c>
      <c r="M167" s="4">
        <f t="shared" si="7"/>
        <v>0</v>
      </c>
      <c r="N167" s="40" t="str">
        <f t="shared" si="8"/>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0</v>
      </c>
      <c r="C168" s="22">
        <f>B168*15</f>
        <v>0</v>
      </c>
      <c r="D168" s="27">
        <f>B168*0</f>
        <v>0</v>
      </c>
      <c r="E168" s="23">
        <f>B168*0</f>
        <v>0</v>
      </c>
      <c r="F168" s="150">
        <f t="shared" si="5"/>
        <v>0</v>
      </c>
      <c r="G168" s="24">
        <f t="shared" si="6"/>
        <v>0</v>
      </c>
      <c r="H168" s="148">
        <v>0</v>
      </c>
      <c r="I168" s="148">
        <v>0</v>
      </c>
      <c r="J168" s="148">
        <v>0</v>
      </c>
      <c r="K168" s="148">
        <v>0</v>
      </c>
      <c r="L168" s="148">
        <v>0</v>
      </c>
      <c r="M168" s="4">
        <f t="shared" si="7"/>
        <v>0</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0</v>
      </c>
      <c r="C169" s="22">
        <f>B169*4</f>
        <v>0</v>
      </c>
      <c r="D169" s="27">
        <f>B169*2</f>
        <v>0</v>
      </c>
      <c r="E169" s="23"/>
      <c r="F169" s="150">
        <f t="shared" si="5"/>
        <v>0</v>
      </c>
      <c r="G169" s="24">
        <f t="shared" si="6"/>
        <v>0</v>
      </c>
      <c r="H169" s="148">
        <v>0</v>
      </c>
      <c r="I169" s="148">
        <v>0</v>
      </c>
      <c r="J169" s="148">
        <v>0</v>
      </c>
      <c r="K169" s="148">
        <v>0</v>
      </c>
      <c r="L169" s="148">
        <v>0</v>
      </c>
      <c r="M169" s="4">
        <f t="shared" si="7"/>
        <v>0</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0</v>
      </c>
      <c r="C170" s="22">
        <f>B170*15</f>
        <v>0</v>
      </c>
      <c r="D170" s="27">
        <f>B170*2</f>
        <v>0</v>
      </c>
      <c r="E170" s="23">
        <f>B170*0</f>
        <v>0</v>
      </c>
      <c r="F170" s="150">
        <f t="shared" si="5"/>
        <v>0</v>
      </c>
      <c r="G170" s="24">
        <f t="shared" si="6"/>
        <v>0</v>
      </c>
      <c r="H170" s="148">
        <v>0</v>
      </c>
      <c r="I170" s="148">
        <v>0</v>
      </c>
      <c r="J170" s="148">
        <v>0</v>
      </c>
      <c r="K170" s="148">
        <v>0</v>
      </c>
      <c r="L170" s="148">
        <v>0</v>
      </c>
      <c r="M170" s="4">
        <f t="shared" si="7"/>
        <v>0</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0</v>
      </c>
      <c r="C171" s="22">
        <f>B171*20</f>
        <v>0</v>
      </c>
      <c r="D171" s="27">
        <f>B171*8</f>
        <v>0</v>
      </c>
      <c r="E171" s="23">
        <f>B171*1</f>
        <v>0</v>
      </c>
      <c r="F171" s="150">
        <f t="shared" si="5"/>
        <v>0</v>
      </c>
      <c r="G171" s="24">
        <f t="shared" si="6"/>
        <v>0</v>
      </c>
      <c r="H171" s="148">
        <v>0</v>
      </c>
      <c r="I171" s="148">
        <v>0</v>
      </c>
      <c r="J171" s="148">
        <v>0</v>
      </c>
      <c r="K171" s="148">
        <v>0</v>
      </c>
      <c r="L171" s="148">
        <v>0</v>
      </c>
      <c r="M171" s="4">
        <f t="shared" si="7"/>
        <v>0</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0</v>
      </c>
      <c r="C172" s="22">
        <f>B172*0</f>
        <v>0</v>
      </c>
      <c r="D172" s="27">
        <f>B172*0</f>
        <v>0</v>
      </c>
      <c r="E172" s="23">
        <f>B172*5</f>
        <v>0</v>
      </c>
      <c r="F172" s="150">
        <f t="shared" si="5"/>
        <v>0</v>
      </c>
      <c r="G172" s="24">
        <f t="shared" si="6"/>
        <v>0</v>
      </c>
      <c r="H172" s="148">
        <v>0</v>
      </c>
      <c r="I172" s="148">
        <v>0</v>
      </c>
      <c r="J172" s="148">
        <v>0</v>
      </c>
      <c r="K172" s="148">
        <v>0</v>
      </c>
      <c r="L172" s="148">
        <v>0</v>
      </c>
      <c r="M172" s="4">
        <f t="shared" si="7"/>
        <v>0</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0</v>
      </c>
      <c r="C173" s="22">
        <f>B173*10</f>
        <v>0</v>
      </c>
      <c r="D173" s="27">
        <f>B173*0</f>
        <v>0</v>
      </c>
      <c r="E173" s="23">
        <f>B173*0</f>
        <v>0</v>
      </c>
      <c r="F173" s="152">
        <f t="shared" si="5"/>
        <v>0</v>
      </c>
      <c r="G173" s="24">
        <f t="shared" si="6"/>
        <v>0</v>
      </c>
      <c r="H173" s="148">
        <v>0</v>
      </c>
      <c r="I173" s="148">
        <v>0</v>
      </c>
      <c r="J173" s="148">
        <v>0</v>
      </c>
      <c r="K173" s="148">
        <v>0</v>
      </c>
      <c r="L173" s="148">
        <v>0</v>
      </c>
      <c r="M173" s="4">
        <f t="shared" si="7"/>
        <v>0</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0</v>
      </c>
      <c r="D174" s="154">
        <f>SUM(D166:D173)</f>
        <v>0</v>
      </c>
      <c r="E174" s="155">
        <f>SUM(E166:E173)</f>
        <v>0</v>
      </c>
      <c r="F174" s="151">
        <f>SUM(F166:F173)</f>
        <v>0</v>
      </c>
      <c r="G174" s="4"/>
      <c r="H174" s="4">
        <f>($H$166*129)+($H$167*64)+($H$168*60)+($H$169*24)+($H$170*68)+($H$171*121)+($H$172*45)+($H$173*40)</f>
        <v>0</v>
      </c>
      <c r="I174" s="4">
        <f>(I166*129)+(I167*64)+(I168*60)+(I169*24)+(I170*68)+(I171*121)+(I172*45)+(I173*40)</f>
        <v>0</v>
      </c>
      <c r="J174" s="4">
        <f>(J166*129)+(J167*64)+(J168*60)+(J169*24)+(J170*68)+(J171*121)+(J172*45)+(J173*40)</f>
        <v>0</v>
      </c>
      <c r="K174" s="4">
        <f>(K166*129)+(K167*64)+(K168*60)+(K169*24)+(K170*68)+(K171*121)+(K172*45)+(K173*40)</f>
        <v>0</v>
      </c>
      <c r="L174" s="4">
        <f>(L166*129)+(L167*64)+(L168*60)+(L169*24)+(L170*68)+(L171*121)+(L172*45)+(L173*40)</f>
        <v>0</v>
      </c>
      <c r="M174" s="24">
        <f t="shared" si="7"/>
        <v>0</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t="e">
        <f>(H174*100)/F174</f>
        <v>#DIV/0!</v>
      </c>
      <c r="I175" s="4" t="e">
        <f>(I174*100)/F174</f>
        <v>#DIV/0!</v>
      </c>
      <c r="J175" s="4" t="e">
        <f>(J174*100)/F174</f>
        <v>#DIV/0!</v>
      </c>
      <c r="K175" s="4" t="e">
        <f>(K174*100)/F174</f>
        <v>#DIV/0!</v>
      </c>
      <c r="L175" s="4" t="e">
        <f>(L174*100)/F174</f>
        <v>#DIV/0!</v>
      </c>
      <c r="M175" s="24" t="e">
        <f t="shared" si="7"/>
        <v>#DIV/0!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t="e">
        <f>(C177*100)/F174</f>
        <v>#DIV/0!</v>
      </c>
      <c r="C177" s="19">
        <f>D177*4</f>
        <v>0</v>
      </c>
      <c r="D177" s="156">
        <f>C174</f>
        <v>0</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t="e">
        <f>(C178*100)/F174</f>
        <v>#DIV/0!</v>
      </c>
      <c r="C178" s="19">
        <f>D178*4</f>
        <v>0</v>
      </c>
      <c r="D178" s="156">
        <f>D174</f>
        <v>0</v>
      </c>
      <c r="E178" s="28" t="s">
        <v>68</v>
      </c>
      <c r="F178" s="28">
        <f>D166+D167</f>
        <v>0</v>
      </c>
      <c r="G178" s="237" t="s">
        <v>69</v>
      </c>
      <c r="H178" s="29" t="e">
        <f>(F178*100)/D174</f>
        <v>#DIV/0!</v>
      </c>
      <c r="I178" s="11" t="s">
        <v>52</v>
      </c>
      <c r="J178" s="138" t="s">
        <v>70</v>
      </c>
      <c r="K178" s="29">
        <f>D169+D170+D171</f>
        <v>0</v>
      </c>
      <c r="L178" s="11" t="s">
        <v>69</v>
      </c>
      <c r="M178" s="30" t="e">
        <f>(K178*100)/D174</f>
        <v>#DIV/0!</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t="e">
        <f>(C179*100)/F174</f>
        <v>#DIV/0!</v>
      </c>
      <c r="C179" s="19">
        <f>D179*9</f>
        <v>0</v>
      </c>
      <c r="D179" s="156">
        <f>E174</f>
        <v>0</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0</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520"/>
      <c r="B182" s="521"/>
      <c r="C182" s="521"/>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t="str">
        <f>B4</f>
        <v>LUIS ALEJANDRO JUAREZ</v>
      </c>
      <c r="C186" s="1088"/>
      <c r="D186" s="1088"/>
      <c r="E186" s="1088"/>
      <c r="F186" s="1088"/>
      <c r="G186" s="1088"/>
      <c r="H186" s="173" t="s">
        <v>4</v>
      </c>
      <c r="I186" s="174">
        <f>D11</f>
        <v>2</v>
      </c>
      <c r="J186" s="175" t="s">
        <v>72</v>
      </c>
      <c r="K186" s="176"/>
      <c r="L186" s="177" t="s">
        <v>291</v>
      </c>
      <c r="M186" s="1223" t="str">
        <f>M4</f>
        <v>4808 89 0625 3M12 ORD</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42192</v>
      </c>
      <c r="C187" s="1090"/>
      <c r="D187" s="225"/>
      <c r="E187" s="225" t="s">
        <v>4</v>
      </c>
      <c r="F187" s="178">
        <f>D11</f>
        <v>2</v>
      </c>
      <c r="G187" s="225" t="s">
        <v>72</v>
      </c>
      <c r="H187" s="179"/>
      <c r="I187" s="180" t="s">
        <v>73</v>
      </c>
      <c r="J187" s="175" t="s">
        <v>208</v>
      </c>
      <c r="K187" s="1229" t="s">
        <v>74</v>
      </c>
      <c r="L187" s="1229"/>
      <c r="M187" s="181">
        <f>D12</f>
        <v>11</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92</v>
      </c>
      <c r="D188" s="175" t="s">
        <v>432</v>
      </c>
      <c r="E188" s="1111" t="s">
        <v>433</v>
      </c>
      <c r="F188" s="1111"/>
      <c r="G188" s="180">
        <f>D27</f>
        <v>13.3</v>
      </c>
      <c r="H188" s="175" t="s">
        <v>75</v>
      </c>
      <c r="I188" s="1111" t="s">
        <v>13</v>
      </c>
      <c r="J188" s="1111"/>
      <c r="K188" s="183">
        <f>D14</f>
        <v>12.996219281663517</v>
      </c>
      <c r="L188" s="249" t="s">
        <v>434</v>
      </c>
      <c r="M188" s="249"/>
      <c r="N188" s="271">
        <f>D28</f>
        <v>91.9</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t="s">
        <v>636</v>
      </c>
      <c r="D189" s="1114"/>
      <c r="E189" s="1114"/>
      <c r="F189" s="1114"/>
      <c r="G189" s="1114"/>
      <c r="H189" s="1114"/>
      <c r="I189" s="1115" t="s">
        <v>79</v>
      </c>
      <c r="J189" s="1115"/>
      <c r="K189" s="1115"/>
      <c r="L189" s="180">
        <f>M174</f>
        <v>0</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0</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0</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0</v>
      </c>
      <c r="D193" s="186" t="s">
        <v>59</v>
      </c>
      <c r="E193" s="185">
        <f t="shared" si="10"/>
        <v>0</v>
      </c>
      <c r="F193" s="187" t="s">
        <v>59</v>
      </c>
      <c r="G193" s="185">
        <f t="shared" si="11"/>
        <v>0</v>
      </c>
      <c r="H193" s="187" t="s">
        <v>59</v>
      </c>
      <c r="I193" s="185">
        <f t="shared" si="12"/>
        <v>0</v>
      </c>
      <c r="J193" s="1107" t="s">
        <v>59</v>
      </c>
      <c r="K193" s="1107"/>
      <c r="L193" s="185">
        <f t="shared" si="13"/>
        <v>0</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0</v>
      </c>
      <c r="D194" s="186" t="s">
        <v>59</v>
      </c>
      <c r="E194" s="185">
        <f t="shared" si="10"/>
        <v>0</v>
      </c>
      <c r="F194" s="187" t="s">
        <v>59</v>
      </c>
      <c r="G194" s="185">
        <f t="shared" si="11"/>
        <v>0</v>
      </c>
      <c r="H194" s="187" t="s">
        <v>59</v>
      </c>
      <c r="I194" s="185">
        <f t="shared" si="12"/>
        <v>0</v>
      </c>
      <c r="J194" s="1107" t="s">
        <v>59</v>
      </c>
      <c r="K194" s="1107"/>
      <c r="L194" s="185">
        <f t="shared" si="13"/>
        <v>0</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230" t="s">
        <v>90</v>
      </c>
      <c r="B195" s="230"/>
      <c r="C195" s="185">
        <f t="shared" si="9"/>
        <v>0</v>
      </c>
      <c r="D195" s="186" t="s">
        <v>59</v>
      </c>
      <c r="E195" s="185">
        <f t="shared" si="10"/>
        <v>0</v>
      </c>
      <c r="F195" s="187" t="s">
        <v>59</v>
      </c>
      <c r="G195" s="185">
        <f t="shared" si="11"/>
        <v>0</v>
      </c>
      <c r="H195" s="187" t="s">
        <v>59</v>
      </c>
      <c r="I195" s="185">
        <f t="shared" si="12"/>
        <v>0</v>
      </c>
      <c r="J195" s="1107" t="s">
        <v>59</v>
      </c>
      <c r="K195" s="1107"/>
      <c r="L195" s="185">
        <f t="shared" si="13"/>
        <v>0</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0</v>
      </c>
      <c r="D196" s="186" t="s">
        <v>59</v>
      </c>
      <c r="E196" s="185">
        <f t="shared" si="10"/>
        <v>0</v>
      </c>
      <c r="F196" s="187" t="s">
        <v>59</v>
      </c>
      <c r="G196" s="185">
        <f t="shared" si="11"/>
        <v>0</v>
      </c>
      <c r="H196" s="187" t="s">
        <v>59</v>
      </c>
      <c r="I196" s="185"/>
      <c r="J196" s="1107" t="s">
        <v>59</v>
      </c>
      <c r="K196" s="1107"/>
      <c r="L196" s="185">
        <f t="shared" si="13"/>
        <v>0</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0</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0</v>
      </c>
      <c r="D198" s="186" t="s">
        <v>59</v>
      </c>
      <c r="E198" s="188">
        <f t="shared" si="10"/>
        <v>0</v>
      </c>
      <c r="F198" s="189" t="s">
        <v>59</v>
      </c>
      <c r="G198" s="185">
        <f t="shared" si="11"/>
        <v>0</v>
      </c>
      <c r="H198" s="187" t="s">
        <v>59</v>
      </c>
      <c r="I198" s="185">
        <f t="shared" si="12"/>
        <v>0</v>
      </c>
      <c r="J198" s="1107" t="s">
        <v>59</v>
      </c>
      <c r="K198" s="1107"/>
      <c r="L198" s="185">
        <f t="shared" si="13"/>
        <v>0</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0</v>
      </c>
      <c r="D199" s="191" t="s">
        <v>59</v>
      </c>
      <c r="E199" s="185">
        <f t="shared" si="10"/>
        <v>0</v>
      </c>
      <c r="F199" s="187" t="s">
        <v>59</v>
      </c>
      <c r="G199" s="190">
        <f t="shared" si="11"/>
        <v>0</v>
      </c>
      <c r="H199" s="192" t="s">
        <v>59</v>
      </c>
      <c r="I199" s="190">
        <f t="shared" si="12"/>
        <v>0</v>
      </c>
      <c r="J199" s="1106" t="s">
        <v>59</v>
      </c>
      <c r="K199" s="1106"/>
      <c r="L199" s="190">
        <f t="shared" si="13"/>
        <v>0</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222"/>
      <c r="I201" s="1215" t="s">
        <v>254</v>
      </c>
      <c r="J201" s="1215"/>
      <c r="K201" s="222"/>
      <c r="L201" s="175"/>
      <c r="M201" s="224"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226"/>
      <c r="I202" s="226" t="s">
        <v>256</v>
      </c>
      <c r="J202" s="226"/>
      <c r="K202" s="226"/>
      <c r="L202" s="175"/>
      <c r="M202" s="224"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226" t="s">
        <v>242</v>
      </c>
      <c r="F203" s="175"/>
      <c r="G203" s="222"/>
      <c r="H203" s="226"/>
      <c r="I203" s="226" t="s">
        <v>258</v>
      </c>
      <c r="J203" s="226"/>
      <c r="K203" s="226"/>
      <c r="L203" s="222"/>
      <c r="M203" s="224"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222"/>
      <c r="H204" s="226"/>
      <c r="I204" s="226" t="s">
        <v>260</v>
      </c>
      <c r="J204" s="226"/>
      <c r="K204" s="226"/>
      <c r="L204" s="222"/>
      <c r="M204" s="224"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226"/>
      <c r="I205" s="226" t="s">
        <v>261</v>
      </c>
      <c r="J205" s="226"/>
      <c r="K205" s="226"/>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222"/>
      <c r="H206" s="226"/>
      <c r="I206" s="226" t="s">
        <v>262</v>
      </c>
      <c r="J206" s="226"/>
      <c r="K206" s="226"/>
      <c r="L206" s="222"/>
      <c r="M206" s="224" t="s">
        <v>263</v>
      </c>
      <c r="N206" s="235"/>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224"/>
      <c r="G207" s="222"/>
      <c r="H207" s="226"/>
      <c r="I207" s="226" t="s">
        <v>264</v>
      </c>
      <c r="J207" s="226"/>
      <c r="K207" s="226"/>
      <c r="L207" s="222"/>
      <c r="M207" s="224"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224"/>
      <c r="G208" s="222"/>
      <c r="H208" s="226"/>
      <c r="I208" s="226" t="s">
        <v>265</v>
      </c>
      <c r="J208" s="226"/>
      <c r="K208" s="226"/>
      <c r="L208" s="222"/>
      <c r="M208" s="224"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224"/>
      <c r="G209" s="175"/>
      <c r="H209" s="226"/>
      <c r="I209" s="226" t="s">
        <v>266</v>
      </c>
      <c r="J209" s="226"/>
      <c r="K209" s="226"/>
      <c r="L209" s="175"/>
      <c r="M209" s="224"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224"/>
      <c r="G210" s="175"/>
      <c r="H210" s="226"/>
      <c r="I210" s="226" t="s">
        <v>267</v>
      </c>
      <c r="J210" s="226"/>
      <c r="K210" s="226"/>
      <c r="L210" s="175"/>
      <c r="M210" s="224"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224"/>
      <c r="G211" s="175"/>
      <c r="H211" s="226"/>
      <c r="I211" s="226" t="s">
        <v>269</v>
      </c>
      <c r="J211" s="226"/>
      <c r="K211" s="226"/>
      <c r="L211" s="175"/>
      <c r="M211" s="224"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224"/>
      <c r="G212" s="175"/>
      <c r="H212" s="226"/>
      <c r="I212" s="226" t="s">
        <v>272</v>
      </c>
      <c r="J212" s="226"/>
      <c r="K212" s="226"/>
      <c r="L212" s="175"/>
      <c r="M212" s="224"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226"/>
      <c r="I213" s="226" t="s">
        <v>273</v>
      </c>
      <c r="J213" s="226"/>
      <c r="K213" s="226"/>
      <c r="L213" s="175"/>
      <c r="M213" s="224"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226"/>
      <c r="I214" s="226" t="s">
        <v>275</v>
      </c>
      <c r="J214" s="226"/>
      <c r="K214" s="226"/>
      <c r="L214" s="175"/>
      <c r="M214" s="224"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226"/>
      <c r="I215" s="226" t="s">
        <v>276</v>
      </c>
      <c r="J215" s="226"/>
      <c r="K215" s="226"/>
      <c r="L215" s="175"/>
      <c r="M215" s="224"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226"/>
      <c r="I216" s="226" t="s">
        <v>278</v>
      </c>
      <c r="J216" s="226"/>
      <c r="K216" s="226"/>
      <c r="L216" s="175"/>
      <c r="M216" s="224"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226"/>
      <c r="I217" s="226" t="s">
        <v>279</v>
      </c>
      <c r="J217" s="226"/>
      <c r="K217" s="226"/>
      <c r="L217" s="175"/>
      <c r="M217" s="224"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226"/>
      <c r="I218" s="226" t="s">
        <v>280</v>
      </c>
      <c r="J218" s="226"/>
      <c r="K218" s="226"/>
      <c r="L218" s="175"/>
      <c r="M218" s="224"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224" t="s">
        <v>247</v>
      </c>
      <c r="F219" s="224"/>
      <c r="G219" s="224"/>
      <c r="H219" s="226"/>
      <c r="I219" s="226" t="s">
        <v>281</v>
      </c>
      <c r="J219" s="226"/>
      <c r="K219" s="226"/>
      <c r="L219" s="175"/>
      <c r="M219" s="224"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224"/>
      <c r="H220" s="226"/>
      <c r="I220" s="226" t="s">
        <v>282</v>
      </c>
      <c r="J220" s="226"/>
      <c r="K220" s="226"/>
      <c r="L220" s="175"/>
      <c r="M220" s="224"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224"/>
      <c r="H221" s="226"/>
      <c r="I221" s="226" t="s">
        <v>283</v>
      </c>
      <c r="J221" s="226"/>
      <c r="K221" s="226"/>
      <c r="L221" s="175"/>
      <c r="M221" s="224"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224"/>
      <c r="H222" s="226"/>
      <c r="I222" s="226" t="s">
        <v>284</v>
      </c>
      <c r="J222" s="226"/>
      <c r="K222" s="226"/>
      <c r="L222" s="175"/>
      <c r="M222" s="224"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224"/>
      <c r="H223" s="226"/>
      <c r="I223" s="226" t="s">
        <v>285</v>
      </c>
      <c r="J223" s="226"/>
      <c r="K223" s="226"/>
      <c r="L223" s="175"/>
      <c r="M223" s="224"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224"/>
      <c r="H224" s="226"/>
      <c r="I224" s="226" t="s">
        <v>286</v>
      </c>
      <c r="J224" s="226"/>
      <c r="K224" s="226"/>
      <c r="L224" s="175"/>
      <c r="M224" s="224"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224"/>
      <c r="H225" s="226"/>
      <c r="I225" s="226" t="s">
        <v>287</v>
      </c>
      <c r="J225" s="226"/>
      <c r="K225" s="226"/>
      <c r="L225" s="175"/>
      <c r="M225" s="224"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224"/>
      <c r="H226" s="226"/>
      <c r="I226" s="226" t="s">
        <v>288</v>
      </c>
      <c r="J226" s="226"/>
      <c r="K226" s="226"/>
      <c r="L226" s="175"/>
      <c r="M226" s="224"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224"/>
      <c r="H227" s="226"/>
      <c r="I227" s="226" t="s">
        <v>289</v>
      </c>
      <c r="J227" s="226"/>
      <c r="K227" s="226"/>
      <c r="L227" s="175"/>
      <c r="M227" s="224"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224"/>
      <c r="H228" s="226"/>
      <c r="I228" s="1215" t="s">
        <v>290</v>
      </c>
      <c r="J228" s="1215"/>
      <c r="K228" s="1215"/>
      <c r="L228" s="175"/>
      <c r="M228" s="224"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224"/>
      <c r="H229" s="226"/>
      <c r="I229" s="1215"/>
      <c r="J229" s="1215"/>
      <c r="K229" s="1215"/>
      <c r="L229" s="175"/>
      <c r="M229" s="226"/>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224"/>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224"/>
      <c r="H231" s="175"/>
      <c r="I231" s="175" t="s">
        <v>105</v>
      </c>
      <c r="J231" s="175"/>
      <c r="K231" s="175"/>
      <c r="L231" s="175"/>
      <c r="M231" s="201">
        <v>0.5</v>
      </c>
      <c r="N231" s="290"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224"/>
      <c r="H232" s="175"/>
      <c r="I232" s="175" t="s">
        <v>107</v>
      </c>
      <c r="J232" s="175"/>
      <c r="K232" s="175"/>
      <c r="L232" s="175"/>
      <c r="M232" s="200">
        <v>1</v>
      </c>
      <c r="N232" s="290"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224"/>
      <c r="H233" s="175"/>
      <c r="I233" s="175" t="s">
        <v>109</v>
      </c>
      <c r="J233" s="175"/>
      <c r="K233" s="175"/>
      <c r="L233" s="175"/>
      <c r="M233" s="200">
        <v>1</v>
      </c>
      <c r="N233" s="290"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224"/>
      <c r="H234" s="175"/>
      <c r="I234" s="175" t="s">
        <v>111</v>
      </c>
      <c r="J234" s="175"/>
      <c r="K234" s="175"/>
      <c r="L234" s="175"/>
      <c r="M234" s="200"/>
      <c r="N234" s="290"/>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290"/>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224" t="s">
        <v>248</v>
      </c>
      <c r="F236" s="224"/>
      <c r="G236" s="224"/>
      <c r="H236" s="175"/>
      <c r="I236" s="175" t="s">
        <v>115</v>
      </c>
      <c r="J236" s="205" t="s">
        <v>251</v>
      </c>
      <c r="K236" s="205"/>
      <c r="L236" s="175"/>
      <c r="M236" s="201">
        <v>0.33333333333333331</v>
      </c>
      <c r="N236" s="290"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224"/>
      <c r="H237" s="175"/>
      <c r="I237" s="175" t="s">
        <v>116</v>
      </c>
      <c r="J237" s="175"/>
      <c r="K237" s="175"/>
      <c r="L237" s="175"/>
      <c r="M237" s="200">
        <v>5</v>
      </c>
      <c r="N237" s="290"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224"/>
      <c r="H238" s="175"/>
      <c r="I238" s="175" t="s">
        <v>118</v>
      </c>
      <c r="J238" s="175"/>
      <c r="K238" s="175"/>
      <c r="L238" s="175"/>
      <c r="M238" s="201">
        <v>0.75</v>
      </c>
      <c r="N238" s="290"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224"/>
      <c r="H239" s="175"/>
      <c r="I239" s="175" t="s">
        <v>120</v>
      </c>
      <c r="J239" s="175"/>
      <c r="K239" s="175"/>
      <c r="L239" s="175"/>
      <c r="M239" s="200">
        <v>5</v>
      </c>
      <c r="N239" s="290"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224"/>
      <c r="H240" s="175"/>
      <c r="I240" s="175" t="s">
        <v>122</v>
      </c>
      <c r="J240" s="175"/>
      <c r="K240" s="175"/>
      <c r="L240" s="175"/>
      <c r="M240" s="200">
        <v>1</v>
      </c>
      <c r="N240" s="290"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224"/>
      <c r="H241" s="175"/>
      <c r="I241" s="175" t="s">
        <v>124</v>
      </c>
      <c r="J241" s="175"/>
      <c r="K241" s="175"/>
      <c r="L241" s="175"/>
      <c r="M241" s="200">
        <v>6</v>
      </c>
      <c r="N241" s="290"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224"/>
      <c r="H242" s="175"/>
      <c r="I242" s="175" t="s">
        <v>126</v>
      </c>
      <c r="J242" s="1217" t="s">
        <v>252</v>
      </c>
      <c r="K242" s="1217"/>
      <c r="L242" s="175"/>
      <c r="M242" s="201">
        <v>0.5</v>
      </c>
      <c r="N242" s="290"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290"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224"/>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224"/>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224" t="s">
        <v>248</v>
      </c>
      <c r="G246" s="195"/>
      <c r="H246" s="175"/>
      <c r="I246" s="299" t="s">
        <v>458</v>
      </c>
      <c r="J246" s="299"/>
      <c r="K246" s="299"/>
      <c r="L246" s="299"/>
      <c r="M246" s="198">
        <v>2</v>
      </c>
      <c r="N246" s="224"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224" t="s">
        <v>248</v>
      </c>
      <c r="G247" s="195"/>
      <c r="H247" s="175"/>
      <c r="I247" s="299" t="s">
        <v>460</v>
      </c>
      <c r="J247" s="299"/>
      <c r="K247" s="299"/>
      <c r="L247" s="299"/>
      <c r="M247" s="198">
        <v>15</v>
      </c>
      <c r="N247" s="224"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224" t="s">
        <v>248</v>
      </c>
      <c r="G248" s="195"/>
      <c r="H248" s="175"/>
      <c r="I248" s="299" t="s">
        <v>461</v>
      </c>
      <c r="J248" s="299"/>
      <c r="K248" s="299"/>
      <c r="L248" s="299"/>
      <c r="M248" s="198">
        <v>2</v>
      </c>
      <c r="N248" s="224"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224" t="s">
        <v>248</v>
      </c>
      <c r="G249" s="195"/>
      <c r="H249" s="175"/>
      <c r="I249" s="299" t="s">
        <v>462</v>
      </c>
      <c r="J249" s="299"/>
      <c r="K249" s="299"/>
      <c r="L249" s="299"/>
      <c r="M249" s="300">
        <v>8</v>
      </c>
      <c r="N249" s="224"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224" t="s">
        <v>248</v>
      </c>
      <c r="G250" s="195"/>
      <c r="H250" s="175"/>
      <c r="I250" s="299" t="s">
        <v>463</v>
      </c>
      <c r="J250" s="299"/>
      <c r="K250" s="299"/>
      <c r="L250" s="299"/>
      <c r="M250" s="198">
        <v>2</v>
      </c>
      <c r="N250" s="224"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224" t="s">
        <v>235</v>
      </c>
      <c r="G251" s="195"/>
      <c r="H251" s="175"/>
      <c r="I251" s="1226" t="s">
        <v>464</v>
      </c>
      <c r="J251" s="1226"/>
      <c r="K251" s="1226"/>
      <c r="L251" s="1226"/>
      <c r="M251" s="198">
        <v>2</v>
      </c>
      <c r="N251" s="223"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224"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224"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t="str">
        <f>B4</f>
        <v>LUIS ALEJANDRO JUAREZ</v>
      </c>
      <c r="C280" s="1088"/>
      <c r="D280" s="1088"/>
      <c r="E280" s="1088"/>
      <c r="F280" s="1088"/>
      <c r="G280" s="1088"/>
      <c r="H280" s="173" t="s">
        <v>396</v>
      </c>
      <c r="I280" s="1221">
        <f>B5</f>
        <v>42192</v>
      </c>
      <c r="J280" s="1222"/>
      <c r="K280" s="176"/>
      <c r="L280" s="177" t="s">
        <v>291</v>
      </c>
      <c r="M280" s="1223" t="str">
        <f>M4</f>
        <v>4808 89 0625 3M12 ORD</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2</v>
      </c>
      <c r="C282" s="175" t="s">
        <v>72</v>
      </c>
      <c r="D282" s="1224" t="s">
        <v>323</v>
      </c>
      <c r="E282" s="1224"/>
      <c r="F282" s="1225"/>
      <c r="G282" s="1225"/>
      <c r="H282" s="175"/>
      <c r="I282" s="1224" t="s">
        <v>328</v>
      </c>
      <c r="J282" s="1224"/>
      <c r="K282" s="1217"/>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223">
        <v>4</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223">
        <f>C37</f>
        <v>0</v>
      </c>
      <c r="D291" s="175" t="s">
        <v>349</v>
      </c>
      <c r="E291" s="175"/>
      <c r="F291" s="175"/>
      <c r="G291" s="224">
        <f>G37</f>
        <v>0</v>
      </c>
      <c r="H291" s="175" t="s">
        <v>354</v>
      </c>
      <c r="I291" s="175"/>
      <c r="J291" s="223">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223">
        <f>C38</f>
        <v>0</v>
      </c>
      <c r="D292" s="175" t="s">
        <v>350</v>
      </c>
      <c r="E292" s="175"/>
      <c r="F292" s="175"/>
      <c r="G292" s="224">
        <f>G38</f>
        <v>0</v>
      </c>
      <c r="H292" s="175" t="s">
        <v>355</v>
      </c>
      <c r="I292" s="175"/>
      <c r="J292" s="223">
        <f>J38</f>
        <v>0</v>
      </c>
      <c r="K292" s="175"/>
      <c r="L292" s="175" t="s">
        <v>359</v>
      </c>
      <c r="M292" s="175"/>
      <c r="N292" s="224">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223" t="str">
        <f>C39</f>
        <v>X</v>
      </c>
      <c r="D293" s="175" t="s">
        <v>351</v>
      </c>
      <c r="E293" s="175"/>
      <c r="F293" s="175"/>
      <c r="G293" s="224">
        <f>G39</f>
        <v>0</v>
      </c>
      <c r="H293" s="175" t="s">
        <v>356</v>
      </c>
      <c r="I293" s="175"/>
      <c r="J293" s="223">
        <f>J39</f>
        <v>0</v>
      </c>
      <c r="K293" s="175"/>
      <c r="L293" s="1216" t="s">
        <v>360</v>
      </c>
      <c r="M293" s="1216"/>
      <c r="N293" s="226">
        <f>N39</f>
        <v>0</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223">
        <f>C40</f>
        <v>0</v>
      </c>
      <c r="D294" s="175" t="s">
        <v>352</v>
      </c>
      <c r="E294" s="175"/>
      <c r="F294" s="175"/>
      <c r="G294" s="224">
        <f>G40</f>
        <v>0</v>
      </c>
      <c r="H294" s="175"/>
      <c r="I294" s="175"/>
      <c r="J294" s="175"/>
      <c r="K294" s="175"/>
      <c r="L294" s="1215" t="s">
        <v>362</v>
      </c>
      <c r="M294" s="1215"/>
      <c r="N294" s="226">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0</v>
      </c>
      <c r="D298" s="106">
        <f>B96</f>
        <v>0</v>
      </c>
      <c r="E298" s="106">
        <f>B98</f>
        <v>0</v>
      </c>
      <c r="F298" s="106">
        <f>B99</f>
        <v>0</v>
      </c>
      <c r="G298" s="106">
        <f>B100</f>
        <v>0</v>
      </c>
      <c r="H298" s="106">
        <f>B101</f>
        <v>0</v>
      </c>
      <c r="I298" s="106">
        <f>B103</f>
        <v>0</v>
      </c>
      <c r="J298" s="106">
        <f>B102</f>
        <v>0</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0</v>
      </c>
      <c r="D299" s="106">
        <f>B111</f>
        <v>0</v>
      </c>
      <c r="E299" s="106">
        <f>B113</f>
        <v>0</v>
      </c>
      <c r="F299" s="106">
        <f>B114</f>
        <v>0</v>
      </c>
      <c r="G299" s="106">
        <f>B115</f>
        <v>0</v>
      </c>
      <c r="H299" s="106">
        <f>B116</f>
        <v>0</v>
      </c>
      <c r="I299" s="106">
        <f>B118</f>
        <v>0</v>
      </c>
      <c r="J299" s="106">
        <f>B117</f>
        <v>0</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0</v>
      </c>
      <c r="D300" s="106">
        <f>B126</f>
        <v>0</v>
      </c>
      <c r="E300" s="106">
        <f>B128</f>
        <v>0</v>
      </c>
      <c r="F300" s="106">
        <f>B129</f>
        <v>0</v>
      </c>
      <c r="G300" s="106">
        <f>B130</f>
        <v>0</v>
      </c>
      <c r="H300" s="106">
        <f>B131</f>
        <v>0</v>
      </c>
      <c r="I300" s="106">
        <f>B133</f>
        <v>0</v>
      </c>
      <c r="J300" s="106">
        <f>B132</f>
        <v>0</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0</v>
      </c>
      <c r="D302" s="106">
        <f t="shared" ref="D302:J302" si="14">SUM(D298:D301)</f>
        <v>0</v>
      </c>
      <c r="E302" s="106">
        <f t="shared" si="14"/>
        <v>0</v>
      </c>
      <c r="F302" s="106">
        <f t="shared" si="14"/>
        <v>0</v>
      </c>
      <c r="G302" s="106">
        <f t="shared" si="14"/>
        <v>0</v>
      </c>
      <c r="H302" s="106">
        <f t="shared" si="14"/>
        <v>0</v>
      </c>
      <c r="I302" s="106">
        <f t="shared" si="14"/>
        <v>0</v>
      </c>
      <c r="J302" s="106">
        <f t="shared" si="14"/>
        <v>0</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236"/>
      <c r="H304" s="1077" t="s">
        <v>378</v>
      </c>
      <c r="I304" s="1077"/>
      <c r="J304" s="236"/>
      <c r="K304" s="1077" t="s">
        <v>377</v>
      </c>
      <c r="L304" s="1077"/>
      <c r="M304" s="1077"/>
      <c r="N304" s="236"/>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0</v>
      </c>
      <c r="F305" s="86"/>
      <c r="G305" s="86"/>
      <c r="H305" s="89">
        <f>B152</f>
        <v>54</v>
      </c>
      <c r="I305" s="86"/>
      <c r="J305" s="86"/>
      <c r="K305" s="1060">
        <f>D152</f>
        <v>0</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0</v>
      </c>
      <c r="F306" s="87"/>
      <c r="G306" s="87"/>
      <c r="H306" s="90">
        <f>B153</f>
        <v>18</v>
      </c>
      <c r="I306" s="87"/>
      <c r="J306" s="87"/>
      <c r="K306" s="1072">
        <f>D153</f>
        <v>0</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0</v>
      </c>
      <c r="F307" s="87"/>
      <c r="G307" s="87"/>
      <c r="H307" s="90">
        <f>B154</f>
        <v>28</v>
      </c>
      <c r="I307" s="87"/>
      <c r="J307" s="87"/>
      <c r="K307" s="1072">
        <f>D154</f>
        <v>0</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0</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235"/>
      <c r="B310" s="235"/>
      <c r="C310" s="1063" t="s">
        <v>388</v>
      </c>
      <c r="D310" s="1063"/>
      <c r="E310" s="229"/>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235"/>
      <c r="B311" s="235"/>
      <c r="C311" s="235"/>
      <c r="D311" s="235"/>
      <c r="E311" s="229"/>
      <c r="F311" s="229"/>
      <c r="G311" s="229"/>
      <c r="H311" s="229"/>
      <c r="I311" s="229"/>
      <c r="J311" s="229"/>
      <c r="K311" s="229"/>
      <c r="L311" s="229"/>
      <c r="M311" s="229"/>
      <c r="N311" s="229"/>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11</v>
      </c>
      <c r="D312" s="86"/>
      <c r="E312" s="99"/>
      <c r="F312" s="229"/>
      <c r="G312" s="99"/>
      <c r="H312" s="229"/>
      <c r="I312" s="99"/>
      <c r="J312" s="229"/>
      <c r="K312" s="99"/>
      <c r="L312" s="229"/>
      <c r="M312" s="99"/>
      <c r="N312" s="229"/>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234"/>
      <c r="C314" s="106"/>
      <c r="D314" s="234"/>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92</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12.996219281663517</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234"/>
      <c r="C317" s="106">
        <f>E54</f>
        <v>0</v>
      </c>
      <c r="D317" s="234"/>
      <c r="E317" s="99"/>
      <c r="F317" s="229"/>
      <c r="G317" s="99"/>
      <c r="H317" s="229"/>
      <c r="I317" s="99"/>
      <c r="J317" s="229"/>
      <c r="K317" s="99"/>
      <c r="L317" s="229"/>
      <c r="M317" s="99"/>
      <c r="N317" s="229"/>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229"/>
      <c r="G318" s="99"/>
      <c r="H318" s="229"/>
      <c r="I318" s="99"/>
      <c r="J318" s="229"/>
      <c r="K318" s="99"/>
      <c r="L318" s="229"/>
      <c r="M318" s="99"/>
      <c r="N318" s="229"/>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92"/>
      <c r="C320" s="102">
        <v>0</v>
      </c>
      <c r="D320" s="92"/>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235"/>
      <c r="C322" s="108"/>
      <c r="D322" s="235"/>
      <c r="E322" s="101"/>
      <c r="F322" s="236"/>
      <c r="G322" s="101"/>
      <c r="H322" s="236"/>
      <c r="I322" s="101"/>
      <c r="J322" s="236"/>
      <c r="K322" s="101"/>
      <c r="L322" s="236"/>
      <c r="M322" s="101"/>
      <c r="N322" s="236"/>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236"/>
      <c r="G323" s="101"/>
      <c r="H323" s="236"/>
      <c r="I323" s="101"/>
      <c r="J323" s="236"/>
      <c r="K323" s="101"/>
      <c r="L323" s="236"/>
      <c r="M323" s="101"/>
      <c r="N323" s="236"/>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236"/>
      <c r="F324" s="236"/>
      <c r="G324" s="236"/>
      <c r="H324" s="236"/>
      <c r="I324" s="236"/>
      <c r="J324" s="236"/>
      <c r="K324" s="236"/>
      <c r="L324" s="236"/>
      <c r="M324" s="236"/>
      <c r="N324" s="236"/>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236"/>
      <c r="H325" s="111"/>
      <c r="I325" s="236"/>
      <c r="J325" s="236"/>
      <c r="K325" s="236"/>
      <c r="L325" s="236"/>
      <c r="M325" s="236"/>
      <c r="N325" s="236"/>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236"/>
      <c r="F326" s="116">
        <f>E60</f>
        <v>12.3</v>
      </c>
      <c r="G326" s="236"/>
      <c r="H326" s="116">
        <f>G60</f>
        <v>11.6</v>
      </c>
      <c r="I326" s="236"/>
      <c r="J326" s="116">
        <f>I60</f>
        <v>0</v>
      </c>
      <c r="K326" s="236"/>
      <c r="L326" s="116">
        <f>K60</f>
        <v>0</v>
      </c>
      <c r="M326" s="283" t="str">
        <f>L60</f>
        <v>ND</v>
      </c>
      <c r="N326" s="236"/>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36.5</v>
      </c>
      <c r="G327" s="86"/>
      <c r="H327" s="95">
        <f>G62</f>
        <v>34.700000000000003</v>
      </c>
      <c r="I327" s="86"/>
      <c r="J327" s="95">
        <f>I62</f>
        <v>0</v>
      </c>
      <c r="K327" s="86"/>
      <c r="L327" s="95">
        <f>K62</f>
        <v>0</v>
      </c>
      <c r="M327" s="284" t="str">
        <f>L62</f>
        <v>ND</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13900</v>
      </c>
      <c r="G328" s="86"/>
      <c r="H328" s="95">
        <f>G64</f>
        <v>18200</v>
      </c>
      <c r="I328" s="86"/>
      <c r="J328" s="95">
        <f>I64</f>
        <v>0</v>
      </c>
      <c r="K328" s="86"/>
      <c r="L328" s="95">
        <f>K64</f>
        <v>0</v>
      </c>
      <c r="M328" s="284" t="str">
        <f>L64</f>
        <v>ND</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229"/>
      <c r="F329" s="157">
        <f>E67</f>
        <v>0</v>
      </c>
      <c r="G329" s="229"/>
      <c r="H329" s="157">
        <f>G67</f>
        <v>0</v>
      </c>
      <c r="I329" s="229"/>
      <c r="J329" s="157">
        <f>I67</f>
        <v>0</v>
      </c>
      <c r="K329" s="229"/>
      <c r="L329" s="157">
        <f>K67</f>
        <v>0</v>
      </c>
      <c r="M329" s="285" t="str">
        <f>L67</f>
        <v>ND</v>
      </c>
      <c r="N329" s="229"/>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229"/>
      <c r="F330" s="157">
        <f>E69</f>
        <v>0</v>
      </c>
      <c r="G330" s="229"/>
      <c r="H330" s="157">
        <f>G69</f>
        <v>0</v>
      </c>
      <c r="I330" s="229"/>
      <c r="J330" s="157">
        <f>I69</f>
        <v>0</v>
      </c>
      <c r="K330" s="229"/>
      <c r="L330" s="157">
        <f>K69</f>
        <v>0</v>
      </c>
      <c r="M330" s="285" t="str">
        <f>L69</f>
        <v>ND</v>
      </c>
      <c r="N330" s="229"/>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229"/>
      <c r="F331" s="157">
        <f>E71</f>
        <v>0</v>
      </c>
      <c r="G331" s="229"/>
      <c r="H331" s="157">
        <f>G71</f>
        <v>0</v>
      </c>
      <c r="I331" s="229"/>
      <c r="J331" s="157">
        <f>I71</f>
        <v>0</v>
      </c>
      <c r="K331" s="229"/>
      <c r="L331" s="157">
        <f>K71</f>
        <v>0</v>
      </c>
      <c r="M331" s="285" t="str">
        <f>L71</f>
        <v>ND</v>
      </c>
      <c r="N331" s="229"/>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229"/>
      <c r="F332" s="157">
        <f>E73</f>
        <v>0</v>
      </c>
      <c r="G332" s="229"/>
      <c r="H332" s="157">
        <f>G73</f>
        <v>0</v>
      </c>
      <c r="I332" s="229"/>
      <c r="J332" s="157">
        <f>I73</f>
        <v>0</v>
      </c>
      <c r="K332" s="229"/>
      <c r="L332" s="157">
        <f>K73</f>
        <v>0</v>
      </c>
      <c r="M332" s="285" t="str">
        <f>L73</f>
        <v>ND</v>
      </c>
      <c r="N332" s="229"/>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229"/>
      <c r="F333" s="157">
        <f>E76</f>
        <v>0</v>
      </c>
      <c r="G333" s="229"/>
      <c r="H333" s="157">
        <f>G76</f>
        <v>0</v>
      </c>
      <c r="I333" s="229"/>
      <c r="J333" s="157">
        <f>I76</f>
        <v>0</v>
      </c>
      <c r="K333" s="229"/>
      <c r="L333" s="157">
        <f>K76</f>
        <v>0</v>
      </c>
      <c r="M333" s="285" t="str">
        <f>L76</f>
        <v>ND</v>
      </c>
      <c r="N333" s="229"/>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229"/>
      <c r="F334" s="157">
        <f>E78</f>
        <v>0</v>
      </c>
      <c r="G334" s="229"/>
      <c r="H334" s="157">
        <f>G78</f>
        <v>0</v>
      </c>
      <c r="I334" s="229"/>
      <c r="J334" s="157">
        <f>I78</f>
        <v>0</v>
      </c>
      <c r="K334" s="229"/>
      <c r="L334" s="157">
        <f>K78</f>
        <v>0</v>
      </c>
      <c r="M334" s="285" t="str">
        <f>L78</f>
        <v>ND</v>
      </c>
      <c r="N334" s="229"/>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229"/>
      <c r="F335" s="157"/>
      <c r="G335" s="229"/>
      <c r="H335" s="157"/>
      <c r="I335" s="229"/>
      <c r="J335" s="157"/>
      <c r="K335" s="229"/>
      <c r="L335" s="157"/>
      <c r="M335" s="285"/>
      <c r="N335" s="229"/>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229"/>
      <c r="F336" s="157"/>
      <c r="G336" s="229"/>
      <c r="H336" s="157"/>
      <c r="I336" s="229"/>
      <c r="J336" s="157"/>
      <c r="K336" s="229"/>
      <c r="L336" s="157"/>
      <c r="M336" s="285"/>
      <c r="N336" s="229"/>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0</v>
      </c>
      <c r="G337" s="86"/>
      <c r="H337" s="95">
        <f>G81</f>
        <v>0</v>
      </c>
      <c r="I337" s="86"/>
      <c r="J337" s="95">
        <f>I81</f>
        <v>0</v>
      </c>
      <c r="K337" s="86"/>
      <c r="L337" s="95">
        <f>K81</f>
        <v>0</v>
      </c>
      <c r="M337" s="284" t="str">
        <f>L81</f>
        <v>ND</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236"/>
      <c r="F338" s="116">
        <f>E83</f>
        <v>0</v>
      </c>
      <c r="G338" s="236"/>
      <c r="H338" s="116">
        <f>G83</f>
        <v>0</v>
      </c>
      <c r="I338" s="236"/>
      <c r="J338" s="116">
        <f>I83</f>
        <v>0</v>
      </c>
      <c r="K338" s="236"/>
      <c r="L338" s="116">
        <f>K83</f>
        <v>0</v>
      </c>
      <c r="M338" s="283" t="str">
        <f>L83</f>
        <v>ND</v>
      </c>
      <c r="N338" s="236"/>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236"/>
      <c r="F339" s="116"/>
      <c r="G339" s="236"/>
      <c r="H339" s="116"/>
      <c r="I339" s="236"/>
      <c r="J339" s="116"/>
      <c r="K339" s="236"/>
      <c r="L339" s="116"/>
      <c r="M339" s="283"/>
      <c r="N339" s="236"/>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236"/>
      <c r="F340" s="116"/>
      <c r="G340" s="236"/>
      <c r="H340" s="116"/>
      <c r="I340" s="236"/>
      <c r="J340" s="116"/>
      <c r="K340" s="236"/>
      <c r="L340" s="116"/>
      <c r="M340" s="158"/>
      <c r="N340" s="236"/>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109"/>
      <c r="F341" s="109"/>
      <c r="G341" s="109"/>
      <c r="H341" s="109"/>
      <c r="I341" s="109"/>
      <c r="J341" s="109"/>
      <c r="K341" s="109"/>
      <c r="L341" s="109"/>
      <c r="M341" s="109"/>
      <c r="N341" s="109"/>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82.706766917293223</v>
      </c>
      <c r="I343" s="293" t="str">
        <f t="shared" si="15"/>
        <v>DESNUTRICION LEVE 1ER GRADO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269" t="s">
        <v>436</v>
      </c>
      <c r="B344" s="269"/>
      <c r="C344" s="269"/>
      <c r="D344" s="251"/>
      <c r="E344" s="269"/>
      <c r="F344" s="252"/>
      <c r="G344" s="251"/>
      <c r="H344" s="288">
        <f t="shared" si="15"/>
        <v>82.706766917293223</v>
      </c>
      <c r="I344" s="269" t="str">
        <f t="shared" si="15"/>
        <v>DESNUTRICION LEVE 1ER GRADO</v>
      </c>
      <c r="J344" s="269"/>
      <c r="K344" s="269"/>
      <c r="L344" s="269"/>
      <c r="M344" s="269"/>
      <c r="N344" s="269"/>
      <c r="O344" s="215"/>
      <c r="P344" s="215"/>
      <c r="Q344" s="215"/>
      <c r="R344" s="215"/>
      <c r="S344" s="215"/>
      <c r="T344" s="215"/>
      <c r="U344" s="215"/>
      <c r="V344" s="215"/>
      <c r="W344" s="80"/>
      <c r="X344" s="80"/>
      <c r="Y344" s="80"/>
      <c r="Z344" s="80"/>
      <c r="AA344" s="80"/>
      <c r="AB344" s="80"/>
      <c r="AC344" s="80"/>
      <c r="AD344" s="80"/>
      <c r="AE344" s="80"/>
      <c r="AF344" s="80"/>
    </row>
    <row r="345" spans="1:32">
      <c r="A345" s="269" t="s">
        <v>437</v>
      </c>
      <c r="B345" s="269"/>
      <c r="C345" s="269"/>
      <c r="D345" s="251"/>
      <c r="E345" s="269"/>
      <c r="F345" s="252"/>
      <c r="G345" s="251"/>
      <c r="H345" s="288">
        <f t="shared" si="15"/>
        <v>100.1088139281828</v>
      </c>
      <c r="I345" s="269" t="str">
        <f t="shared" si="15"/>
        <v>NORMAL</v>
      </c>
      <c r="J345" s="269"/>
      <c r="K345" s="269"/>
      <c r="L345" s="269"/>
      <c r="M345" s="269"/>
      <c r="N345" s="269"/>
      <c r="O345" s="215"/>
      <c r="P345" s="215"/>
      <c r="Q345" s="215"/>
      <c r="R345" s="215"/>
      <c r="S345" s="215"/>
      <c r="T345" s="215"/>
      <c r="U345" s="215"/>
      <c r="V345" s="215"/>
      <c r="W345" s="80"/>
      <c r="X345" s="80"/>
      <c r="Y345" s="80"/>
      <c r="Z345" s="80"/>
      <c r="AA345" s="80"/>
      <c r="AB345" s="80"/>
      <c r="AC345" s="80"/>
      <c r="AD345" s="80"/>
      <c r="AE345" s="80"/>
      <c r="AF345" s="80"/>
    </row>
    <row r="346" spans="1:32">
      <c r="A346" s="292"/>
      <c r="B346" s="292"/>
      <c r="C346" s="292"/>
      <c r="D346" s="251"/>
      <c r="E346" s="292"/>
      <c r="F346" s="252"/>
      <c r="G346" s="251"/>
      <c r="H346" s="288"/>
      <c r="I346" s="292"/>
      <c r="J346" s="292"/>
      <c r="K346" s="292"/>
      <c r="L346" s="292"/>
      <c r="M346" s="292"/>
      <c r="N346" s="292"/>
      <c r="O346" s="215"/>
      <c r="P346" s="215"/>
      <c r="Q346" s="215"/>
      <c r="R346" s="215"/>
      <c r="S346" s="215"/>
      <c r="T346" s="215"/>
      <c r="U346" s="215"/>
      <c r="V346" s="215"/>
      <c r="W346" s="80"/>
      <c r="X346" s="80"/>
      <c r="Y346" s="80"/>
      <c r="Z346" s="80"/>
      <c r="AA346" s="80"/>
      <c r="AB346" s="80"/>
      <c r="AC346" s="80"/>
      <c r="AD346" s="80"/>
      <c r="AE346" s="80"/>
      <c r="AF346" s="80"/>
    </row>
    <row r="347" spans="1:32">
      <c r="A347" s="1211" t="s">
        <v>637</v>
      </c>
      <c r="B347" s="1211"/>
      <c r="C347" s="1211"/>
      <c r="D347" s="1211"/>
      <c r="E347" s="1211"/>
      <c r="F347" s="1211"/>
      <c r="G347" s="1211"/>
      <c r="H347" s="1211"/>
      <c r="I347" s="1211"/>
      <c r="J347" s="1211"/>
      <c r="K347" s="1211"/>
      <c r="L347" s="1211"/>
      <c r="M347" s="1211"/>
      <c r="N347" s="1211"/>
      <c r="O347" s="1211" t="s">
        <v>448</v>
      </c>
      <c r="P347" s="1211"/>
      <c r="Q347" s="1211"/>
      <c r="R347" s="1211"/>
      <c r="S347" s="1211"/>
      <c r="T347" s="1211"/>
      <c r="U347" s="1211"/>
      <c r="V347" s="1211"/>
      <c r="W347" s="1211"/>
      <c r="X347" s="1211"/>
      <c r="Y347" s="1211"/>
      <c r="Z347" s="1211"/>
      <c r="AA347" s="1211"/>
      <c r="AB347" s="1211"/>
      <c r="AC347" s="80"/>
      <c r="AD347" s="80"/>
      <c r="AE347" s="80"/>
      <c r="AF347" s="80"/>
    </row>
    <row r="348" spans="1:32">
      <c r="A348" s="1211" t="s">
        <v>639</v>
      </c>
      <c r="B348" s="1211"/>
      <c r="C348" s="1211"/>
      <c r="D348" s="1211"/>
      <c r="E348" s="1211"/>
      <c r="F348" s="1211"/>
      <c r="G348" s="1211"/>
      <c r="H348" s="1211"/>
      <c r="I348" s="1211"/>
      <c r="J348" s="1211"/>
      <c r="K348" s="1211"/>
      <c r="L348" s="1211"/>
      <c r="M348" s="1211"/>
      <c r="N348" s="1211"/>
      <c r="O348" s="1211" t="s">
        <v>449</v>
      </c>
      <c r="P348" s="1211"/>
      <c r="Q348" s="1211"/>
      <c r="R348" s="1211"/>
      <c r="S348" s="1211"/>
      <c r="T348" s="1211"/>
      <c r="U348" s="1211"/>
      <c r="V348" s="1211"/>
      <c r="W348" s="1211"/>
      <c r="X348" s="1211"/>
      <c r="Y348" s="1211"/>
      <c r="Z348" s="1211"/>
      <c r="AA348" s="1211"/>
      <c r="AB348" s="1211"/>
      <c r="AC348" s="80"/>
      <c r="AD348" s="80"/>
      <c r="AE348" s="80"/>
      <c r="AF348" s="80"/>
    </row>
    <row r="349" spans="1:32">
      <c r="A349" s="1211" t="s">
        <v>641</v>
      </c>
      <c r="B349" s="1211"/>
      <c r="C349" s="1211"/>
      <c r="D349" s="1211"/>
      <c r="E349" s="1211"/>
      <c r="F349" s="1211"/>
      <c r="G349" s="1211"/>
      <c r="H349" s="1211"/>
      <c r="I349" s="1211"/>
      <c r="J349" s="1211"/>
      <c r="K349" s="1211"/>
      <c r="L349" s="1211"/>
      <c r="M349" s="1211"/>
      <c r="N349" s="1211"/>
      <c r="O349" s="1211" t="s">
        <v>450</v>
      </c>
      <c r="P349" s="1211"/>
      <c r="Q349" s="1211"/>
      <c r="R349" s="1211"/>
      <c r="S349" s="1211"/>
      <c r="T349" s="1211"/>
      <c r="U349" s="1211"/>
      <c r="V349" s="1211"/>
      <c r="W349" s="1211"/>
      <c r="X349" s="1211"/>
      <c r="Y349" s="1211"/>
      <c r="Z349" s="1211"/>
      <c r="AA349" s="1211"/>
      <c r="AB349" s="1211"/>
      <c r="AC349" s="80"/>
      <c r="AD349" s="80"/>
      <c r="AE349" s="80"/>
      <c r="AF349" s="80"/>
    </row>
    <row r="350" spans="1:32" ht="17.100000000000001" customHeight="1">
      <c r="A350" s="1211" t="s">
        <v>642</v>
      </c>
      <c r="B350" s="1211"/>
      <c r="C350" s="1211"/>
      <c r="D350" s="1211"/>
      <c r="E350" s="1211"/>
      <c r="F350" s="1211"/>
      <c r="G350" s="1211"/>
      <c r="H350" s="1211"/>
      <c r="I350" s="1211"/>
      <c r="J350" s="1211"/>
      <c r="K350" s="1211"/>
      <c r="L350" s="1211"/>
      <c r="M350" s="1211"/>
      <c r="N350" s="1211"/>
      <c r="O350" s="1211" t="s">
        <v>451</v>
      </c>
      <c r="P350" s="1211"/>
      <c r="Q350" s="1211"/>
      <c r="R350" s="1211"/>
      <c r="S350" s="1211"/>
      <c r="T350" s="1211"/>
      <c r="U350" s="1211"/>
      <c r="V350" s="1211"/>
      <c r="W350" s="1211"/>
      <c r="X350" s="1211"/>
      <c r="Y350" s="1211"/>
      <c r="Z350" s="1211"/>
      <c r="AA350" s="1211"/>
      <c r="AB350" s="1211"/>
      <c r="AC350" s="80"/>
      <c r="AD350" s="80"/>
      <c r="AE350" s="80"/>
      <c r="AF350" s="80"/>
    </row>
    <row r="351" spans="1:32" ht="15" customHeight="1">
      <c r="A351" s="1211" t="s">
        <v>640</v>
      </c>
      <c r="B351" s="1211"/>
      <c r="C351" s="1211"/>
      <c r="D351" s="1211"/>
      <c r="E351" s="1211"/>
      <c r="F351" s="1211"/>
      <c r="G351" s="1211"/>
      <c r="H351" s="1211"/>
      <c r="I351" s="1211"/>
      <c r="J351" s="1211"/>
      <c r="K351" s="1211"/>
      <c r="L351" s="1211"/>
      <c r="M351" s="1211"/>
      <c r="N351" s="1211"/>
      <c r="O351" s="1211" t="s">
        <v>455</v>
      </c>
      <c r="P351" s="1211"/>
      <c r="Q351" s="1211"/>
      <c r="R351" s="1211"/>
      <c r="S351" s="1211"/>
      <c r="T351" s="1211"/>
      <c r="U351" s="1211"/>
      <c r="V351" s="1211"/>
      <c r="W351" s="1211"/>
      <c r="X351" s="1211"/>
      <c r="Y351" s="1211"/>
      <c r="Z351" s="1211"/>
      <c r="AA351" s="1211"/>
      <c r="AB351" s="1211"/>
      <c r="AC351" s="80"/>
      <c r="AD351" s="80"/>
      <c r="AE351" s="80"/>
      <c r="AF351" s="80"/>
    </row>
    <row r="352" spans="1:32" ht="15.75" customHeight="1">
      <c r="A352" s="1211" t="s">
        <v>643</v>
      </c>
      <c r="B352" s="1211"/>
      <c r="C352" s="1211"/>
      <c r="D352" s="1211"/>
      <c r="E352" s="1211"/>
      <c r="F352" s="1211"/>
      <c r="G352" s="1211"/>
      <c r="H352" s="1211"/>
      <c r="I352" s="1211"/>
      <c r="J352" s="1211"/>
      <c r="K352" s="1211"/>
      <c r="L352" s="1211"/>
      <c r="M352" s="1211"/>
      <c r="N352" s="1211"/>
      <c r="O352" s="1211" t="s">
        <v>456</v>
      </c>
      <c r="P352" s="1211"/>
      <c r="Q352" s="1211"/>
      <c r="R352" s="1211"/>
      <c r="S352" s="1211"/>
      <c r="T352" s="1211"/>
      <c r="U352" s="1211"/>
      <c r="V352" s="1211"/>
      <c r="W352" s="1211"/>
      <c r="X352" s="1211"/>
      <c r="Y352" s="1211"/>
      <c r="Z352" s="1211"/>
      <c r="AA352" s="1211"/>
      <c r="AB352" s="1211"/>
      <c r="AC352" s="80"/>
      <c r="AD352" s="80"/>
      <c r="AE352" s="80"/>
      <c r="AF352" s="80"/>
    </row>
    <row r="353" spans="1:32">
      <c r="A353" s="1211" t="s">
        <v>644</v>
      </c>
      <c r="B353" s="1211"/>
      <c r="C353" s="1211"/>
      <c r="D353" s="1211"/>
      <c r="E353" s="1211"/>
      <c r="F353" s="1211"/>
      <c r="G353" s="1211"/>
      <c r="H353" s="1211"/>
      <c r="I353" s="1211"/>
      <c r="J353" s="1211"/>
      <c r="K353" s="1211"/>
      <c r="L353" s="1211"/>
      <c r="M353" s="1211"/>
      <c r="N353" s="1211"/>
      <c r="O353" s="1211" t="s">
        <v>452</v>
      </c>
      <c r="P353" s="1211"/>
      <c r="Q353" s="1211"/>
      <c r="R353" s="1211"/>
      <c r="S353" s="1211"/>
      <c r="T353" s="1211"/>
      <c r="U353" s="1211"/>
      <c r="V353" s="1211"/>
      <c r="W353" s="1211"/>
      <c r="X353" s="1211"/>
      <c r="Y353" s="1211"/>
      <c r="Z353" s="1211"/>
      <c r="AA353" s="1211"/>
      <c r="AB353" s="1211"/>
      <c r="AC353" s="80"/>
      <c r="AD353" s="80"/>
      <c r="AE353" s="80"/>
      <c r="AF353" s="80"/>
    </row>
    <row r="354" spans="1:32">
      <c r="A354" s="1211" t="s">
        <v>645</v>
      </c>
      <c r="B354" s="1211"/>
      <c r="C354" s="1211"/>
      <c r="D354" s="1211"/>
      <c r="E354" s="1211"/>
      <c r="F354" s="1211"/>
      <c r="G354" s="1211"/>
      <c r="H354" s="1211"/>
      <c r="I354" s="1211"/>
      <c r="J354" s="1211"/>
      <c r="K354" s="1211"/>
      <c r="L354" s="1211"/>
      <c r="M354" s="1211"/>
      <c r="N354" s="1211"/>
      <c r="O354" s="1211" t="s">
        <v>453</v>
      </c>
      <c r="P354" s="1211"/>
      <c r="Q354" s="1211"/>
      <c r="R354" s="1211"/>
      <c r="S354" s="1211"/>
      <c r="T354" s="1211"/>
      <c r="U354" s="1211"/>
      <c r="V354" s="1211"/>
      <c r="W354" s="1211"/>
      <c r="X354" s="1211"/>
      <c r="Y354" s="1211"/>
      <c r="Z354" s="1211"/>
      <c r="AA354" s="1211"/>
      <c r="AB354" s="1211"/>
      <c r="AC354" s="80"/>
      <c r="AD354" s="80"/>
      <c r="AE354" s="80"/>
      <c r="AF354" s="80"/>
    </row>
    <row r="355" spans="1:32">
      <c r="A355" s="1076" t="s">
        <v>646</v>
      </c>
      <c r="B355" s="1076"/>
      <c r="C355" s="1076"/>
      <c r="D355" s="1076"/>
      <c r="E355" s="1076"/>
      <c r="F355" s="1076"/>
      <c r="G355" s="1076"/>
      <c r="H355" s="1076"/>
      <c r="I355" s="1076"/>
      <c r="J355" s="1076"/>
      <c r="K355" s="1076"/>
      <c r="L355" s="1076"/>
      <c r="M355" s="1076"/>
      <c r="N355" s="1076"/>
      <c r="O355" s="1076" t="s">
        <v>454</v>
      </c>
      <c r="P355" s="1076"/>
      <c r="Q355" s="1076"/>
      <c r="R355" s="1076"/>
      <c r="S355" s="1076"/>
      <c r="T355" s="1076"/>
      <c r="U355" s="1076"/>
      <c r="V355" s="1076"/>
      <c r="W355" s="1076"/>
      <c r="X355" s="1076"/>
      <c r="Y355" s="1076"/>
      <c r="Z355" s="1076"/>
      <c r="AA355" s="1076"/>
      <c r="AB355" s="1076"/>
      <c r="AC355" s="80"/>
      <c r="AD355" s="80"/>
      <c r="AE355" s="80"/>
      <c r="AF355" s="80"/>
    </row>
    <row r="356" spans="1:32">
      <c r="A356" s="1047"/>
      <c r="B356" s="1047"/>
      <c r="C356" s="1047"/>
      <c r="D356" s="1047"/>
      <c r="E356" s="1047"/>
      <c r="F356" s="1047"/>
      <c r="G356" s="1047"/>
      <c r="H356" s="1047"/>
      <c r="I356" s="1047"/>
      <c r="J356" s="1047"/>
      <c r="K356" s="1047"/>
      <c r="L356" s="1047"/>
      <c r="M356" s="1047"/>
      <c r="N356" s="1047"/>
      <c r="O356" s="215"/>
      <c r="P356" s="215"/>
      <c r="Q356" s="215"/>
      <c r="R356" s="215"/>
      <c r="S356" s="215"/>
      <c r="T356" s="215"/>
      <c r="U356" s="215"/>
      <c r="V356" s="215"/>
      <c r="W356" s="80"/>
      <c r="X356" s="80"/>
      <c r="Y356" s="80"/>
      <c r="Z356" s="80"/>
      <c r="AA356" s="80"/>
      <c r="AB356" s="80"/>
      <c r="AC356" s="80"/>
      <c r="AD356" s="80"/>
      <c r="AE356" s="80"/>
      <c r="AF356" s="80"/>
    </row>
    <row r="357" spans="1:32">
      <c r="A357" s="291"/>
      <c r="B357" s="291"/>
      <c r="C357" s="291"/>
      <c r="D357" s="291"/>
      <c r="E357" s="291"/>
      <c r="F357" s="113"/>
      <c r="G357" s="113"/>
      <c r="H357" s="113"/>
      <c r="I357" s="113"/>
      <c r="J357" s="113"/>
      <c r="K357" s="113"/>
      <c r="L357" s="113"/>
      <c r="M357" s="113"/>
      <c r="N357" s="113"/>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228" t="s">
        <v>52</v>
      </c>
      <c r="C359" s="86" t="s">
        <v>43</v>
      </c>
      <c r="D359" s="228"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t="e">
        <f t="shared" ref="B360:D362" si="16">B177</f>
        <v>#DIV/0!</v>
      </c>
      <c r="C360" s="104">
        <f t="shared" si="16"/>
        <v>0</v>
      </c>
      <c r="D360" s="120">
        <f t="shared" si="16"/>
        <v>0</v>
      </c>
      <c r="E360" s="236"/>
      <c r="F360" s="236"/>
      <c r="G360" s="236"/>
      <c r="H360" s="236"/>
      <c r="I360" s="236"/>
      <c r="J360" s="236"/>
      <c r="K360" s="236"/>
      <c r="L360" s="236"/>
      <c r="M360" s="236"/>
      <c r="N360" s="236"/>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t="e">
        <f t="shared" si="16"/>
        <v>#DIV/0!</v>
      </c>
      <c r="C361" s="103">
        <f t="shared" si="16"/>
        <v>0</v>
      </c>
      <c r="D361" s="122">
        <f t="shared" si="16"/>
        <v>0</v>
      </c>
      <c r="E361" s="114" t="s">
        <v>68</v>
      </c>
      <c r="F361" s="133">
        <f>F178</f>
        <v>0</v>
      </c>
      <c r="G361" s="101" t="s">
        <v>69</v>
      </c>
      <c r="H361" s="133" t="e">
        <f>H178</f>
        <v>#DIV/0!</v>
      </c>
      <c r="I361" s="286" t="s">
        <v>444</v>
      </c>
      <c r="J361" s="115" t="s">
        <v>70</v>
      </c>
      <c r="K361" s="133">
        <f>K178</f>
        <v>0</v>
      </c>
      <c r="L361" s="101" t="s">
        <v>69</v>
      </c>
      <c r="M361" s="134" t="e">
        <f>M178</f>
        <v>#DIV/0!</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t="e">
        <f t="shared" si="16"/>
        <v>#DIV/0!</v>
      </c>
      <c r="C362" s="129">
        <f t="shared" si="16"/>
        <v>0</v>
      </c>
      <c r="D362" s="122">
        <f t="shared" si="16"/>
        <v>0</v>
      </c>
      <c r="E362" s="236"/>
      <c r="F362" s="236"/>
      <c r="G362" s="236"/>
      <c r="H362" s="236"/>
      <c r="I362" s="236"/>
      <c r="J362" s="236"/>
      <c r="K362" s="236"/>
      <c r="L362" s="236"/>
      <c r="M362" s="236"/>
      <c r="N362" s="236"/>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t="e">
        <f>SUM(B360:B362)</f>
        <v>#DIV/0!</v>
      </c>
      <c r="C363" s="132">
        <f>SUM(C360:C362)</f>
        <v>0</v>
      </c>
      <c r="D363" s="86"/>
      <c r="E363" s="236"/>
      <c r="F363" s="1206" t="str">
        <f>A181</f>
        <v>GRAMOS PROT/KG P.I</v>
      </c>
      <c r="G363" s="1206"/>
      <c r="H363" s="1206"/>
      <c r="I363" s="1206"/>
      <c r="J363" s="168">
        <f>D181</f>
        <v>0</v>
      </c>
      <c r="K363" s="236" t="s">
        <v>69</v>
      </c>
      <c r="L363" s="236"/>
      <c r="M363" s="236"/>
      <c r="N363" s="236"/>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236"/>
      <c r="F364" s="236"/>
      <c r="G364" s="236"/>
      <c r="H364" s="236"/>
      <c r="I364" s="236"/>
      <c r="J364" s="236"/>
      <c r="K364" s="236"/>
      <c r="L364" s="236"/>
      <c r="M364" s="236"/>
      <c r="N364" s="236"/>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NTTA DTTA VICTOR HUGO HERNANDEZ MARTINEZ</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522"/>
      <c r="B370" s="522"/>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269"/>
      <c r="X371" s="269"/>
      <c r="Y371" s="269"/>
      <c r="Z371" s="269"/>
      <c r="AA371" s="269"/>
      <c r="AB371" s="269"/>
      <c r="AC371" s="269"/>
      <c r="AD371" s="269"/>
      <c r="AE371" s="269"/>
      <c r="AF371" s="269"/>
      <c r="AG371" s="248"/>
      <c r="AH371" s="248"/>
      <c r="AI371" s="248"/>
      <c r="AJ371" s="248"/>
      <c r="AK371" s="248"/>
      <c r="AL371" s="248"/>
      <c r="AM371" s="248"/>
      <c r="AN371" s="248"/>
      <c r="AO371" s="248"/>
      <c r="AP371" s="248"/>
      <c r="AQ371" s="248"/>
      <c r="AR371" s="248"/>
      <c r="AS371" s="248"/>
      <c r="AT371" s="248"/>
      <c r="AU371" s="248"/>
      <c r="AV371" s="248"/>
      <c r="AW371" s="248"/>
      <c r="AX371" s="248"/>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269"/>
      <c r="X372" s="269"/>
      <c r="Y372" s="269"/>
      <c r="Z372" s="269"/>
      <c r="AA372" s="269"/>
      <c r="AB372" s="269"/>
      <c r="AC372" s="269"/>
      <c r="AD372" s="269"/>
      <c r="AE372" s="269"/>
      <c r="AF372" s="269"/>
      <c r="AG372" s="248"/>
      <c r="AH372" s="248"/>
      <c r="AI372" s="248"/>
      <c r="AJ372" s="248"/>
      <c r="AK372" s="248"/>
      <c r="AL372" s="248"/>
      <c r="AM372" s="248"/>
      <c r="AN372" s="248"/>
      <c r="AO372" s="248"/>
      <c r="AP372" s="248"/>
      <c r="AQ372" s="248"/>
      <c r="AR372" s="248"/>
      <c r="AS372" s="248"/>
      <c r="AT372" s="248"/>
      <c r="AU372" s="248"/>
      <c r="AV372" s="248"/>
      <c r="AW372" s="248"/>
      <c r="AX372" s="248"/>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269"/>
      <c r="X373" s="269"/>
      <c r="Y373" s="269"/>
      <c r="Z373" s="269"/>
      <c r="AA373" s="269"/>
      <c r="AB373" s="269"/>
      <c r="AC373" s="269"/>
      <c r="AD373" s="269"/>
      <c r="AE373" s="269"/>
      <c r="AF373" s="269"/>
      <c r="AG373" s="248"/>
      <c r="AH373" s="248"/>
      <c r="AI373" s="248"/>
      <c r="AJ373" s="248"/>
      <c r="AK373" s="248"/>
      <c r="AL373" s="248"/>
      <c r="AM373" s="248"/>
      <c r="AN373" s="248"/>
      <c r="AO373" s="248"/>
      <c r="AP373" s="248"/>
      <c r="AQ373" s="248"/>
      <c r="AR373" s="248"/>
      <c r="AS373" s="248"/>
      <c r="AT373" s="248"/>
      <c r="AU373" s="248"/>
      <c r="AV373" s="248"/>
      <c r="AW373" s="248"/>
      <c r="AX373" s="248"/>
    </row>
    <row r="374" spans="1:50">
      <c r="A374" s="86" t="s">
        <v>2</v>
      </c>
      <c r="B374" s="1209" t="str">
        <f>B4</f>
        <v>LUIS ALEJANDRO JUAREZ</v>
      </c>
      <c r="C374" s="1209"/>
      <c r="D374" s="1209"/>
      <c r="E374" s="1209"/>
      <c r="F374" s="1209"/>
      <c r="G374" s="1209"/>
      <c r="H374" s="1209"/>
      <c r="I374" s="1209"/>
      <c r="J374" s="221"/>
      <c r="K374" s="221" t="s">
        <v>291</v>
      </c>
      <c r="L374" s="1210" t="str">
        <f>M4</f>
        <v>4808 89 0625 3M12 ORD</v>
      </c>
      <c r="M374" s="1210"/>
      <c r="N374" s="1210"/>
      <c r="O374" s="280"/>
      <c r="P374" s="280"/>
      <c r="Q374" s="280"/>
      <c r="R374" s="280"/>
      <c r="S374" s="280"/>
      <c r="T374" s="280"/>
      <c r="U374" s="280"/>
      <c r="V374" s="280"/>
      <c r="W374" s="269"/>
      <c r="X374" s="269"/>
      <c r="Y374" s="269"/>
      <c r="Z374" s="269"/>
      <c r="AA374" s="269"/>
      <c r="AB374" s="269"/>
      <c r="AC374" s="269"/>
      <c r="AD374" s="269"/>
      <c r="AE374" s="269"/>
      <c r="AF374" s="269"/>
      <c r="AG374" s="248"/>
      <c r="AH374" s="248"/>
      <c r="AI374" s="248"/>
      <c r="AJ374" s="248"/>
      <c r="AK374" s="248"/>
      <c r="AL374" s="248"/>
      <c r="AM374" s="248"/>
      <c r="AN374" s="248"/>
      <c r="AO374" s="248"/>
      <c r="AP374" s="248"/>
      <c r="AQ374" s="248"/>
      <c r="AR374" s="248"/>
      <c r="AS374" s="248"/>
      <c r="AT374" s="248"/>
      <c r="AU374" s="248"/>
      <c r="AV374" s="248"/>
      <c r="AW374" s="248"/>
      <c r="AX374" s="248"/>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269"/>
      <c r="X375" s="269"/>
      <c r="Y375" s="269"/>
      <c r="Z375" s="269"/>
      <c r="AA375" s="269"/>
      <c r="AB375" s="269"/>
      <c r="AC375" s="269"/>
      <c r="AD375" s="269"/>
      <c r="AE375" s="269"/>
      <c r="AF375" s="269"/>
      <c r="AG375" s="248"/>
      <c r="AH375" s="248"/>
      <c r="AI375" s="248"/>
      <c r="AJ375" s="248"/>
      <c r="AK375" s="248"/>
      <c r="AL375" s="248"/>
      <c r="AM375" s="248"/>
      <c r="AN375" s="248"/>
      <c r="AO375" s="248"/>
      <c r="AP375" s="248"/>
      <c r="AQ375" s="248"/>
      <c r="AR375" s="248"/>
      <c r="AS375" s="248"/>
      <c r="AT375" s="248"/>
      <c r="AU375" s="248"/>
      <c r="AV375" s="248"/>
      <c r="AW375" s="248"/>
      <c r="AX375" s="248"/>
    </row>
    <row r="376" spans="1:50">
      <c r="A376" s="238" t="s">
        <v>4</v>
      </c>
      <c r="B376" s="267">
        <v>7.916666666666667</v>
      </c>
      <c r="C376" s="264"/>
      <c r="D376" s="264"/>
      <c r="E376" s="264"/>
      <c r="F376" s="264"/>
      <c r="G376" s="264"/>
      <c r="H376" s="238"/>
      <c r="I376" s="238"/>
      <c r="J376" s="238"/>
      <c r="K376" s="248"/>
      <c r="L376" s="248"/>
      <c r="M376" s="248"/>
      <c r="N376" s="248"/>
      <c r="O376" s="280"/>
      <c r="P376" s="280"/>
      <c r="Q376" s="280"/>
      <c r="R376" s="280"/>
      <c r="S376" s="280"/>
      <c r="T376" s="280"/>
      <c r="U376" s="280"/>
      <c r="V376" s="280"/>
      <c r="W376" s="269"/>
      <c r="X376" s="269"/>
      <c r="Y376" s="269"/>
      <c r="Z376" s="269"/>
      <c r="AA376" s="269"/>
      <c r="AB376" s="269"/>
      <c r="AC376" s="269"/>
      <c r="AD376" s="269"/>
      <c r="AE376" s="269"/>
      <c r="AF376" s="269"/>
      <c r="AG376" s="248"/>
      <c r="AH376" s="248"/>
      <c r="AI376" s="248"/>
      <c r="AJ376" s="248"/>
      <c r="AK376" s="248"/>
      <c r="AL376" s="248"/>
      <c r="AM376" s="248"/>
      <c r="AN376" s="248"/>
      <c r="AO376" s="248"/>
      <c r="AP376" s="248"/>
      <c r="AQ376" s="248"/>
      <c r="AR376" s="248"/>
      <c r="AS376" s="248"/>
      <c r="AT376" s="248"/>
      <c r="AU376" s="248"/>
      <c r="AV376" s="248"/>
      <c r="AW376" s="248"/>
      <c r="AX376" s="248"/>
    </row>
    <row r="377" spans="1:50">
      <c r="A377" s="238" t="s">
        <v>430</v>
      </c>
      <c r="B377" s="264">
        <f>D12</f>
        <v>11</v>
      </c>
      <c r="C377" s="264">
        <v>17.7</v>
      </c>
      <c r="D377" s="264"/>
      <c r="E377" s="264"/>
      <c r="F377" s="264"/>
      <c r="G377" s="264"/>
      <c r="H377" s="238"/>
      <c r="I377" s="238"/>
      <c r="J377" s="238"/>
      <c r="K377" s="248"/>
      <c r="L377" s="248"/>
      <c r="M377" s="248"/>
      <c r="N377" s="248"/>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92</v>
      </c>
      <c r="C378" s="264">
        <v>117</v>
      </c>
      <c r="D378" s="264"/>
      <c r="E378" s="264"/>
      <c r="F378" s="264"/>
      <c r="G378" s="264"/>
      <c r="H378" s="238"/>
      <c r="I378" s="238"/>
      <c r="J378" s="238"/>
      <c r="K378" s="248"/>
      <c r="L378" s="248"/>
      <c r="M378" s="248"/>
      <c r="N378" s="248"/>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1.2996219281663517E-3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248"/>
      <c r="L379" s="248"/>
      <c r="M379" s="248"/>
      <c r="N379" s="248"/>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1"/>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1"/>
      <c r="P387" s="215"/>
      <c r="Q387" s="215"/>
      <c r="R387" s="215"/>
      <c r="S387" s="215"/>
      <c r="T387" s="215"/>
      <c r="U387" s="215"/>
      <c r="V387" s="215"/>
      <c r="W387" s="80"/>
      <c r="X387" s="80"/>
      <c r="Y387" s="80"/>
      <c r="Z387" s="80"/>
      <c r="AA387" s="80"/>
      <c r="AB387" s="80"/>
      <c r="AC387" s="80"/>
      <c r="AD387" s="80"/>
      <c r="AE387" s="80"/>
      <c r="AF387" s="80"/>
    </row>
    <row r="388" spans="1:32">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ht="15" customHeight="1">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82"/>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82"/>
      <c r="P393" s="215"/>
      <c r="Q393" s="215"/>
      <c r="R393" s="215"/>
      <c r="S393" s="215"/>
      <c r="T393" s="215"/>
      <c r="U393" s="215"/>
      <c r="V393" s="215"/>
      <c r="W393" s="80"/>
      <c r="X393" s="80"/>
      <c r="Y393" s="80"/>
      <c r="Z393" s="80"/>
      <c r="AA393" s="80"/>
      <c r="AB393" s="80"/>
      <c r="AC393" s="80"/>
      <c r="AD393" s="80"/>
      <c r="AE393" s="80"/>
      <c r="AF393" s="80"/>
    </row>
    <row r="394" spans="1:32">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ht="15" customHeight="1">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86"/>
      <c r="B415" s="86"/>
      <c r="C415" s="86"/>
      <c r="D415" s="86"/>
      <c r="E415" s="86"/>
      <c r="F415" s="86"/>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6"/>
      <c r="B416" s="86"/>
      <c r="C416" s="86"/>
      <c r="D416" s="86"/>
      <c r="E416" s="86"/>
      <c r="F416" s="86"/>
      <c r="G416" s="86"/>
      <c r="H416" s="86"/>
      <c r="I416" s="86"/>
      <c r="J416" s="86"/>
      <c r="K416" s="86"/>
      <c r="L416" s="86"/>
      <c r="M416" s="86"/>
      <c r="N416" s="86"/>
      <c r="O416" s="215"/>
      <c r="P416" s="215"/>
      <c r="Q416" s="215"/>
      <c r="R416" s="215"/>
      <c r="S416" s="215"/>
      <c r="T416" s="215"/>
      <c r="U416" s="215"/>
      <c r="V416" s="215"/>
      <c r="W416" s="80"/>
      <c r="X416" s="80"/>
      <c r="Y416" s="80"/>
      <c r="Z416" s="80"/>
      <c r="AA416" s="80"/>
      <c r="AB416" s="80"/>
      <c r="AC416" s="80"/>
      <c r="AD416" s="80"/>
      <c r="AE416" s="80"/>
      <c r="AF416" s="80"/>
    </row>
    <row r="417" spans="1:32">
      <c r="A417" s="1047" t="s">
        <v>404</v>
      </c>
      <c r="B417" s="1047"/>
      <c r="C417" s="1047"/>
      <c r="D417" s="1047"/>
      <c r="E417" s="1047"/>
      <c r="F417" s="86" t="str">
        <f>C43</f>
        <v>NTTA DTTA VICTOR HUGO HERNANDEZ MARTINEZ</v>
      </c>
      <c r="G417" s="86"/>
      <c r="H417" s="86"/>
      <c r="I417" s="86"/>
      <c r="J417" s="86"/>
      <c r="K417" s="86"/>
      <c r="L417" s="86"/>
      <c r="M417" s="86"/>
      <c r="N417" s="86"/>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85"/>
      <c r="B445" s="85"/>
      <c r="C445" s="85"/>
      <c r="D445" s="85"/>
      <c r="E445" s="85"/>
      <c r="F445" s="85"/>
      <c r="G445" s="85"/>
      <c r="H445" s="85"/>
      <c r="I445" s="85"/>
      <c r="J445" s="85"/>
      <c r="K445" s="85"/>
      <c r="L445" s="85"/>
      <c r="M445" s="85"/>
      <c r="N445" s="85"/>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85"/>
      <c r="G446" s="85"/>
      <c r="H446" s="85"/>
      <c r="I446" s="85"/>
      <c r="J446" s="85"/>
      <c r="K446" s="85"/>
      <c r="L446" s="85"/>
      <c r="M446" s="85"/>
      <c r="N446" s="85"/>
      <c r="O446" s="215"/>
      <c r="P446" s="215"/>
      <c r="Q446" s="215"/>
      <c r="R446" s="215"/>
      <c r="S446" s="215"/>
      <c r="T446" s="215"/>
      <c r="U446" s="215"/>
      <c r="V446" s="215"/>
      <c r="W446" s="80"/>
      <c r="X446" s="80"/>
      <c r="Y446" s="80"/>
      <c r="Z446" s="80"/>
      <c r="AA446" s="80"/>
      <c r="AB446" s="80"/>
      <c r="AC446" s="80"/>
      <c r="AD446" s="80"/>
      <c r="AE446" s="80"/>
      <c r="AF446" s="80"/>
    </row>
    <row r="447" spans="1:32">
      <c r="A447" s="1207"/>
      <c r="B447" s="1207"/>
      <c r="C447" s="1207"/>
      <c r="D447" s="1207"/>
      <c r="E447" s="1207"/>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1208"/>
      <c r="G451" s="1208"/>
      <c r="H451" s="1208"/>
      <c r="I451" s="1208"/>
      <c r="J451" s="1208"/>
      <c r="K451" s="1208"/>
      <c r="L451" s="1208"/>
      <c r="M451" s="1208"/>
      <c r="N451" s="1208"/>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1208"/>
      <c r="G452" s="1208"/>
      <c r="H452" s="1208"/>
      <c r="I452" s="1208"/>
      <c r="J452" s="1208"/>
      <c r="K452" s="1208"/>
      <c r="L452" s="1208"/>
      <c r="M452" s="1208"/>
      <c r="N452" s="1208"/>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A468" s="85"/>
      <c r="B468" s="85"/>
      <c r="C468" s="85"/>
      <c r="D468" s="85"/>
      <c r="E468" s="85"/>
      <c r="F468" s="85"/>
      <c r="G468" s="85"/>
      <c r="H468" s="85"/>
      <c r="I468" s="85"/>
      <c r="J468" s="85"/>
      <c r="K468" s="85"/>
      <c r="L468" s="85"/>
      <c r="M468" s="85"/>
      <c r="N468" s="85"/>
      <c r="O468" s="215"/>
      <c r="P468" s="215"/>
      <c r="Q468" s="215"/>
      <c r="R468" s="215"/>
      <c r="S468" s="215"/>
      <c r="T468" s="215"/>
      <c r="U468" s="215"/>
      <c r="V468" s="215"/>
      <c r="W468" s="80"/>
      <c r="X468" s="80"/>
      <c r="Y468" s="80"/>
      <c r="Z468" s="80"/>
      <c r="AA468" s="80"/>
      <c r="AB468" s="80"/>
      <c r="AC468" s="80"/>
      <c r="AD468" s="80"/>
      <c r="AE468" s="80"/>
      <c r="AF468" s="80"/>
    </row>
    <row r="469" spans="1:32">
      <c r="A469" s="85"/>
      <c r="B469" s="85"/>
      <c r="C469" s="85"/>
      <c r="D469" s="85"/>
      <c r="E469" s="85"/>
      <c r="F469" s="85"/>
      <c r="G469" s="85"/>
      <c r="H469" s="85"/>
      <c r="I469" s="85"/>
      <c r="J469" s="85"/>
      <c r="K469" s="85"/>
      <c r="L469" s="85"/>
      <c r="M469" s="85"/>
      <c r="N469" s="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6" t="s">
        <v>171</v>
      </c>
      <c r="B471" s="986"/>
      <c r="C471" s="986"/>
      <c r="D471" s="986"/>
      <c r="E471" s="985" t="s">
        <v>172</v>
      </c>
      <c r="F471" s="985"/>
      <c r="G471" s="985"/>
      <c r="H471" s="985"/>
      <c r="I471" s="985"/>
      <c r="J471" s="985"/>
      <c r="K471" s="985"/>
      <c r="L471" s="985"/>
      <c r="M471" s="985"/>
      <c r="N471" s="985"/>
      <c r="O471" s="215"/>
      <c r="P471" s="215"/>
      <c r="Q471" s="215"/>
      <c r="R471" s="215"/>
      <c r="S471" s="215"/>
      <c r="T471" s="215"/>
      <c r="U471" s="215"/>
      <c r="V471" s="215"/>
      <c r="W471" s="80"/>
      <c r="X471" s="80"/>
      <c r="Y471" s="80"/>
      <c r="Z471" s="80"/>
      <c r="AA471" s="80"/>
      <c r="AB471" s="80"/>
      <c r="AC471" s="80"/>
      <c r="AD471" s="80"/>
      <c r="AE471" s="80"/>
      <c r="AF471" s="80"/>
    </row>
    <row r="472" spans="1:32">
      <c r="O472" s="215"/>
      <c r="P472" s="215"/>
      <c r="Q472" s="215"/>
      <c r="R472" s="215"/>
      <c r="S472" s="215"/>
      <c r="T472" s="215"/>
      <c r="U472" s="215"/>
      <c r="V472" s="215"/>
      <c r="W472" s="80"/>
      <c r="X472" s="80"/>
      <c r="Y472" s="80"/>
      <c r="Z472" s="80"/>
      <c r="AA472" s="80"/>
      <c r="AB472" s="80"/>
      <c r="AC472" s="80"/>
      <c r="AD472" s="80"/>
      <c r="AE472" s="80"/>
      <c r="AF472" s="80"/>
    </row>
    <row r="473" spans="1:32">
      <c r="A473" s="981" t="s">
        <v>173</v>
      </c>
      <c r="B473" s="981"/>
      <c r="C473" s="981"/>
      <c r="D473" s="981"/>
      <c r="E473" s="1026" t="s">
        <v>174</v>
      </c>
      <c r="F473" s="1026"/>
      <c r="G473" s="1026"/>
      <c r="H473" s="1026"/>
      <c r="I473" s="1026"/>
      <c r="J473" s="1026"/>
      <c r="K473" s="1026"/>
      <c r="L473" s="1026"/>
      <c r="M473" s="1026"/>
      <c r="N473" s="1026"/>
      <c r="O473" s="215"/>
      <c r="P473" s="215"/>
      <c r="Q473" s="215"/>
      <c r="R473" s="215"/>
      <c r="S473" s="215"/>
      <c r="T473" s="215"/>
      <c r="U473" s="215"/>
      <c r="V473" s="215"/>
      <c r="W473" s="80"/>
      <c r="X473" s="80"/>
      <c r="Y473" s="80"/>
      <c r="Z473" s="80"/>
      <c r="AA473" s="80"/>
      <c r="AB473" s="80"/>
      <c r="AC473" s="80"/>
      <c r="AD473" s="80"/>
      <c r="AE473" s="80"/>
      <c r="AF473" s="80"/>
    </row>
    <row r="474" spans="1:32">
      <c r="E474" s="1026"/>
      <c r="F474" s="1026"/>
      <c r="G474" s="1026"/>
      <c r="H474" s="1026"/>
      <c r="I474" s="1026"/>
      <c r="J474" s="1026"/>
      <c r="K474" s="1026"/>
      <c r="L474" s="1026"/>
      <c r="M474" s="1026"/>
      <c r="N474" s="1026"/>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6" t="s">
        <v>175</v>
      </c>
      <c r="B476" s="996"/>
      <c r="C476" s="996"/>
      <c r="D476" s="996"/>
      <c r="E476" s="997" t="s">
        <v>176</v>
      </c>
      <c r="F476" s="997"/>
      <c r="G476" s="997"/>
      <c r="H476" s="997"/>
      <c r="I476" s="997"/>
      <c r="J476" s="997"/>
      <c r="K476" s="997"/>
      <c r="L476" s="997"/>
      <c r="M476" s="997"/>
      <c r="N476" s="997"/>
      <c r="O476" s="215"/>
      <c r="P476" s="215"/>
      <c r="Q476" s="215"/>
      <c r="R476" s="215"/>
      <c r="S476" s="215"/>
      <c r="T476" s="215"/>
      <c r="U476" s="215"/>
      <c r="V476" s="215"/>
      <c r="W476" s="80"/>
      <c r="X476" s="80"/>
      <c r="Y476" s="80"/>
      <c r="Z476" s="80"/>
      <c r="AA476" s="80"/>
      <c r="AB476" s="80"/>
      <c r="AC476" s="80"/>
      <c r="AD476" s="80"/>
      <c r="AE476" s="80"/>
      <c r="AF476" s="80"/>
    </row>
    <row r="477" spans="1:32">
      <c r="O477" s="215"/>
      <c r="P477" s="215"/>
      <c r="Q477" s="215"/>
      <c r="R477" s="215"/>
      <c r="S477" s="215"/>
      <c r="T477" s="215"/>
      <c r="U477" s="215"/>
      <c r="V477" s="215"/>
      <c r="W477" s="80"/>
      <c r="X477" s="80"/>
      <c r="Y477" s="80"/>
      <c r="Z477" s="80"/>
      <c r="AA477" s="80"/>
      <c r="AB477" s="80"/>
      <c r="AC477" s="80"/>
      <c r="AD477" s="80"/>
      <c r="AE477" s="80"/>
      <c r="AF477" s="80"/>
    </row>
    <row r="478" spans="1:32">
      <c r="A478" s="995" t="s">
        <v>177</v>
      </c>
      <c r="B478" s="995"/>
      <c r="C478" s="995"/>
      <c r="D478" s="995"/>
      <c r="E478" s="992" t="s">
        <v>178</v>
      </c>
      <c r="F478" s="992"/>
      <c r="G478" s="992"/>
      <c r="H478" s="992"/>
      <c r="I478" s="992"/>
      <c r="J478" s="992"/>
      <c r="K478" s="992"/>
      <c r="L478" s="992"/>
      <c r="M478" s="992"/>
      <c r="N478" s="992"/>
      <c r="O478" s="215"/>
      <c r="P478" s="215"/>
      <c r="Q478" s="215"/>
      <c r="R478" s="215"/>
      <c r="S478" s="215"/>
      <c r="T478" s="215"/>
      <c r="U478" s="215"/>
      <c r="V478" s="215"/>
      <c r="W478" s="80"/>
      <c r="X478" s="80"/>
      <c r="Y478" s="80"/>
      <c r="Z478" s="80"/>
      <c r="AA478" s="80"/>
      <c r="AB478" s="80"/>
      <c r="AC478" s="80"/>
      <c r="AD478" s="80"/>
      <c r="AE478" s="80"/>
      <c r="AF478" s="80"/>
    </row>
    <row r="479" spans="1:32">
      <c r="E479" s="992"/>
      <c r="F479" s="992"/>
      <c r="G479" s="992"/>
      <c r="H479" s="992"/>
      <c r="I479" s="992"/>
      <c r="J479" s="992"/>
      <c r="K479" s="992"/>
      <c r="L479" s="992"/>
      <c r="M479" s="992"/>
      <c r="N479" s="992"/>
      <c r="O479" s="215"/>
      <c r="P479" s="215"/>
      <c r="Q479" s="215"/>
      <c r="R479" s="215"/>
      <c r="S479" s="215"/>
      <c r="T479" s="215"/>
      <c r="U479" s="215"/>
      <c r="V479" s="215"/>
      <c r="W479" s="80"/>
      <c r="X479" s="80"/>
      <c r="Y479" s="80"/>
      <c r="Z479" s="80"/>
      <c r="AA479" s="80"/>
      <c r="AB479" s="80"/>
      <c r="AC479" s="80"/>
      <c r="AD479" s="80"/>
      <c r="AE479" s="80"/>
      <c r="AF479" s="80"/>
    </row>
    <row r="480" spans="1:32">
      <c r="O480" s="215"/>
      <c r="P480" s="215"/>
      <c r="Q480" s="215"/>
      <c r="R480" s="215"/>
      <c r="S480" s="215"/>
      <c r="T480" s="215"/>
      <c r="U480" s="215"/>
      <c r="V480" s="215"/>
      <c r="W480" s="80"/>
      <c r="X480" s="80"/>
      <c r="Y480" s="80"/>
      <c r="Z480" s="80"/>
      <c r="AA480" s="80"/>
      <c r="AB480" s="80"/>
      <c r="AC480" s="80"/>
      <c r="AD480" s="80"/>
      <c r="AE480" s="80"/>
      <c r="AF480" s="80"/>
    </row>
    <row r="481" spans="1:32">
      <c r="A481" s="981" t="s">
        <v>179</v>
      </c>
      <c r="B481" s="981"/>
      <c r="C481" s="981"/>
      <c r="D481" s="981"/>
      <c r="E481" s="998" t="s">
        <v>180</v>
      </c>
      <c r="F481" s="998"/>
      <c r="G481" s="998"/>
      <c r="H481" s="998"/>
      <c r="I481" s="998"/>
      <c r="J481" s="998"/>
      <c r="K481" s="998"/>
      <c r="L481" s="998"/>
      <c r="M481" s="998"/>
      <c r="N481" s="998"/>
      <c r="O481" s="215"/>
      <c r="P481" s="215"/>
      <c r="Q481" s="215"/>
      <c r="R481" s="215"/>
      <c r="S481" s="215"/>
      <c r="T481" s="215"/>
      <c r="U481" s="215"/>
      <c r="V481" s="215"/>
      <c r="W481" s="80"/>
      <c r="X481" s="80"/>
      <c r="Y481" s="80"/>
      <c r="Z481" s="80"/>
      <c r="AA481" s="80"/>
      <c r="AB481" s="80"/>
      <c r="AC481" s="80"/>
      <c r="AD481" s="80"/>
      <c r="AE481" s="80"/>
      <c r="AF481" s="80"/>
    </row>
    <row r="482" spans="1:32">
      <c r="E482" s="998"/>
      <c r="F482" s="998"/>
      <c r="G482" s="998"/>
      <c r="H482" s="998"/>
      <c r="I482" s="998"/>
      <c r="J482" s="998"/>
      <c r="K482" s="998"/>
      <c r="L482" s="998"/>
      <c r="M482" s="998"/>
      <c r="N482" s="998"/>
      <c r="O482" s="215"/>
      <c r="P482" s="215"/>
      <c r="Q482" s="215"/>
      <c r="R482" s="215"/>
      <c r="S482" s="215"/>
      <c r="T482" s="215"/>
      <c r="U482" s="215"/>
      <c r="V482" s="215"/>
      <c r="W482" s="80"/>
      <c r="X482" s="80"/>
      <c r="Y482" s="80"/>
      <c r="Z482" s="80"/>
      <c r="AA482" s="80"/>
      <c r="AB482" s="80"/>
      <c r="AC482" s="80"/>
      <c r="AD482" s="80"/>
      <c r="AE482" s="80"/>
      <c r="AF482" s="80"/>
    </row>
    <row r="483" spans="1:32">
      <c r="O483" s="215"/>
      <c r="P483" s="215"/>
      <c r="Q483" s="215"/>
      <c r="R483" s="215"/>
      <c r="S483" s="215"/>
      <c r="T483" s="215"/>
      <c r="U483" s="215"/>
      <c r="V483" s="215"/>
      <c r="W483" s="80"/>
      <c r="X483" s="80"/>
      <c r="Y483" s="80"/>
      <c r="Z483" s="80"/>
      <c r="AA483" s="80"/>
      <c r="AB483" s="80"/>
      <c r="AC483" s="80"/>
      <c r="AD483" s="80"/>
      <c r="AE483" s="80"/>
      <c r="AF483" s="80"/>
    </row>
    <row r="484" spans="1:32">
      <c r="A484" s="981" t="s">
        <v>181</v>
      </c>
      <c r="B484" s="981"/>
      <c r="C484" s="981"/>
      <c r="D484" s="981"/>
      <c r="E484" s="992" t="s">
        <v>182</v>
      </c>
      <c r="F484" s="992"/>
      <c r="G484" s="992"/>
      <c r="H484" s="992"/>
      <c r="I484" s="992"/>
      <c r="J484" s="992"/>
      <c r="K484" s="992"/>
      <c r="L484" s="992"/>
      <c r="M484" s="992"/>
      <c r="N484" s="992"/>
      <c r="O484" s="215"/>
      <c r="P484" s="215"/>
      <c r="Q484" s="215"/>
      <c r="R484" s="215"/>
      <c r="S484" s="215"/>
      <c r="T484" s="215"/>
      <c r="U484" s="215"/>
      <c r="V484" s="215"/>
      <c r="W484" s="80"/>
      <c r="X484" s="80"/>
      <c r="Y484" s="80"/>
      <c r="Z484" s="80"/>
      <c r="AA484" s="80"/>
      <c r="AB484" s="80"/>
      <c r="AC484" s="80"/>
      <c r="AD484" s="80"/>
      <c r="AE484" s="80"/>
      <c r="AF484" s="80"/>
    </row>
    <row r="485" spans="1:32">
      <c r="E485" s="992"/>
      <c r="F485" s="992"/>
      <c r="G485" s="992"/>
      <c r="H485" s="992"/>
      <c r="I485" s="992"/>
      <c r="J485" s="992"/>
      <c r="K485" s="992"/>
      <c r="L485" s="992"/>
      <c r="M485" s="992"/>
      <c r="N485" s="992"/>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4" t="s">
        <v>20</v>
      </c>
      <c r="B487" s="994"/>
      <c r="C487" s="994"/>
      <c r="D487" s="994"/>
      <c r="O487" s="215"/>
      <c r="P487" s="215"/>
      <c r="Q487" s="215"/>
      <c r="R487" s="215"/>
      <c r="S487" s="215"/>
      <c r="T487" s="215"/>
      <c r="U487" s="215"/>
      <c r="V487" s="215"/>
      <c r="W487" s="80"/>
      <c r="X487" s="80"/>
      <c r="Y487" s="80"/>
      <c r="Z487" s="80"/>
      <c r="AA487" s="80"/>
      <c r="AB487" s="80"/>
      <c r="AC487" s="80"/>
      <c r="AD487" s="80"/>
      <c r="AE487" s="80"/>
      <c r="AF487" s="80"/>
    </row>
    <row r="488" spans="1:32">
      <c r="O488" s="215"/>
      <c r="P488" s="215"/>
      <c r="Q488" s="215"/>
      <c r="R488" s="215"/>
      <c r="S488" s="215"/>
      <c r="T488" s="215"/>
      <c r="U488" s="215"/>
      <c r="V488" s="215"/>
      <c r="W488" s="80"/>
      <c r="X488" s="80"/>
      <c r="Y488" s="80"/>
      <c r="Z488" s="80"/>
      <c r="AA488" s="80"/>
      <c r="AB488" s="80"/>
      <c r="AC488" s="80"/>
      <c r="AD488" s="80"/>
      <c r="AE488" s="80"/>
      <c r="AF488" s="80"/>
    </row>
    <row r="489" spans="1:32">
      <c r="A489" s="995" t="s">
        <v>183</v>
      </c>
      <c r="B489" s="995"/>
      <c r="C489" s="995"/>
      <c r="D489" s="995"/>
      <c r="E489" s="985" t="s">
        <v>184</v>
      </c>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E493" s="985"/>
      <c r="F493" s="985"/>
      <c r="G493" s="985"/>
      <c r="H493" s="985"/>
      <c r="I493" s="985"/>
      <c r="J493" s="985"/>
      <c r="K493" s="985"/>
      <c r="L493" s="985"/>
      <c r="M493" s="985"/>
      <c r="N493" s="985"/>
      <c r="O493" s="215"/>
      <c r="P493" s="215"/>
      <c r="Q493" s="215"/>
      <c r="R493" s="215"/>
      <c r="S493" s="215"/>
      <c r="T493" s="215"/>
      <c r="U493" s="215"/>
      <c r="V493" s="215"/>
      <c r="W493" s="80"/>
      <c r="X493" s="80"/>
      <c r="Y493" s="80"/>
      <c r="Z493" s="80"/>
      <c r="AA493" s="80"/>
      <c r="AB493" s="80"/>
      <c r="AC493" s="80"/>
      <c r="AD493" s="80"/>
      <c r="AE493" s="80"/>
      <c r="AF493" s="80"/>
    </row>
    <row r="494" spans="1:32">
      <c r="E494" s="985"/>
      <c r="F494" s="985"/>
      <c r="G494" s="985"/>
      <c r="H494" s="985"/>
      <c r="I494" s="985"/>
      <c r="J494" s="985"/>
      <c r="K494" s="985"/>
      <c r="L494" s="985"/>
      <c r="M494" s="985"/>
      <c r="N494" s="985"/>
      <c r="O494" s="215"/>
      <c r="P494" s="215"/>
      <c r="Q494" s="215"/>
      <c r="R494" s="215"/>
      <c r="S494" s="215"/>
      <c r="T494" s="215"/>
      <c r="U494" s="215"/>
      <c r="V494" s="215"/>
      <c r="W494" s="80"/>
      <c r="X494" s="80"/>
      <c r="Y494" s="80"/>
      <c r="Z494" s="80"/>
      <c r="AA494" s="80"/>
      <c r="AB494" s="80"/>
      <c r="AC494" s="80"/>
      <c r="AD494" s="80"/>
      <c r="AE494" s="80"/>
      <c r="AF494" s="80"/>
    </row>
    <row r="495" spans="1:32">
      <c r="O495" s="215"/>
      <c r="P495" s="215"/>
      <c r="Q495" s="215"/>
      <c r="R495" s="215"/>
      <c r="S495" s="215"/>
      <c r="T495" s="215"/>
      <c r="U495" s="215"/>
      <c r="V495" s="215"/>
      <c r="W495" s="80"/>
      <c r="X495" s="80"/>
      <c r="Y495" s="80"/>
      <c r="Z495" s="80"/>
      <c r="AA495" s="80"/>
      <c r="AB495" s="80"/>
      <c r="AC495" s="80"/>
      <c r="AD495" s="80"/>
      <c r="AE495" s="80"/>
      <c r="AF495" s="80"/>
    </row>
    <row r="496" spans="1:32">
      <c r="O496" s="215"/>
      <c r="P496" s="215"/>
      <c r="Q496" s="215"/>
      <c r="R496" s="215"/>
      <c r="S496" s="215"/>
      <c r="T496" s="215"/>
      <c r="U496" s="215"/>
      <c r="V496" s="215"/>
      <c r="W496" s="80"/>
      <c r="X496" s="80"/>
      <c r="Y496" s="80"/>
      <c r="Z496" s="80"/>
      <c r="AA496" s="80"/>
      <c r="AB496" s="80"/>
      <c r="AC496" s="80"/>
      <c r="AD496" s="80"/>
      <c r="AE496" s="80"/>
      <c r="AF496" s="80"/>
    </row>
    <row r="497" spans="1:32">
      <c r="A497" s="995" t="s">
        <v>185</v>
      </c>
      <c r="B497" s="995"/>
      <c r="C497" s="995"/>
      <c r="D497" s="995"/>
      <c r="E497" s="992" t="s">
        <v>186</v>
      </c>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c r="E503" s="992"/>
      <c r="F503" s="992"/>
      <c r="G503" s="992"/>
      <c r="H503" s="992"/>
      <c r="I503" s="992"/>
      <c r="J503" s="992"/>
      <c r="K503" s="992"/>
      <c r="L503" s="992"/>
      <c r="M503" s="992"/>
      <c r="N503" s="992"/>
      <c r="O503" s="215"/>
      <c r="P503" s="215"/>
      <c r="Q503" s="215"/>
      <c r="R503" s="215"/>
      <c r="S503" s="215"/>
      <c r="T503" s="215"/>
      <c r="U503" s="215"/>
      <c r="V503" s="215"/>
      <c r="W503" s="80"/>
      <c r="X503" s="80"/>
      <c r="Y503" s="80"/>
      <c r="Z503" s="80"/>
      <c r="AA503" s="80"/>
      <c r="AB503" s="80"/>
      <c r="AC503" s="80"/>
      <c r="AD503" s="80"/>
      <c r="AE503" s="80"/>
      <c r="AF503" s="80"/>
    </row>
    <row r="504" spans="1:32">
      <c r="E504" s="992"/>
      <c r="F504" s="992"/>
      <c r="G504" s="992"/>
      <c r="H504" s="992"/>
      <c r="I504" s="992"/>
      <c r="J504" s="992"/>
      <c r="K504" s="992"/>
      <c r="L504" s="992"/>
      <c r="M504" s="992"/>
      <c r="N504" s="992"/>
      <c r="O504" s="215"/>
      <c r="P504" s="215"/>
      <c r="Q504" s="215"/>
      <c r="R504" s="215"/>
      <c r="S504" s="215"/>
      <c r="T504" s="215"/>
      <c r="U504" s="215"/>
      <c r="V504" s="215"/>
      <c r="W504" s="80"/>
      <c r="X504" s="80"/>
      <c r="Y504" s="80"/>
      <c r="Z504" s="80"/>
      <c r="AA504" s="80"/>
      <c r="AB504" s="80"/>
      <c r="AC504" s="80"/>
      <c r="AD504" s="80"/>
      <c r="AE504" s="80"/>
      <c r="AF504" s="80"/>
    </row>
    <row r="505" spans="1:32" ht="15.75" thickBot="1">
      <c r="O505" s="215"/>
      <c r="P505" s="215"/>
      <c r="Q505" s="215"/>
      <c r="R505" s="215"/>
      <c r="S505" s="215"/>
      <c r="T505" s="215"/>
      <c r="U505" s="215"/>
      <c r="V505" s="215"/>
      <c r="W505" s="80"/>
      <c r="X505" s="80"/>
      <c r="Y505" s="80"/>
      <c r="Z505" s="80"/>
      <c r="AA505" s="80"/>
      <c r="AB505" s="80"/>
      <c r="AC505" s="80"/>
      <c r="AD505" s="80"/>
      <c r="AE505" s="80"/>
      <c r="AF505" s="80"/>
    </row>
    <row r="506" spans="1:32" ht="15.75" thickBot="1">
      <c r="A506" s="986" t="s">
        <v>187</v>
      </c>
      <c r="B506" s="986"/>
      <c r="C506" s="986"/>
      <c r="D506" s="986"/>
      <c r="E506" s="990" t="s">
        <v>188</v>
      </c>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ht="15.75" thickBot="1">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ht="15.75" thickBot="1">
      <c r="E508" s="990"/>
      <c r="F508" s="990"/>
      <c r="G508" s="990"/>
      <c r="H508" s="990"/>
      <c r="I508" s="990"/>
      <c r="J508" s="990"/>
      <c r="K508" s="990"/>
      <c r="L508" s="990"/>
      <c r="M508" s="990"/>
      <c r="N508" s="990"/>
      <c r="O508" s="215"/>
      <c r="P508" s="215"/>
      <c r="Q508" s="215"/>
      <c r="R508" s="215"/>
      <c r="S508" s="215"/>
      <c r="T508" s="215"/>
      <c r="U508" s="215"/>
      <c r="V508" s="215"/>
      <c r="W508" s="80"/>
      <c r="X508" s="80"/>
      <c r="Y508" s="80"/>
      <c r="Z508" s="80"/>
      <c r="AA508" s="80"/>
      <c r="AB508" s="80"/>
      <c r="AC508" s="80"/>
      <c r="AD508" s="80"/>
      <c r="AE508" s="80"/>
      <c r="AF508" s="80"/>
    </row>
    <row r="509" spans="1:32">
      <c r="E509" s="990"/>
      <c r="F509" s="990"/>
      <c r="G509" s="990"/>
      <c r="H509" s="990"/>
      <c r="I509" s="990"/>
      <c r="J509" s="990"/>
      <c r="K509" s="990"/>
      <c r="L509" s="990"/>
      <c r="M509" s="990"/>
      <c r="N509" s="990"/>
      <c r="O509" s="215"/>
      <c r="P509" s="215"/>
      <c r="Q509" s="215"/>
      <c r="R509" s="215"/>
      <c r="S509" s="215"/>
      <c r="T509" s="215"/>
      <c r="U509" s="215"/>
      <c r="V509" s="215"/>
      <c r="W509" s="80"/>
      <c r="X509" s="80"/>
      <c r="Y509" s="80"/>
      <c r="Z509" s="80"/>
      <c r="AA509" s="80"/>
      <c r="AB509" s="80"/>
      <c r="AC509" s="80"/>
      <c r="AD509" s="80"/>
      <c r="AE509" s="80"/>
      <c r="AF509" s="80"/>
    </row>
    <row r="510" spans="1:32">
      <c r="E510" s="32"/>
      <c r="F510" s="32"/>
      <c r="G510" s="32"/>
      <c r="H510" s="32"/>
      <c r="I510" s="32"/>
      <c r="J510" s="32"/>
      <c r="K510" s="32"/>
      <c r="L510" s="32"/>
      <c r="M510" s="32"/>
      <c r="N510" s="32"/>
      <c r="O510" s="215"/>
      <c r="P510" s="215"/>
      <c r="Q510" s="215"/>
      <c r="R510" s="215"/>
      <c r="S510" s="215"/>
      <c r="T510" s="215"/>
      <c r="U510" s="215"/>
      <c r="V510" s="215"/>
      <c r="W510" s="80"/>
      <c r="X510" s="80"/>
      <c r="Y510" s="80"/>
      <c r="Z510" s="80"/>
      <c r="AA510" s="80"/>
      <c r="AB510" s="80"/>
      <c r="AC510" s="80"/>
      <c r="AD510" s="80"/>
      <c r="AE510" s="80"/>
      <c r="AF510" s="80"/>
    </row>
    <row r="511" spans="1:32">
      <c r="A511" s="991" t="s">
        <v>189</v>
      </c>
      <c r="B511" s="991"/>
      <c r="C511" s="991"/>
      <c r="D511" s="991"/>
      <c r="E511" s="992" t="s">
        <v>190</v>
      </c>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A512" s="33"/>
      <c r="B512" s="33"/>
      <c r="C512" s="33"/>
      <c r="D512" s="33"/>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c r="E513" s="992"/>
      <c r="F513" s="992"/>
      <c r="G513" s="992"/>
      <c r="H513" s="992"/>
      <c r="I513" s="992"/>
      <c r="J513" s="992"/>
      <c r="K513" s="992"/>
      <c r="L513" s="992"/>
      <c r="M513" s="992"/>
      <c r="N513" s="992"/>
      <c r="O513" s="215"/>
      <c r="P513" s="215"/>
      <c r="Q513" s="215"/>
      <c r="R513" s="215"/>
      <c r="S513" s="215"/>
      <c r="T513" s="215"/>
      <c r="U513" s="215"/>
      <c r="V513" s="215"/>
      <c r="W513" s="80"/>
      <c r="X513" s="80"/>
      <c r="Y513" s="80"/>
      <c r="Z513" s="80"/>
      <c r="AA513" s="80"/>
      <c r="AB513" s="80"/>
      <c r="AC513" s="80"/>
      <c r="AD513" s="80"/>
      <c r="AE513" s="80"/>
      <c r="AF513" s="80"/>
    </row>
    <row r="514" spans="1:32">
      <c r="E514" s="992"/>
      <c r="F514" s="992"/>
      <c r="G514" s="992"/>
      <c r="H514" s="992"/>
      <c r="I514" s="992"/>
      <c r="J514" s="992"/>
      <c r="K514" s="992"/>
      <c r="L514" s="992"/>
      <c r="M514" s="992"/>
      <c r="N514" s="992"/>
      <c r="O514" s="215"/>
      <c r="P514" s="215"/>
      <c r="Q514" s="215"/>
      <c r="R514" s="215"/>
      <c r="S514" s="215"/>
      <c r="T514" s="215"/>
      <c r="U514" s="215"/>
      <c r="V514" s="215"/>
      <c r="W514" s="80"/>
      <c r="X514" s="80"/>
      <c r="Y514" s="80"/>
      <c r="Z514" s="80"/>
      <c r="AA514" s="80"/>
      <c r="AB514" s="80"/>
      <c r="AC514" s="80"/>
      <c r="AD514" s="80"/>
      <c r="AE514" s="80"/>
      <c r="AF514" s="80"/>
    </row>
    <row r="515" spans="1:32" ht="15.75" thickBot="1">
      <c r="O515" s="215"/>
      <c r="P515" s="215"/>
      <c r="Q515" s="215"/>
      <c r="R515" s="215"/>
      <c r="S515" s="215"/>
      <c r="T515" s="215"/>
      <c r="U515" s="215"/>
      <c r="V515" s="215"/>
      <c r="W515" s="80"/>
      <c r="X515" s="80"/>
      <c r="Y515" s="80"/>
      <c r="Z515" s="80"/>
      <c r="AA515" s="80"/>
      <c r="AB515" s="80"/>
      <c r="AC515" s="80"/>
      <c r="AD515" s="80"/>
      <c r="AE515" s="80"/>
      <c r="AF515" s="80"/>
    </row>
    <row r="516" spans="1:32" ht="15.75" thickBot="1">
      <c r="A516" s="986" t="s">
        <v>191</v>
      </c>
      <c r="B516" s="986"/>
      <c r="C516" s="986"/>
      <c r="D516" s="986"/>
      <c r="E516" s="993" t="s">
        <v>192</v>
      </c>
      <c r="F516" s="993"/>
      <c r="G516" s="993"/>
      <c r="H516" s="993"/>
      <c r="I516" s="993"/>
      <c r="J516" s="993"/>
      <c r="K516" s="993"/>
      <c r="L516" s="993"/>
      <c r="M516" s="993"/>
      <c r="N516" s="993"/>
      <c r="O516" s="215"/>
      <c r="P516" s="215"/>
      <c r="Q516" s="215"/>
      <c r="R516" s="215"/>
      <c r="S516" s="215"/>
      <c r="T516" s="215"/>
      <c r="U516" s="215"/>
      <c r="V516" s="215"/>
      <c r="W516" s="80"/>
      <c r="X516" s="80"/>
      <c r="Y516" s="80"/>
      <c r="Z516" s="80"/>
      <c r="AA516" s="80"/>
      <c r="AB516" s="80"/>
      <c r="AC516" s="80"/>
      <c r="AD516" s="80"/>
      <c r="AE516" s="80"/>
      <c r="AF516" s="80"/>
    </row>
    <row r="517" spans="1:32">
      <c r="O517" s="215"/>
      <c r="P517" s="215"/>
      <c r="Q517" s="215"/>
      <c r="R517" s="215"/>
      <c r="S517" s="215"/>
      <c r="T517" s="215"/>
      <c r="U517" s="215"/>
      <c r="V517" s="215"/>
      <c r="W517" s="80"/>
      <c r="X517" s="80"/>
      <c r="Y517" s="80"/>
      <c r="Z517" s="80"/>
      <c r="AA517" s="80"/>
      <c r="AB517" s="80"/>
      <c r="AC517" s="80"/>
      <c r="AD517" s="80"/>
      <c r="AE517" s="80"/>
      <c r="AF517" s="80"/>
    </row>
    <row r="518" spans="1:32">
      <c r="A518" s="981" t="s">
        <v>193</v>
      </c>
      <c r="B518" s="981"/>
      <c r="C518" s="981"/>
      <c r="D518" s="981"/>
      <c r="E518" s="985" t="s">
        <v>194</v>
      </c>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c r="C525" s="4"/>
      <c r="E525" s="985"/>
      <c r="F525" s="985"/>
      <c r="G525" s="985"/>
      <c r="H525" s="985"/>
      <c r="I525" s="985"/>
      <c r="J525" s="985"/>
      <c r="K525" s="985"/>
      <c r="L525" s="985"/>
      <c r="M525" s="985"/>
      <c r="N525" s="985"/>
      <c r="O525" s="215"/>
      <c r="P525" s="215"/>
      <c r="Q525" s="215"/>
      <c r="R525" s="215"/>
      <c r="S525" s="215"/>
      <c r="T525" s="215"/>
      <c r="U525" s="215"/>
      <c r="V525" s="215"/>
      <c r="W525" s="80"/>
      <c r="X525" s="80"/>
      <c r="Y525" s="80"/>
      <c r="Z525" s="80"/>
      <c r="AA525" s="80"/>
      <c r="AB525" s="80"/>
      <c r="AC525" s="80"/>
      <c r="AD525" s="80"/>
      <c r="AE525" s="80"/>
      <c r="AF525" s="80"/>
    </row>
    <row r="526" spans="1:32">
      <c r="E526" s="985"/>
      <c r="F526" s="985"/>
      <c r="G526" s="985"/>
      <c r="H526" s="985"/>
      <c r="I526" s="985"/>
      <c r="J526" s="985"/>
      <c r="K526" s="985"/>
      <c r="L526" s="985"/>
      <c r="M526" s="985"/>
      <c r="N526" s="985"/>
      <c r="O526" s="215"/>
      <c r="P526" s="215"/>
      <c r="Q526" s="215"/>
      <c r="R526" s="215"/>
      <c r="S526" s="215"/>
      <c r="T526" s="215"/>
      <c r="U526" s="215"/>
      <c r="V526" s="215"/>
      <c r="W526" s="80"/>
      <c r="X526" s="80"/>
      <c r="Y526" s="80"/>
      <c r="Z526" s="80"/>
      <c r="AA526" s="80"/>
      <c r="AB526" s="80"/>
      <c r="AC526" s="80"/>
      <c r="AD526" s="80"/>
      <c r="AE526" s="80"/>
      <c r="AF526" s="80"/>
    </row>
    <row r="527" spans="1:32" ht="15.75" thickBot="1">
      <c r="E527" s="32"/>
      <c r="F527" s="32"/>
      <c r="G527" s="32"/>
      <c r="H527" s="32"/>
      <c r="I527" s="32"/>
      <c r="J527" s="32"/>
      <c r="K527" s="32"/>
      <c r="L527" s="32"/>
      <c r="M527" s="32"/>
      <c r="N527" s="32"/>
      <c r="O527" s="215"/>
      <c r="P527" s="215"/>
      <c r="Q527" s="215"/>
      <c r="R527" s="215"/>
      <c r="S527" s="215"/>
      <c r="T527" s="215"/>
      <c r="U527" s="215"/>
      <c r="V527" s="215"/>
      <c r="W527" s="80"/>
      <c r="X527" s="80"/>
      <c r="Y527" s="80"/>
      <c r="Z527" s="80"/>
      <c r="AA527" s="80"/>
      <c r="AB527" s="80"/>
      <c r="AC527" s="80"/>
      <c r="AD527" s="80"/>
      <c r="AE527" s="80"/>
      <c r="AF527" s="80"/>
    </row>
    <row r="528" spans="1:32" ht="15.75" thickBot="1">
      <c r="A528" s="986" t="s">
        <v>195</v>
      </c>
      <c r="B528" s="986"/>
      <c r="C528" s="986"/>
      <c r="D528" s="986"/>
      <c r="E528" s="987" t="s">
        <v>196</v>
      </c>
      <c r="F528" s="987"/>
      <c r="G528" s="987"/>
      <c r="H528" s="987"/>
      <c r="I528" s="987"/>
      <c r="J528" s="987"/>
      <c r="K528" s="987"/>
      <c r="L528" s="987"/>
      <c r="M528" s="987"/>
      <c r="N528" s="987"/>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c r="O530" s="215"/>
      <c r="P530" s="215"/>
      <c r="Q530" s="215"/>
      <c r="R530" s="215"/>
      <c r="S530" s="215"/>
      <c r="T530" s="215"/>
      <c r="U530" s="215"/>
      <c r="V530" s="215"/>
      <c r="W530" s="80"/>
      <c r="X530" s="80"/>
      <c r="Y530" s="80"/>
      <c r="Z530" s="80"/>
      <c r="AA530" s="80"/>
      <c r="AB530" s="80"/>
      <c r="AC530" s="80"/>
      <c r="AD530" s="80"/>
      <c r="AE530" s="80"/>
      <c r="AF530" s="80"/>
    </row>
    <row r="531" spans="1:32">
      <c r="O531" s="215"/>
      <c r="P531" s="215"/>
      <c r="Q531" s="215"/>
      <c r="R531" s="215"/>
      <c r="S531" s="215"/>
      <c r="T531" s="215"/>
      <c r="U531" s="215"/>
      <c r="V531" s="215"/>
      <c r="W531" s="80"/>
      <c r="X531" s="80"/>
      <c r="Y531" s="80"/>
      <c r="Z531" s="80"/>
      <c r="AA531" s="80"/>
      <c r="AB531" s="80"/>
      <c r="AC531" s="80"/>
      <c r="AD531" s="80"/>
      <c r="AE531" s="80"/>
      <c r="AF531" s="80"/>
    </row>
    <row r="532" spans="1:32" ht="15.75">
      <c r="A532" s="988" t="s">
        <v>29</v>
      </c>
      <c r="B532" s="988"/>
      <c r="O532" s="215"/>
      <c r="P532" s="215"/>
      <c r="Q532" s="215"/>
      <c r="R532" s="215"/>
      <c r="S532" s="215"/>
      <c r="T532" s="215"/>
      <c r="U532" s="215"/>
      <c r="V532" s="215"/>
      <c r="W532" s="80"/>
      <c r="X532" s="80"/>
      <c r="Y532" s="80"/>
      <c r="Z532" s="80"/>
      <c r="AA532" s="80"/>
      <c r="AB532" s="80"/>
      <c r="AC532" s="80"/>
      <c r="AD532" s="80"/>
      <c r="AE532" s="80"/>
      <c r="AF532" s="80"/>
    </row>
    <row r="533" spans="1:32" ht="15.75" thickBot="1">
      <c r="O533" s="215"/>
      <c r="P533" s="215"/>
      <c r="Q533" s="215"/>
      <c r="R533" s="215"/>
      <c r="S533" s="215"/>
      <c r="T533" s="215"/>
      <c r="U533" s="215"/>
      <c r="V533" s="215"/>
      <c r="W533" s="80"/>
      <c r="X533" s="80"/>
      <c r="Y533" s="80"/>
      <c r="Z533" s="80"/>
      <c r="AA533" s="80"/>
      <c r="AB533" s="80"/>
      <c r="AC533" s="80"/>
      <c r="AD533" s="80"/>
      <c r="AE533" s="80"/>
      <c r="AF533" s="80"/>
    </row>
    <row r="534" spans="1:32" ht="15.75" thickBot="1">
      <c r="A534" s="989" t="s">
        <v>197</v>
      </c>
      <c r="B534" s="989"/>
      <c r="C534" s="989"/>
      <c r="D534" s="989"/>
      <c r="E534" s="989"/>
      <c r="F534" s="34" t="s">
        <v>198</v>
      </c>
      <c r="G534" s="35"/>
      <c r="H534" s="35"/>
      <c r="I534" s="35"/>
      <c r="J534" s="35"/>
      <c r="K534" s="35"/>
      <c r="L534" s="35"/>
      <c r="M534" s="35"/>
      <c r="N534" s="35"/>
      <c r="O534" s="215"/>
      <c r="P534" s="215"/>
      <c r="Q534" s="215"/>
      <c r="R534" s="215"/>
      <c r="S534" s="215"/>
      <c r="T534" s="215"/>
      <c r="U534" s="215"/>
      <c r="V534" s="215"/>
      <c r="W534" s="80"/>
      <c r="X534" s="80"/>
      <c r="Y534" s="80"/>
      <c r="Z534" s="80"/>
      <c r="AA534" s="80"/>
      <c r="AB534" s="80"/>
      <c r="AC534" s="80"/>
      <c r="AD534" s="80"/>
      <c r="AE534" s="80"/>
      <c r="AF534" s="80"/>
    </row>
    <row r="535" spans="1:32">
      <c r="O535" s="215"/>
      <c r="P535" s="215"/>
      <c r="Q535" s="215"/>
      <c r="R535" s="215"/>
      <c r="S535" s="215"/>
      <c r="T535" s="215"/>
      <c r="U535" s="215"/>
      <c r="V535" s="215"/>
      <c r="W535" s="80"/>
      <c r="X535" s="80"/>
      <c r="Y535" s="80"/>
      <c r="Z535" s="80"/>
      <c r="AA535" s="80"/>
      <c r="AB535" s="80"/>
      <c r="AC535" s="80"/>
      <c r="AD535" s="80"/>
      <c r="AE535" s="80"/>
      <c r="AF535" s="80"/>
    </row>
    <row r="536" spans="1:32">
      <c r="A536" s="981" t="s">
        <v>199</v>
      </c>
      <c r="B536" s="981"/>
      <c r="C536" s="981"/>
      <c r="D536" s="981"/>
      <c r="E536" s="981"/>
      <c r="F536" s="982" t="s">
        <v>200</v>
      </c>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F537" s="982"/>
      <c r="G537" s="982"/>
      <c r="H537" s="982"/>
      <c r="I537" s="982"/>
      <c r="J537" s="982"/>
      <c r="K537" s="982"/>
      <c r="L537" s="982"/>
      <c r="M537" s="982"/>
      <c r="N537" s="982"/>
      <c r="O537" s="215"/>
      <c r="P537" s="215"/>
      <c r="Q537" s="215"/>
      <c r="R537" s="215"/>
      <c r="S537" s="215"/>
      <c r="T537" s="215"/>
      <c r="U537" s="215"/>
      <c r="V537" s="215"/>
      <c r="W537" s="80"/>
      <c r="X537" s="80"/>
      <c r="Y537" s="80"/>
      <c r="Z537" s="80"/>
      <c r="AA537" s="80"/>
      <c r="AB537" s="80"/>
      <c r="AC537" s="80"/>
      <c r="AD537" s="80"/>
      <c r="AE537" s="80"/>
      <c r="AF537" s="80"/>
    </row>
    <row r="538" spans="1:32">
      <c r="F538" s="982"/>
      <c r="G538" s="982"/>
      <c r="H538" s="982"/>
      <c r="I538" s="982"/>
      <c r="J538" s="982"/>
      <c r="K538" s="982"/>
      <c r="L538" s="982"/>
      <c r="M538" s="982"/>
      <c r="N538" s="982"/>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A540" s="983" t="s">
        <v>31</v>
      </c>
      <c r="B540" s="983"/>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O542" s="215"/>
      <c r="P542" s="215"/>
      <c r="Q542" s="215"/>
      <c r="R542" s="215"/>
      <c r="S542" s="215"/>
      <c r="T542" s="215"/>
      <c r="U542" s="215"/>
      <c r="V542" s="215"/>
      <c r="W542" s="80"/>
      <c r="X542" s="80"/>
      <c r="Y542" s="80"/>
      <c r="Z542" s="80"/>
      <c r="AA542" s="80"/>
      <c r="AB542" s="80"/>
      <c r="AC542" s="80"/>
      <c r="AD542" s="80"/>
      <c r="AE542" s="80"/>
      <c r="AF542" s="80"/>
    </row>
    <row r="543" spans="1:32">
      <c r="O543" s="215"/>
      <c r="P543" s="215"/>
      <c r="Q543" s="215"/>
      <c r="R543" s="215"/>
      <c r="S543" s="215"/>
      <c r="T543" s="215"/>
      <c r="U543" s="215"/>
      <c r="V543" s="215"/>
      <c r="W543" s="80"/>
      <c r="X543" s="80"/>
      <c r="Y543" s="80"/>
      <c r="Z543" s="80"/>
      <c r="AA543" s="80"/>
      <c r="AB543" s="80"/>
      <c r="AC543" s="80"/>
      <c r="AD543" s="80"/>
      <c r="AE543" s="80"/>
      <c r="AF543" s="80"/>
    </row>
    <row r="544" spans="1:32">
      <c r="A544" s="984" t="s">
        <v>32</v>
      </c>
      <c r="B544" s="984"/>
      <c r="C544" s="984"/>
      <c r="D544" s="984"/>
      <c r="E544" s="984"/>
      <c r="O544" s="215"/>
      <c r="P544" s="215"/>
      <c r="Q544" s="215"/>
      <c r="R544" s="215"/>
      <c r="S544" s="215"/>
      <c r="T544" s="215"/>
      <c r="U544" s="215"/>
      <c r="V544" s="215"/>
      <c r="W544" s="80"/>
      <c r="X544" s="80"/>
      <c r="Y544" s="80"/>
      <c r="Z544" s="80"/>
      <c r="AA544" s="80"/>
      <c r="AB544" s="80"/>
      <c r="AC544" s="80"/>
      <c r="AD544" s="80"/>
      <c r="AE544" s="80"/>
      <c r="AF544" s="80"/>
    </row>
    <row r="545" spans="1:32">
      <c r="I545" s="4"/>
      <c r="O545" s="215"/>
      <c r="P545" s="215"/>
      <c r="Q545" s="215"/>
      <c r="R545" s="215"/>
      <c r="S545" s="215"/>
      <c r="T545" s="215"/>
      <c r="U545" s="215"/>
      <c r="V545" s="215"/>
      <c r="W545" s="80"/>
      <c r="X545" s="80"/>
      <c r="Y545" s="80"/>
      <c r="Z545" s="80"/>
      <c r="AA545" s="80"/>
      <c r="AB545" s="80"/>
      <c r="AC545" s="80"/>
      <c r="AD545" s="80"/>
      <c r="AE545" s="80"/>
      <c r="AF545" s="80"/>
    </row>
    <row r="546" spans="1:32">
      <c r="O546" s="215"/>
      <c r="P546" s="215"/>
      <c r="Q546" s="215"/>
      <c r="R546" s="215"/>
      <c r="S546" s="215"/>
      <c r="T546" s="215"/>
      <c r="U546" s="215"/>
      <c r="V546" s="215"/>
      <c r="W546" s="80"/>
      <c r="X546" s="80"/>
      <c r="Y546" s="80"/>
      <c r="Z546" s="80"/>
      <c r="AA546" s="80"/>
      <c r="AB546" s="80"/>
      <c r="AC546" s="80"/>
      <c r="AD546" s="80"/>
      <c r="AE546" s="80"/>
      <c r="AF546" s="80"/>
    </row>
    <row r="547" spans="1:32">
      <c r="A547" s="981" t="s">
        <v>201</v>
      </c>
      <c r="B547" s="981"/>
      <c r="C547" s="981"/>
      <c r="D547" s="981"/>
      <c r="E547" s="981"/>
      <c r="F547" s="985" t="s">
        <v>202</v>
      </c>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985"/>
      <c r="G553" s="985"/>
      <c r="H553" s="985"/>
      <c r="I553" s="985"/>
      <c r="J553" s="985"/>
      <c r="K553" s="985"/>
      <c r="L553" s="985"/>
      <c r="M553" s="985"/>
      <c r="N553" s="985"/>
      <c r="O553" s="215"/>
      <c r="P553" s="215"/>
      <c r="Q553" s="215"/>
      <c r="R553" s="215"/>
      <c r="S553" s="215"/>
      <c r="T553" s="215"/>
      <c r="U553" s="215"/>
      <c r="V553" s="215"/>
      <c r="W553" s="80"/>
      <c r="X553" s="80"/>
      <c r="Y553" s="80"/>
      <c r="Z553" s="80"/>
      <c r="AA553" s="80"/>
      <c r="AB553" s="80"/>
      <c r="AC553" s="80"/>
      <c r="AD553" s="80"/>
      <c r="AE553" s="80"/>
      <c r="AF553" s="80"/>
    </row>
    <row r="554" spans="1:32">
      <c r="F554" s="985"/>
      <c r="G554" s="985"/>
      <c r="H554" s="985"/>
      <c r="I554" s="985"/>
      <c r="J554" s="985"/>
      <c r="K554" s="985"/>
      <c r="L554" s="985"/>
      <c r="M554" s="985"/>
      <c r="N554" s="985"/>
      <c r="O554" s="215"/>
      <c r="P554" s="215"/>
      <c r="Q554" s="215"/>
      <c r="R554" s="215"/>
      <c r="S554" s="215"/>
      <c r="T554" s="215"/>
      <c r="U554" s="215"/>
      <c r="V554" s="215"/>
      <c r="W554" s="80"/>
      <c r="X554" s="80"/>
      <c r="Y554" s="80"/>
      <c r="Z554" s="80"/>
      <c r="AA554" s="80"/>
      <c r="AB554" s="80"/>
      <c r="AC554" s="80"/>
      <c r="AD554" s="80"/>
      <c r="AE554" s="80"/>
      <c r="AF554" s="80"/>
    </row>
    <row r="555" spans="1:32">
      <c r="F555" s="32"/>
      <c r="G555" s="32"/>
      <c r="H555" s="32"/>
      <c r="I555" s="32"/>
      <c r="J555" s="32"/>
      <c r="K555" s="32"/>
      <c r="L555" s="32"/>
      <c r="M555" s="32"/>
      <c r="N555" s="32"/>
      <c r="O555" s="215"/>
      <c r="P555" s="215"/>
      <c r="Q555" s="215"/>
      <c r="R555" s="215"/>
      <c r="S555" s="215"/>
      <c r="T555" s="215"/>
      <c r="U555" s="215"/>
      <c r="V555" s="215"/>
      <c r="W555" s="80"/>
      <c r="X555" s="80"/>
      <c r="Y555" s="80"/>
      <c r="Z555" s="80"/>
      <c r="AA555" s="80"/>
      <c r="AB555" s="80"/>
      <c r="AC555" s="80"/>
      <c r="AD555" s="80"/>
      <c r="AE555" s="80"/>
      <c r="AF555" s="80"/>
    </row>
    <row r="556" spans="1:32">
      <c r="A556" s="981" t="s">
        <v>203</v>
      </c>
      <c r="B556" s="981"/>
      <c r="C556" s="981"/>
      <c r="D556" s="981"/>
      <c r="E556" s="981"/>
      <c r="F556" s="982" t="s">
        <v>204</v>
      </c>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O558" s="215"/>
      <c r="P558" s="215"/>
      <c r="Q558" s="215"/>
      <c r="R558" s="215"/>
      <c r="S558" s="215"/>
      <c r="T558" s="215"/>
      <c r="U558" s="215"/>
      <c r="V558" s="215"/>
      <c r="W558" s="80"/>
      <c r="X558" s="80"/>
      <c r="Y558" s="80"/>
      <c r="Z558" s="80"/>
      <c r="AA558" s="80"/>
      <c r="AB558" s="80"/>
      <c r="AC558" s="80"/>
      <c r="AD558" s="80"/>
      <c r="AE558" s="80"/>
      <c r="AF558" s="80"/>
    </row>
    <row r="559" spans="1:32">
      <c r="F559" s="982"/>
      <c r="G559" s="982"/>
      <c r="H559" s="982"/>
      <c r="I559" s="982"/>
      <c r="J559" s="982"/>
      <c r="K559" s="982"/>
      <c r="L559" s="982"/>
      <c r="M559" s="982"/>
      <c r="N559" s="982"/>
      <c r="O559" s="215"/>
      <c r="P559" s="215"/>
      <c r="Q559" s="215"/>
      <c r="R559" s="215"/>
      <c r="S559" s="215"/>
      <c r="T559" s="215"/>
      <c r="U559" s="215"/>
      <c r="V559" s="215"/>
      <c r="W559" s="80"/>
      <c r="X559" s="80"/>
      <c r="Y559" s="80"/>
      <c r="Z559" s="80"/>
      <c r="AA559" s="80"/>
      <c r="AB559" s="80"/>
      <c r="AC559" s="80"/>
      <c r="AD559" s="80"/>
      <c r="AE559" s="80"/>
      <c r="AF559" s="80"/>
    </row>
    <row r="560" spans="1:32">
      <c r="F560" s="982"/>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1:32">
      <c r="Q561" s="80"/>
      <c r="R561" s="80"/>
      <c r="S561" s="80"/>
      <c r="T561" s="80"/>
      <c r="U561" s="80"/>
      <c r="V561" s="80"/>
      <c r="W561" s="80"/>
      <c r="X561" s="80"/>
      <c r="Y561" s="80"/>
      <c r="Z561" s="80"/>
      <c r="AA561" s="80"/>
      <c r="AB561" s="80"/>
      <c r="AC561" s="80"/>
      <c r="AD561" s="80"/>
      <c r="AE561" s="80"/>
      <c r="AF561" s="80"/>
    </row>
    <row r="562" spans="1:32">
      <c r="A562" s="981" t="s">
        <v>205</v>
      </c>
      <c r="B562" s="981"/>
      <c r="C562" s="981"/>
      <c r="D562" s="981"/>
      <c r="E562" s="981"/>
      <c r="F562" s="982" t="s">
        <v>206</v>
      </c>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1: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1: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1: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row r="566" spans="1:32">
      <c r="F566" s="982"/>
      <c r="G566" s="982"/>
      <c r="H566" s="982"/>
      <c r="I566" s="982"/>
      <c r="J566" s="982"/>
      <c r="K566" s="982"/>
      <c r="L566" s="982"/>
      <c r="M566" s="982"/>
      <c r="N566" s="982"/>
      <c r="Q566" s="80"/>
      <c r="R566" s="80"/>
      <c r="S566" s="80"/>
      <c r="T566" s="80"/>
      <c r="U566" s="80"/>
      <c r="V566" s="80"/>
      <c r="W566" s="80"/>
      <c r="X566" s="80"/>
      <c r="Y566" s="80"/>
      <c r="Z566" s="80"/>
      <c r="AA566" s="80"/>
      <c r="AB566" s="80"/>
      <c r="AC566" s="80"/>
      <c r="AD566" s="80"/>
      <c r="AE566" s="80"/>
      <c r="AF566" s="80"/>
    </row>
    <row r="567" spans="1:32">
      <c r="F567" s="982"/>
      <c r="G567" s="982"/>
      <c r="H567" s="982"/>
      <c r="I567" s="982"/>
      <c r="J567" s="982"/>
      <c r="K567" s="982"/>
      <c r="L567" s="982"/>
      <c r="M567" s="982"/>
      <c r="N567" s="982"/>
      <c r="Q567" s="80"/>
      <c r="R567" s="80"/>
      <c r="S567" s="80"/>
      <c r="T567" s="80"/>
      <c r="U567" s="80"/>
      <c r="V567" s="80"/>
      <c r="W567" s="80"/>
      <c r="X567" s="80"/>
      <c r="Y567" s="80"/>
      <c r="Z567" s="80"/>
      <c r="AA567" s="80"/>
      <c r="AB567" s="80"/>
      <c r="AC567" s="80"/>
      <c r="AD567" s="80"/>
      <c r="AE567" s="80"/>
      <c r="AF567" s="80"/>
    </row>
  </sheetData>
  <mergeCells count="281">
    <mergeCell ref="O347:AB347"/>
    <mergeCell ref="O348:AB348"/>
    <mergeCell ref="O349:AB349"/>
    <mergeCell ref="O350:AB350"/>
    <mergeCell ref="O351:AB351"/>
    <mergeCell ref="O352:AB352"/>
    <mergeCell ref="O353:AB353"/>
    <mergeCell ref="O354:AB354"/>
    <mergeCell ref="O355:AB355"/>
    <mergeCell ref="B4:I4"/>
    <mergeCell ref="K4:L4"/>
    <mergeCell ref="M4:N4"/>
    <mergeCell ref="H12:I12"/>
    <mergeCell ref="A13:C13"/>
    <mergeCell ref="H13:I13"/>
    <mergeCell ref="B5:C5"/>
    <mergeCell ref="D6:E6"/>
    <mergeCell ref="G6:K6"/>
    <mergeCell ref="D8:E8"/>
    <mergeCell ref="H8:I8"/>
    <mergeCell ref="H11:I11"/>
    <mergeCell ref="A35:B35"/>
    <mergeCell ref="A36:B36"/>
    <mergeCell ref="H36:J36"/>
    <mergeCell ref="L36:M36"/>
    <mergeCell ref="A26:C26"/>
    <mergeCell ref="A27:C27"/>
    <mergeCell ref="A14:C14"/>
    <mergeCell ref="H14:I14"/>
    <mergeCell ref="A19:C19"/>
    <mergeCell ref="F19:M19"/>
    <mergeCell ref="A28:C28"/>
    <mergeCell ref="G20:L20"/>
    <mergeCell ref="E20:F20"/>
    <mergeCell ref="C18:D18"/>
    <mergeCell ref="E21:F21"/>
    <mergeCell ref="A23:L23"/>
    <mergeCell ref="A25:C25"/>
    <mergeCell ref="A43:B43"/>
    <mergeCell ref="A44:E44"/>
    <mergeCell ref="F44:N46"/>
    <mergeCell ref="A58:D58"/>
    <mergeCell ref="A59:C59"/>
    <mergeCell ref="A60:B60"/>
    <mergeCell ref="A37:B37"/>
    <mergeCell ref="A38:B38"/>
    <mergeCell ref="A39:B39"/>
    <mergeCell ref="L39:M39"/>
    <mergeCell ref="A40:B40"/>
    <mergeCell ref="L40:M40"/>
    <mergeCell ref="A71:B71"/>
    <mergeCell ref="A73:B73"/>
    <mergeCell ref="A74:C74"/>
    <mergeCell ref="A75:C75"/>
    <mergeCell ref="A78:B78"/>
    <mergeCell ref="A80:C80"/>
    <mergeCell ref="A62:B62"/>
    <mergeCell ref="A64:B64"/>
    <mergeCell ref="A65:C65"/>
    <mergeCell ref="A66:C66"/>
    <mergeCell ref="A67:B67"/>
    <mergeCell ref="A69:B69"/>
    <mergeCell ref="A94:F94"/>
    <mergeCell ref="D106:E106"/>
    <mergeCell ref="D107:E107"/>
    <mergeCell ref="D108:E108"/>
    <mergeCell ref="A109:F109"/>
    <mergeCell ref="D121:E121"/>
    <mergeCell ref="A83:B83"/>
    <mergeCell ref="C84:F84"/>
    <mergeCell ref="A85:C85"/>
    <mergeCell ref="A88:B88"/>
    <mergeCell ref="A93:C93"/>
    <mergeCell ref="F93:J93"/>
    <mergeCell ref="A140:F140"/>
    <mergeCell ref="A181:C181"/>
    <mergeCell ref="A183:N183"/>
    <mergeCell ref="A184:N184"/>
    <mergeCell ref="A185:N185"/>
    <mergeCell ref="B186:G186"/>
    <mergeCell ref="M186:N186"/>
    <mergeCell ref="D122:E122"/>
    <mergeCell ref="D123:E123"/>
    <mergeCell ref="A124:F124"/>
    <mergeCell ref="D136:E136"/>
    <mergeCell ref="D137:E137"/>
    <mergeCell ref="D138:E138"/>
    <mergeCell ref="A161:D161"/>
    <mergeCell ref="A162:D162"/>
    <mergeCell ref="A158:D158"/>
    <mergeCell ref="A159:D159"/>
    <mergeCell ref="A160:D160"/>
    <mergeCell ref="A191:B191"/>
    <mergeCell ref="C191:D191"/>
    <mergeCell ref="E191:F191"/>
    <mergeCell ref="G191:H191"/>
    <mergeCell ref="I191:K191"/>
    <mergeCell ref="L191:M191"/>
    <mergeCell ref="B187:C187"/>
    <mergeCell ref="K187:L187"/>
    <mergeCell ref="A188:B188"/>
    <mergeCell ref="E188:F188"/>
    <mergeCell ref="I188:J188"/>
    <mergeCell ref="A189:B189"/>
    <mergeCell ref="C189:H189"/>
    <mergeCell ref="I189:K189"/>
    <mergeCell ref="J195:K195"/>
    <mergeCell ref="A196:B196"/>
    <mergeCell ref="J196:K196"/>
    <mergeCell ref="A197:B197"/>
    <mergeCell ref="J197:K197"/>
    <mergeCell ref="A198:B198"/>
    <mergeCell ref="J198:K198"/>
    <mergeCell ref="A192:B192"/>
    <mergeCell ref="J192:K192"/>
    <mergeCell ref="A193:B193"/>
    <mergeCell ref="J193:K193"/>
    <mergeCell ref="A194:B194"/>
    <mergeCell ref="J194:K194"/>
    <mergeCell ref="A210:B210"/>
    <mergeCell ref="A211:B211"/>
    <mergeCell ref="A212:B212"/>
    <mergeCell ref="A213:C213"/>
    <mergeCell ref="A214:B214"/>
    <mergeCell ref="E220:F220"/>
    <mergeCell ref="A199:B199"/>
    <mergeCell ref="J199:K199"/>
    <mergeCell ref="I201:J201"/>
    <mergeCell ref="A206:B206"/>
    <mergeCell ref="A207:B207"/>
    <mergeCell ref="A209:B209"/>
    <mergeCell ref="E227:F227"/>
    <mergeCell ref="E228:F228"/>
    <mergeCell ref="I228:K228"/>
    <mergeCell ref="E229:F229"/>
    <mergeCell ref="I229:K229"/>
    <mergeCell ref="E230:F230"/>
    <mergeCell ref="E221:F221"/>
    <mergeCell ref="E222:F222"/>
    <mergeCell ref="E223:F223"/>
    <mergeCell ref="E224:F224"/>
    <mergeCell ref="E225:F225"/>
    <mergeCell ref="E226:F226"/>
    <mergeCell ref="I253:L253"/>
    <mergeCell ref="I254:L254"/>
    <mergeCell ref="I255:L255"/>
    <mergeCell ref="E231:F231"/>
    <mergeCell ref="E232:F232"/>
    <mergeCell ref="E233:F233"/>
    <mergeCell ref="E234:F234"/>
    <mergeCell ref="E235:G235"/>
    <mergeCell ref="E237:F237"/>
    <mergeCell ref="E238:F238"/>
    <mergeCell ref="E239:F239"/>
    <mergeCell ref="E240:F240"/>
    <mergeCell ref="E241:F241"/>
    <mergeCell ref="E242:F242"/>
    <mergeCell ref="J242:K242"/>
    <mergeCell ref="J243:K243"/>
    <mergeCell ref="I251:L251"/>
    <mergeCell ref="I252:L252"/>
    <mergeCell ref="B280:G280"/>
    <mergeCell ref="I280:J280"/>
    <mergeCell ref="M280:N280"/>
    <mergeCell ref="A281:F281"/>
    <mergeCell ref="D282:E282"/>
    <mergeCell ref="F282:G282"/>
    <mergeCell ref="I282:J282"/>
    <mergeCell ref="K282:M282"/>
    <mergeCell ref="D262:F262"/>
    <mergeCell ref="A272:N272"/>
    <mergeCell ref="A277:N277"/>
    <mergeCell ref="A278:N278"/>
    <mergeCell ref="A279:N279"/>
    <mergeCell ref="A291:B291"/>
    <mergeCell ref="A292:B292"/>
    <mergeCell ref="A293:B293"/>
    <mergeCell ref="L293:M293"/>
    <mergeCell ref="A294:B294"/>
    <mergeCell ref="L294:M294"/>
    <mergeCell ref="E283:F283"/>
    <mergeCell ref="A287:B287"/>
    <mergeCell ref="A289:B289"/>
    <mergeCell ref="A290:B290"/>
    <mergeCell ref="H290:J290"/>
    <mergeCell ref="L290:M290"/>
    <mergeCell ref="A306:D306"/>
    <mergeCell ref="K306:L306"/>
    <mergeCell ref="A307:D307"/>
    <mergeCell ref="K307:L307"/>
    <mergeCell ref="A308:D308"/>
    <mergeCell ref="K308:L308"/>
    <mergeCell ref="A304:D304"/>
    <mergeCell ref="E304:F304"/>
    <mergeCell ref="H304:I304"/>
    <mergeCell ref="K304:M304"/>
    <mergeCell ref="A305:D305"/>
    <mergeCell ref="K305:L305"/>
    <mergeCell ref="A337:C337"/>
    <mergeCell ref="A338:C338"/>
    <mergeCell ref="A339:C339"/>
    <mergeCell ref="A347:N347"/>
    <mergeCell ref="A348:N348"/>
    <mergeCell ref="A349:N349"/>
    <mergeCell ref="A355:N355"/>
    <mergeCell ref="A309:F309"/>
    <mergeCell ref="C310:D310"/>
    <mergeCell ref="F310:N310"/>
    <mergeCell ref="E325:F325"/>
    <mergeCell ref="A326:C326"/>
    <mergeCell ref="A327:C327"/>
    <mergeCell ref="A328:C328"/>
    <mergeCell ref="A329:C329"/>
    <mergeCell ref="A330:C330"/>
    <mergeCell ref="A331:C331"/>
    <mergeCell ref="A332:C332"/>
    <mergeCell ref="A333:C333"/>
    <mergeCell ref="A334:C334"/>
    <mergeCell ref="A335:C335"/>
    <mergeCell ref="A336:C336"/>
    <mergeCell ref="E518:N526"/>
    <mergeCell ref="A478:D478"/>
    <mergeCell ref="E478:N479"/>
    <mergeCell ref="A481:D481"/>
    <mergeCell ref="E481:N482"/>
    <mergeCell ref="A484:D484"/>
    <mergeCell ref="A350:N350"/>
    <mergeCell ref="A351:N351"/>
    <mergeCell ref="A352:N352"/>
    <mergeCell ref="A353:N353"/>
    <mergeCell ref="A354:N354"/>
    <mergeCell ref="A358:E358"/>
    <mergeCell ref="A356:N356"/>
    <mergeCell ref="A562:E562"/>
    <mergeCell ref="F562:N567"/>
    <mergeCell ref="A487:D487"/>
    <mergeCell ref="A489:D489"/>
    <mergeCell ref="E489:N494"/>
    <mergeCell ref="A497:D497"/>
    <mergeCell ref="E497:N504"/>
    <mergeCell ref="A506:D506"/>
    <mergeCell ref="E506:N509"/>
    <mergeCell ref="A511:D511"/>
    <mergeCell ref="E511:N514"/>
    <mergeCell ref="A516:D516"/>
    <mergeCell ref="E516:N516"/>
    <mergeCell ref="A540:B540"/>
    <mergeCell ref="A544:E544"/>
    <mergeCell ref="A547:E547"/>
    <mergeCell ref="F547:N554"/>
    <mergeCell ref="A556:E556"/>
    <mergeCell ref="F536:N538"/>
    <mergeCell ref="F556:N560"/>
    <mergeCell ref="A528:D528"/>
    <mergeCell ref="E528:N528"/>
    <mergeCell ref="A532:B532"/>
    <mergeCell ref="A534:E534"/>
    <mergeCell ref="A536:E536"/>
    <mergeCell ref="E484:N485"/>
    <mergeCell ref="A471:D471"/>
    <mergeCell ref="A340:C340"/>
    <mergeCell ref="A342:D342"/>
    <mergeCell ref="E342:N342"/>
    <mergeCell ref="F363:I363"/>
    <mergeCell ref="E471:N471"/>
    <mergeCell ref="A473:D473"/>
    <mergeCell ref="E473:N474"/>
    <mergeCell ref="A476:D476"/>
    <mergeCell ref="E476:N476"/>
    <mergeCell ref="A447:E447"/>
    <mergeCell ref="F447:N452"/>
    <mergeCell ref="A366:B366"/>
    <mergeCell ref="A368:E368"/>
    <mergeCell ref="A369:B369"/>
    <mergeCell ref="A371:N371"/>
    <mergeCell ref="A372:N372"/>
    <mergeCell ref="A373:N373"/>
    <mergeCell ref="B374:I374"/>
    <mergeCell ref="L374:N374"/>
    <mergeCell ref="A417:E417"/>
    <mergeCell ref="A518:D518"/>
  </mergeCells>
  <dataValidations count="13">
    <dataValidation type="list" allowBlank="1" showInputMessage="1" showErrorMessage="1" sqref="C43">
      <formula1>$O$33:$O$36</formula1>
    </dataValidation>
    <dataValidation type="list" allowBlank="1" showInputMessage="1" showErrorMessage="1" sqref="C369:C370">
      <formula1>$O$363:$O$364</formula1>
    </dataValidation>
    <dataValidation type="list" allowBlank="1" showInputMessage="1" showErrorMessage="1" sqref="L294:M294 L40:M41">
      <formula1>$R$279:$R$280</formula1>
    </dataValidation>
    <dataValidation type="list" allowBlank="1" showInputMessage="1" showErrorMessage="1" sqref="C287 C28:C33 C343:C346">
      <formula1>$P$279:$P$280</formula1>
    </dataValidation>
    <dataValidation type="list" allowBlank="1" showInputMessage="1" showErrorMessage="1" sqref="G283">
      <formula1>$U$269:$U$279</formula1>
    </dataValidation>
    <dataValidation type="list" allowBlank="1" showInputMessage="1" showErrorMessage="1" sqref="D283 D26">
      <formula1>$T$269:$T$279</formula1>
    </dataValidation>
    <dataValidation type="list" allowBlank="1" showInputMessage="1" showErrorMessage="1" sqref="K282:M282 K25">
      <formula1>$R$269:$R$277</formula1>
    </dataValidation>
    <dataValidation type="list" allowBlank="1" showInputMessage="1" showErrorMessage="1" sqref="F282:G282 F25">
      <formula1>$P$269:$P$277</formula1>
    </dataValidation>
    <dataValidation type="list" showDropDown="1" showInputMessage="1" showErrorMessage="1" sqref="G26">
      <formula1>$U$269:$U$279</formula1>
    </dataValidation>
    <dataValidation type="list" allowBlank="1" showInputMessage="1" showErrorMessage="1" sqref="D15">
      <formula1>$O$6:$O$14</formula1>
    </dataValidation>
    <dataValidation type="list" allowBlank="1" showInputMessage="1" showErrorMessage="1" sqref="D16">
      <formula1>$O$6:$O$15</formula1>
    </dataValidation>
    <dataValidation type="list" allowBlank="1" showInputMessage="1" showErrorMessage="1" sqref="D17">
      <formula1>$O$6:$O$10</formula1>
    </dataValidation>
    <dataValidation type="list" allowBlank="1" showInputMessage="1" showErrorMessage="1" sqref="C18:D18">
      <formula1>$O$16:$O$19</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X567"/>
  <sheetViews>
    <sheetView showGridLines="0" showRowColHeaders="0" topLeftCell="A508" zoomScaleNormal="100" zoomScalePageLayoutView="60" workbookViewId="0">
      <selection activeCell="D21" sqref="D21"/>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G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t="s">
        <v>552</v>
      </c>
      <c r="C4" s="1252"/>
      <c r="D4" s="1252"/>
      <c r="E4" s="1252"/>
      <c r="F4" s="1252"/>
      <c r="G4" s="1252"/>
      <c r="H4" s="1252"/>
      <c r="I4" s="1252"/>
      <c r="J4" s="358"/>
      <c r="K4" s="1172" t="s">
        <v>291</v>
      </c>
      <c r="L4" s="1172"/>
      <c r="M4" s="1253"/>
      <c r="N4" s="1254"/>
      <c r="O4" s="80"/>
      <c r="P4" s="80"/>
      <c r="Q4" s="80"/>
      <c r="R4" s="80"/>
      <c r="S4" s="80"/>
      <c r="T4" s="80"/>
      <c r="U4" s="80"/>
    </row>
    <row r="5" spans="1:22">
      <c r="A5" s="380" t="s">
        <v>3</v>
      </c>
      <c r="B5" s="1255">
        <v>41501</v>
      </c>
      <c r="C5" s="1255"/>
      <c r="D5" s="732"/>
      <c r="E5" s="732"/>
      <c r="F5" s="732"/>
      <c r="G5" s="732"/>
      <c r="H5" s="732"/>
      <c r="I5" s="732"/>
      <c r="J5" s="79"/>
      <c r="K5" s="732"/>
      <c r="L5" s="732"/>
      <c r="M5" s="78"/>
      <c r="N5" s="359"/>
      <c r="O5" s="80"/>
      <c r="P5" s="80"/>
      <c r="Q5" s="80"/>
      <c r="R5" s="80"/>
      <c r="S5" s="80"/>
      <c r="T5" s="80"/>
      <c r="U5" s="80"/>
    </row>
    <row r="6" spans="1:22">
      <c r="A6" s="380" t="s">
        <v>234</v>
      </c>
      <c r="B6" s="732"/>
      <c r="C6" s="732"/>
      <c r="D6" s="1256">
        <v>31924</v>
      </c>
      <c r="E6" s="1255"/>
      <c r="F6" s="732"/>
      <c r="G6" s="1118" t="str">
        <f ca="1">DATEDIF(D6,TODAY(),"y")&amp;"_años_"&amp;DATEDIF(D6,TODAY(),"ym")&amp;"_meses_"&amp;DATEDIF(D6,TODAY(),"md")&amp;"_dias_"</f>
        <v>30_años_10_meses_22_dias_</v>
      </c>
      <c r="H6" s="1118"/>
      <c r="I6" s="1118"/>
      <c r="J6" s="1118"/>
      <c r="K6" s="1118"/>
      <c r="L6" s="732"/>
      <c r="M6" s="732"/>
      <c r="N6" s="360"/>
      <c r="O6" s="275">
        <v>1</v>
      </c>
      <c r="P6" s="215"/>
      <c r="Q6" s="215"/>
      <c r="R6" s="215"/>
      <c r="S6" s="215"/>
      <c r="T6" s="215"/>
      <c r="U6" s="215"/>
      <c r="V6" s="215"/>
    </row>
    <row r="7" spans="1:22">
      <c r="A7" s="380"/>
      <c r="B7" s="732"/>
      <c r="C7" s="732"/>
      <c r="D7" s="732"/>
      <c r="E7" s="732"/>
      <c r="F7" s="732"/>
      <c r="G7" s="732"/>
      <c r="H7" s="732"/>
      <c r="I7" s="732"/>
      <c r="J7" s="79"/>
      <c r="K7" s="732"/>
      <c r="L7" s="732"/>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726"/>
      <c r="M8" s="361"/>
      <c r="N8" s="360"/>
      <c r="O8" s="275">
        <v>3</v>
      </c>
      <c r="P8" s="215"/>
      <c r="Q8" s="215"/>
      <c r="R8" s="215"/>
      <c r="S8" s="215"/>
      <c r="T8" s="215"/>
      <c r="U8" s="215"/>
      <c r="V8" s="215"/>
    </row>
    <row r="9" spans="1:22">
      <c r="A9" s="380" t="s">
        <v>418</v>
      </c>
      <c r="B9" s="79"/>
      <c r="C9" s="79"/>
      <c r="D9" s="737" t="s">
        <v>5</v>
      </c>
      <c r="E9" s="737"/>
      <c r="F9" s="169"/>
      <c r="G9" s="79"/>
      <c r="H9" s="737"/>
      <c r="I9" s="737"/>
      <c r="J9" s="169"/>
      <c r="K9" s="171"/>
      <c r="L9" s="726"/>
      <c r="M9" s="361"/>
      <c r="N9" s="360"/>
      <c r="O9" s="275">
        <v>4</v>
      </c>
      <c r="P9" s="215"/>
      <c r="Q9" s="215"/>
      <c r="R9" s="215"/>
      <c r="S9" s="215"/>
      <c r="T9" s="215"/>
      <c r="U9" s="215"/>
      <c r="V9" s="215"/>
    </row>
    <row r="10" spans="1:22">
      <c r="A10" s="380" t="s">
        <v>412</v>
      </c>
      <c r="B10" s="79"/>
      <c r="C10" s="79"/>
      <c r="D10" s="737" t="s">
        <v>5</v>
      </c>
      <c r="E10" s="737"/>
      <c r="F10" s="169"/>
      <c r="G10" s="79"/>
      <c r="H10" s="737"/>
      <c r="I10" s="737"/>
      <c r="J10" s="169"/>
      <c r="K10" s="171"/>
      <c r="L10" s="726"/>
      <c r="M10" s="361"/>
      <c r="N10" s="360"/>
      <c r="O10" s="275">
        <v>5</v>
      </c>
      <c r="P10" s="215"/>
      <c r="Q10" s="215"/>
      <c r="R10" s="215"/>
      <c r="S10" s="215"/>
      <c r="T10" s="215"/>
      <c r="U10" s="215"/>
      <c r="V10" s="215"/>
    </row>
    <row r="11" spans="1:22" ht="15.75">
      <c r="A11" s="380" t="s">
        <v>417</v>
      </c>
      <c r="B11" s="79"/>
      <c r="C11" s="79"/>
      <c r="D11" s="139">
        <v>2</v>
      </c>
      <c r="E11" s="79" t="s">
        <v>5</v>
      </c>
      <c r="F11" s="169" t="s">
        <v>408</v>
      </c>
      <c r="G11" s="289">
        <v>0</v>
      </c>
      <c r="H11" s="1257" t="s">
        <v>407</v>
      </c>
      <c r="I11" s="1257"/>
      <c r="J11" s="480"/>
      <c r="K11" s="169"/>
      <c r="L11" s="737"/>
      <c r="M11" s="79"/>
      <c r="N11" s="360"/>
      <c r="O11" s="275">
        <v>6</v>
      </c>
      <c r="P11" s="215"/>
      <c r="Q11" s="215"/>
      <c r="R11" s="215"/>
      <c r="S11" s="215"/>
      <c r="T11" s="215"/>
      <c r="U11" s="215"/>
      <c r="V11" s="215"/>
    </row>
    <row r="12" spans="1:22" ht="15.75">
      <c r="A12" s="380" t="s">
        <v>6</v>
      </c>
      <c r="B12" s="79"/>
      <c r="C12" s="79"/>
      <c r="D12" s="139">
        <v>38</v>
      </c>
      <c r="E12" s="79" t="s">
        <v>7</v>
      </c>
      <c r="F12" s="79"/>
      <c r="G12" s="79"/>
      <c r="H12" s="1173"/>
      <c r="I12" s="1173"/>
      <c r="J12" s="737"/>
      <c r="K12" s="171"/>
      <c r="L12" s="726"/>
      <c r="M12" s="169"/>
      <c r="N12" s="488"/>
      <c r="O12" s="275">
        <v>7</v>
      </c>
      <c r="P12" s="215"/>
      <c r="Q12" s="215"/>
      <c r="R12" s="215"/>
      <c r="S12" s="215"/>
      <c r="T12" s="215"/>
      <c r="U12" s="215"/>
      <c r="V12" s="215"/>
    </row>
    <row r="13" spans="1:22" s="81" customFormat="1" ht="15.75">
      <c r="A13" s="1177" t="s">
        <v>11</v>
      </c>
      <c r="B13" s="1178"/>
      <c r="C13" s="1178"/>
      <c r="D13" s="139">
        <v>133</v>
      </c>
      <c r="E13" s="79" t="s">
        <v>17</v>
      </c>
      <c r="F13" s="79"/>
      <c r="G13" s="79"/>
      <c r="H13" s="1173"/>
      <c r="I13" s="1173"/>
      <c r="J13" s="737"/>
      <c r="K13" s="171"/>
      <c r="L13" s="726"/>
      <c r="M13" s="79"/>
      <c r="N13" s="360"/>
      <c r="O13" s="275">
        <v>8</v>
      </c>
      <c r="P13" s="215"/>
      <c r="Q13" s="215"/>
      <c r="R13" s="215"/>
      <c r="S13" s="215"/>
      <c r="T13" s="215"/>
      <c r="U13" s="215"/>
      <c r="V13" s="215"/>
    </row>
    <row r="14" spans="1:22" ht="15.75">
      <c r="A14" s="1177" t="s">
        <v>13</v>
      </c>
      <c r="B14" s="1178"/>
      <c r="C14" s="1178"/>
      <c r="D14" s="613">
        <f>D12/(D13*D13)*10000</f>
        <v>21.482277121374864</v>
      </c>
      <c r="E14" s="364" t="s">
        <v>14</v>
      </c>
      <c r="F14" s="79"/>
      <c r="G14" s="79"/>
      <c r="H14" s="1173"/>
      <c r="I14" s="1173"/>
      <c r="J14" s="737"/>
      <c r="K14" s="171"/>
      <c r="L14" s="726"/>
      <c r="M14" s="79"/>
      <c r="N14" s="360"/>
      <c r="O14" s="275">
        <v>9</v>
      </c>
      <c r="P14" s="215"/>
      <c r="Q14" s="215"/>
      <c r="R14" s="215"/>
      <c r="S14" s="215"/>
      <c r="T14" s="215"/>
      <c r="U14" s="215"/>
      <c r="V14" s="215"/>
    </row>
    <row r="15" spans="1:22" s="80" customFormat="1" ht="15.75">
      <c r="A15" s="481" t="s">
        <v>419</v>
      </c>
      <c r="B15" s="254"/>
      <c r="C15" s="254"/>
      <c r="D15" s="482">
        <v>2</v>
      </c>
      <c r="E15" s="364" t="s">
        <v>407</v>
      </c>
      <c r="F15" s="79"/>
      <c r="G15" s="79"/>
      <c r="H15" s="737"/>
      <c r="I15" s="737"/>
      <c r="J15" s="737"/>
      <c r="K15" s="171"/>
      <c r="L15" s="79"/>
      <c r="M15" s="79"/>
      <c r="N15" s="360"/>
      <c r="O15" s="215"/>
      <c r="P15" s="215"/>
      <c r="Q15" s="215"/>
      <c r="R15" s="215"/>
      <c r="S15" s="215"/>
      <c r="T15" s="215"/>
      <c r="U15" s="215"/>
      <c r="V15" s="215"/>
    </row>
    <row r="16" spans="1:22" ht="15.75">
      <c r="A16" s="481" t="s">
        <v>420</v>
      </c>
      <c r="B16" s="254"/>
      <c r="C16" s="254"/>
      <c r="D16" s="482">
        <v>6</v>
      </c>
      <c r="E16" s="364" t="s">
        <v>407</v>
      </c>
      <c r="F16" s="79"/>
      <c r="G16" s="79"/>
      <c r="H16" s="737"/>
      <c r="I16" s="737"/>
      <c r="J16" s="737"/>
      <c r="K16" s="171"/>
      <c r="L16" s="79"/>
      <c r="M16" s="79"/>
      <c r="N16" s="360"/>
      <c r="O16" s="215" t="s">
        <v>424</v>
      </c>
      <c r="P16" s="215"/>
      <c r="Q16" s="215"/>
      <c r="R16" s="215"/>
      <c r="S16" s="215"/>
      <c r="T16" s="215"/>
      <c r="U16" s="215"/>
      <c r="V16" s="215"/>
    </row>
    <row r="17" spans="1:22">
      <c r="A17" s="483" t="s">
        <v>421</v>
      </c>
      <c r="B17" s="255"/>
      <c r="C17" s="255"/>
      <c r="D17" s="484">
        <v>3</v>
      </c>
      <c r="E17" s="364" t="s">
        <v>422</v>
      </c>
      <c r="F17" s="79"/>
      <c r="G17" s="79"/>
      <c r="H17" s="737"/>
      <c r="I17" s="737"/>
      <c r="J17" s="737"/>
      <c r="K17" s="169"/>
      <c r="L17" s="79"/>
      <c r="M17" s="79"/>
      <c r="N17" s="360"/>
      <c r="O17" s="215" t="s">
        <v>423</v>
      </c>
      <c r="P17" s="215"/>
      <c r="Q17" s="215"/>
      <c r="R17" s="215"/>
      <c r="S17" s="215"/>
      <c r="T17" s="215"/>
      <c r="U17" s="215"/>
      <c r="V17" s="215"/>
    </row>
    <row r="18" spans="1:22" ht="15.75" customHeight="1">
      <c r="A18" s="738" t="s">
        <v>323</v>
      </c>
      <c r="B18" s="739"/>
      <c r="C18" s="1178" t="s">
        <v>425</v>
      </c>
      <c r="D18" s="1178"/>
      <c r="E18" s="364"/>
      <c r="F18" s="79"/>
      <c r="G18" s="79"/>
      <c r="H18" s="737"/>
      <c r="I18" s="737"/>
      <c r="J18" s="737"/>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f>D11</f>
        <v>2</v>
      </c>
      <c r="C20" s="238" t="s">
        <v>5</v>
      </c>
      <c r="D20" s="239">
        <f>G11</f>
        <v>0</v>
      </c>
      <c r="E20" s="1246" t="s">
        <v>407</v>
      </c>
      <c r="F20" s="1247"/>
      <c r="G20" s="1244"/>
      <c r="H20" s="1245"/>
      <c r="I20" s="1245"/>
      <c r="J20" s="1245"/>
      <c r="K20" s="1245"/>
      <c r="L20" s="1245"/>
      <c r="M20" s="750"/>
      <c r="N20" s="489"/>
      <c r="O20" s="215"/>
      <c r="P20" s="215"/>
      <c r="Q20" s="215"/>
      <c r="R20" s="215"/>
      <c r="S20" s="215"/>
      <c r="T20" s="215"/>
      <c r="U20" s="215"/>
      <c r="V20" s="215"/>
    </row>
    <row r="21" spans="1:22">
      <c r="A21" s="238" t="s">
        <v>4</v>
      </c>
      <c r="B21" s="239">
        <f>(B20*12)+D20</f>
        <v>24</v>
      </c>
      <c r="C21" s="238" t="s">
        <v>407</v>
      </c>
      <c r="D21" s="750"/>
      <c r="E21" s="1248" t="s">
        <v>74</v>
      </c>
      <c r="F21" s="1248"/>
      <c r="G21" s="240">
        <v>4</v>
      </c>
      <c r="H21" s="238" t="s">
        <v>409</v>
      </c>
      <c r="I21" s="750"/>
      <c r="J21" s="246" t="s">
        <v>11</v>
      </c>
      <c r="K21" s="239">
        <v>55</v>
      </c>
      <c r="L21" s="238" t="s">
        <v>410</v>
      </c>
      <c r="M21" s="750"/>
      <c r="N21" s="489"/>
      <c r="O21" s="215"/>
      <c r="P21" s="215"/>
      <c r="Q21" s="215"/>
      <c r="R21" s="215"/>
      <c r="S21" s="215"/>
      <c r="T21" s="215"/>
      <c r="U21" s="215"/>
      <c r="V21" s="215"/>
    </row>
    <row r="22" spans="1:22">
      <c r="A22" s="749"/>
      <c r="B22" s="750"/>
      <c r="C22" s="750"/>
      <c r="D22" s="750"/>
      <c r="E22" s="750"/>
      <c r="F22" s="750"/>
      <c r="G22" s="750"/>
      <c r="H22" s="750"/>
      <c r="I22" s="750"/>
      <c r="J22" s="750"/>
      <c r="K22" s="750"/>
      <c r="L22" s="750"/>
      <c r="M22" s="750"/>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750"/>
      <c r="N23" s="489"/>
      <c r="O23" s="215"/>
      <c r="P23" s="215"/>
      <c r="Q23" s="215"/>
      <c r="R23" s="215"/>
      <c r="S23" s="215"/>
      <c r="T23" s="215"/>
      <c r="U23" s="215"/>
      <c r="V23" s="215"/>
    </row>
    <row r="24" spans="1:22">
      <c r="A24" s="749"/>
      <c r="B24" s="750"/>
      <c r="C24" s="750"/>
      <c r="D24" s="750"/>
      <c r="E24" s="750"/>
      <c r="F24" s="238" t="s">
        <v>411</v>
      </c>
      <c r="G24" s="750"/>
      <c r="H24" s="750"/>
      <c r="I24" s="750"/>
      <c r="J24" s="750"/>
      <c r="K24" s="750"/>
      <c r="L24" s="750"/>
      <c r="M24" s="750"/>
      <c r="N24" s="489"/>
      <c r="O24" s="215"/>
      <c r="P24" s="215"/>
      <c r="Q24" s="215"/>
      <c r="R24" s="215"/>
      <c r="S24" s="215"/>
      <c r="T24" s="215"/>
      <c r="U24" s="215"/>
      <c r="V24" s="215"/>
    </row>
    <row r="25" spans="1:22">
      <c r="A25" s="1238" t="s">
        <v>412</v>
      </c>
      <c r="B25" s="1239"/>
      <c r="C25" s="1239"/>
      <c r="D25" s="239">
        <v>2.2000000000000002</v>
      </c>
      <c r="E25" s="748" t="s">
        <v>409</v>
      </c>
      <c r="F25" s="241">
        <f>(D25-3.2)*(100)/3.2</f>
        <v>-31.25</v>
      </c>
      <c r="G25" s="247">
        <f>3.2-D25</f>
        <v>1</v>
      </c>
      <c r="H25" s="242" t="s">
        <v>402</v>
      </c>
      <c r="I25" s="750"/>
      <c r="J25" s="750"/>
      <c r="K25" s="750"/>
      <c r="L25" s="750"/>
      <c r="M25" s="750"/>
      <c r="N25" s="489"/>
      <c r="O25" s="215"/>
      <c r="P25" s="215"/>
      <c r="Q25" s="215"/>
      <c r="R25" s="215"/>
      <c r="S25" s="215"/>
      <c r="T25" s="215"/>
      <c r="U25" s="215"/>
      <c r="V25" s="215"/>
    </row>
    <row r="26" spans="1:22">
      <c r="A26" s="1238" t="s">
        <v>413</v>
      </c>
      <c r="B26" s="1239"/>
      <c r="C26" s="1239"/>
      <c r="D26" s="239">
        <v>50</v>
      </c>
      <c r="E26" s="748" t="s">
        <v>410</v>
      </c>
      <c r="F26" s="241">
        <f>(D26-49)*(100)/49</f>
        <v>2.0408163265306123</v>
      </c>
      <c r="G26" s="239"/>
      <c r="H26" s="242" t="s">
        <v>414</v>
      </c>
      <c r="I26" s="750"/>
      <c r="J26" s="750"/>
      <c r="K26" s="750"/>
      <c r="L26" s="750"/>
      <c r="M26" s="750"/>
      <c r="N26" s="489"/>
      <c r="O26" s="215"/>
      <c r="P26" s="215">
        <f>50-D26</f>
        <v>0</v>
      </c>
      <c r="Q26" s="215"/>
      <c r="R26" s="215"/>
      <c r="S26" s="215"/>
      <c r="T26" s="215"/>
      <c r="U26" s="215"/>
      <c r="V26" s="215"/>
    </row>
    <row r="27" spans="1:22">
      <c r="A27" s="1238" t="s">
        <v>415</v>
      </c>
      <c r="B27" s="1239"/>
      <c r="C27" s="1240"/>
      <c r="D27" s="531">
        <f>IF(B21=0,3.2,IF(B21=1,4.2,IF(B21=2,5.1,IF(B21=3,5.8,IF(B21=4,6.4,IF(B21=5,6.9,IF(B21=6,7.3,IF(B21=7,7.6,IF(B21=8,7.9,IF(B21=9,8.2,IF(B21=10,8.5,IF(B21=11,8.7,IF(B21=12,8.9,IF(B21=13,9.2,IF(B21=14,9.4,IF(B21=15,9.6,IF(B21=16,9.8,IF(B21=17,10,IF(B21=18,10.2,IF(B21=19,10.4,IF(B21=20,10.6,IF(B21=21,10.9,IF(B21=22,11.1,IF(B21=23,11.3,IF(B21=24,11.5,IF(B21=25,11.7,IF(B21=26,11.9,IF(B21=27,12.1,IF(B21=28,12.3,IF(B21=29,12.5,IF(B21=30,12.7,IF(B21=31,12.9,IF(B21=32,13.1,IF(B21=33,13.3,IF(B21=34,13.5,IF(B21=35,13.7,IF(B21=36,13.9)))))))))))))))))))))))))))))))))))))</f>
        <v>11.5</v>
      </c>
      <c r="E27" s="238" t="s">
        <v>409</v>
      </c>
      <c r="F27" s="241">
        <f>(G21-D27)*(100)/D27</f>
        <v>-65.217391304347828</v>
      </c>
      <c r="G27" s="250">
        <f>D27-G21</f>
        <v>7.5</v>
      </c>
      <c r="H27" s="243" t="s">
        <v>402</v>
      </c>
      <c r="I27" s="750"/>
      <c r="J27" s="750"/>
      <c r="K27" s="750"/>
      <c r="L27" s="750"/>
      <c r="M27" s="750"/>
      <c r="N27" s="489"/>
      <c r="O27" s="215"/>
      <c r="P27" s="215"/>
      <c r="Q27" s="215"/>
      <c r="R27" s="215"/>
      <c r="S27" s="215"/>
      <c r="T27" s="215"/>
      <c r="U27" s="215"/>
      <c r="V27" s="215"/>
    </row>
    <row r="28" spans="1:22" ht="15.75">
      <c r="A28" s="1238" t="s">
        <v>416</v>
      </c>
      <c r="B28" s="1239"/>
      <c r="C28" s="1240"/>
      <c r="D28" s="782">
        <f>IF(B21=0,49.1,IF(B21=1,53.7,IF(B21=2,57.1,IF(B21=3,59.8,IF(B21=4,62.1,IF(B21=5,64,IF(B21=6,65.7,IF(B21=7,67.3,IF(B21=8,68.7,IF(B21=9,70.1,IF(B21=10,71.5,IF(B21=11,72.8,IF(B21=12,74,IF(B21=13,75.2,IF(B21=14,76.4,IF(B21=15,77.5,IF(B21=16,78.6,IF(B21=17,79.7,IF(B21=18,80.7,IF(B21=19,81.7,IF(B21=20,82.7,IF(B21=21,83.7,IF(B21=22,84.6,IF(B21=23,85.5,IF(B21=24,86.4,IF(B21=25,86.6,IF(B21=26,87.4,IF(B21=27,88.3,IF(B21=28,89.1,IF(B21=29,89.9,IF(B21=30,90.7,IF(B21=31,91.4,IF(B21=32,92.2,IF(B21=33,92.9,IF(B21=34,93.6,IF(B21=35,94.4,IF(B21=36,95.1)))))))))))))))))))))))))))))))))))))</f>
        <v>86.4</v>
      </c>
      <c r="E28" s="238" t="s">
        <v>410</v>
      </c>
      <c r="F28" s="241">
        <f>(K21-D28)*(100)/D28</f>
        <v>-36.342592592592595</v>
      </c>
      <c r="G28" s="239">
        <f>D28-K21</f>
        <v>31.400000000000006</v>
      </c>
      <c r="H28" s="243" t="s">
        <v>414</v>
      </c>
      <c r="I28" s="750"/>
      <c r="J28" s="750"/>
      <c r="K28" s="750"/>
      <c r="L28" s="750"/>
      <c r="M28" s="750"/>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34.782608695652172</v>
      </c>
      <c r="I30" s="293" t="str">
        <f>IF(H30&gt;110,"EXCESO O SOBREPESO",IF(H30=109.9,"NORMAL",IF(H30&gt;=90,"NORMAL",IF(H30=88.9,"DESNUTRICION LEVE 1ER GRADO",IF(H30&gt;=80,"DESNUTRICION LEVE 1ER GRADO",IF(H30=79.9,"DESNUTRICION MODERADA 2DO GRADO",IF(H30&gt;=70,"DESNUTRICION MODERADA 2DO GRADO",IF(H30&lt;70,"DESNUTRICION SEVERA 3ER GRADO"))))))))</f>
        <v>DESNUTRICION SEVERA 3ER GRADO</v>
      </c>
      <c r="J30" s="293"/>
      <c r="K30" s="293"/>
      <c r="L30" s="293"/>
      <c r="M30" s="293"/>
      <c r="N30" s="490"/>
      <c r="O30" s="215"/>
      <c r="P30" s="215"/>
      <c r="Q30" s="215"/>
      <c r="R30" s="215"/>
      <c r="S30" s="215"/>
      <c r="T30" s="215"/>
      <c r="U30" s="215"/>
      <c r="V30" s="215"/>
    </row>
    <row r="31" spans="1:22">
      <c r="A31" s="749" t="s">
        <v>436</v>
      </c>
      <c r="B31" s="750"/>
      <c r="C31" s="750"/>
      <c r="D31" s="251"/>
      <c r="E31" s="750"/>
      <c r="F31" s="252"/>
      <c r="G31" s="251"/>
      <c r="H31" s="253">
        <f>(G21/D27)*100</f>
        <v>34.782608695652172</v>
      </c>
      <c r="I31" s="750" t="str">
        <f>IF(H31&gt;=90,"NORMAL",IF(H31=89.9,"DESNUTRICION LEVE 1ER GRADO",IF(H31&gt;=75,"DESNUTRICION LEVE 1ER GRADO",IF(H31=74.9,"DESNUTRICION MODERADA 2DO GRADO",IF(H31&gt;=60,"DESNUTRICION MODERADA 2DO GRADO",IF(H31&lt;59.9,"DESNUTRICION SEVERA 3ER GRADO"))))))</f>
        <v>DESNUTRICION SEVERA 3ER GRADO</v>
      </c>
      <c r="J31" s="750"/>
      <c r="K31" s="750"/>
      <c r="L31" s="750"/>
      <c r="M31" s="750"/>
      <c r="N31" s="489"/>
      <c r="O31" s="215"/>
      <c r="P31" s="215"/>
      <c r="Q31" s="215"/>
      <c r="R31" s="215"/>
      <c r="S31" s="215"/>
      <c r="T31" s="215"/>
      <c r="U31" s="215"/>
      <c r="V31" s="215"/>
    </row>
    <row r="32" spans="1:22">
      <c r="A32" s="749" t="s">
        <v>437</v>
      </c>
      <c r="B32" s="750"/>
      <c r="C32" s="750"/>
      <c r="D32" s="251"/>
      <c r="E32" s="750"/>
      <c r="F32" s="252"/>
      <c r="G32" s="251"/>
      <c r="H32" s="253">
        <f>(K21/D28)*100</f>
        <v>63.657407407407405</v>
      </c>
      <c r="I32" s="750" t="str">
        <f>IF(H32&gt;95,"NORMAL",IF(H32=94.9,"DESNUTRICION LEVE 1ER GRADO",IF(H32&gt;=90,"DESNUTRICION LEVE 1ER GRADO",IF(H32=89.9,"DESNUTRICION MODERADA 2DO GRADO",IF(H32&gt;=85,"DESNUTRICION MODERADA 2DO GRADO",IF(H32&lt;84.9,"DESNUTRICION SEVERA 3ER GRADO"))))))</f>
        <v>DESNUTRICION SEVERA 3ER GRADO</v>
      </c>
      <c r="J32" s="750"/>
      <c r="K32" s="750"/>
      <c r="L32" s="750"/>
      <c r="M32" s="750"/>
      <c r="N32" s="489"/>
      <c r="O32" s="215"/>
      <c r="P32" s="215"/>
      <c r="Q32" s="215"/>
      <c r="R32" s="215"/>
      <c r="S32" s="215"/>
      <c r="T32" s="215"/>
      <c r="U32" s="215"/>
      <c r="V32" s="215"/>
    </row>
    <row r="33" spans="1:32">
      <c r="A33" s="749"/>
      <c r="B33" s="750"/>
      <c r="C33" s="750"/>
      <c r="D33" s="251"/>
      <c r="E33" s="750"/>
      <c r="F33" s="252"/>
      <c r="G33" s="251"/>
      <c r="H33" s="253"/>
      <c r="I33" s="750"/>
      <c r="J33" s="750"/>
      <c r="K33" s="750"/>
      <c r="L33" s="750"/>
      <c r="M33" s="750"/>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725"/>
      <c r="D37" s="370" t="s">
        <v>349</v>
      </c>
      <c r="E37" s="370"/>
      <c r="F37" s="370"/>
      <c r="G37" s="725"/>
      <c r="H37" s="370" t="s">
        <v>354</v>
      </c>
      <c r="I37" s="370"/>
      <c r="J37" s="725"/>
      <c r="K37" s="370"/>
      <c r="L37" s="370" t="s">
        <v>358</v>
      </c>
      <c r="M37" s="370"/>
      <c r="N37" s="377"/>
      <c r="O37" s="215"/>
      <c r="P37" s="215"/>
      <c r="Q37" s="215"/>
      <c r="R37" s="215"/>
      <c r="S37" s="215"/>
      <c r="T37" s="215"/>
      <c r="U37" s="215"/>
      <c r="V37" s="215"/>
    </row>
    <row r="38" spans="1:32">
      <c r="A38" s="1074" t="s">
        <v>345</v>
      </c>
      <c r="B38" s="1075"/>
      <c r="C38" s="725"/>
      <c r="D38" s="370" t="s">
        <v>350</v>
      </c>
      <c r="E38" s="370"/>
      <c r="F38" s="370"/>
      <c r="G38" s="725"/>
      <c r="H38" s="370" t="s">
        <v>355</v>
      </c>
      <c r="I38" s="370"/>
      <c r="J38" s="725"/>
      <c r="K38" s="370"/>
      <c r="L38" s="370" t="s">
        <v>359</v>
      </c>
      <c r="M38" s="370"/>
      <c r="N38" s="377"/>
      <c r="O38" s="215"/>
      <c r="P38" s="215"/>
      <c r="Q38" s="215"/>
      <c r="R38" s="215"/>
      <c r="S38" s="215"/>
      <c r="T38" s="215"/>
      <c r="U38" s="215"/>
      <c r="V38" s="215"/>
    </row>
    <row r="39" spans="1:32">
      <c r="A39" s="1074" t="s">
        <v>346</v>
      </c>
      <c r="B39" s="1075"/>
      <c r="C39" s="725" t="s">
        <v>405</v>
      </c>
      <c r="D39" s="370" t="s">
        <v>351</v>
      </c>
      <c r="E39" s="370"/>
      <c r="F39" s="370"/>
      <c r="G39" s="725"/>
      <c r="H39" s="370" t="s">
        <v>356</v>
      </c>
      <c r="I39" s="370"/>
      <c r="J39" s="725"/>
      <c r="K39" s="370"/>
      <c r="L39" s="1076" t="s">
        <v>360</v>
      </c>
      <c r="M39" s="1076"/>
      <c r="N39" s="377" t="s">
        <v>403</v>
      </c>
      <c r="O39" s="215"/>
      <c r="P39" s="215"/>
      <c r="Q39" s="215"/>
      <c r="R39" s="215"/>
      <c r="S39" s="215"/>
      <c r="T39" s="215"/>
      <c r="U39" s="215"/>
      <c r="V39" s="215"/>
      <c r="W39" s="80"/>
      <c r="X39" s="80"/>
      <c r="Y39" s="80"/>
      <c r="Z39" s="80"/>
      <c r="AA39" s="80"/>
      <c r="AB39" s="80"/>
      <c r="AC39" s="80"/>
      <c r="AD39" s="80"/>
      <c r="AE39" s="80"/>
      <c r="AF39" s="80"/>
    </row>
    <row r="40" spans="1:32">
      <c r="A40" s="1074" t="s">
        <v>347</v>
      </c>
      <c r="B40" s="1075"/>
      <c r="C40" s="725"/>
      <c r="D40" s="370" t="s">
        <v>352</v>
      </c>
      <c r="E40" s="370"/>
      <c r="F40" s="370"/>
      <c r="G40" s="725"/>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723"/>
      <c r="B41" s="724"/>
      <c r="C41" s="725"/>
      <c r="D41" s="370"/>
      <c r="E41" s="370"/>
      <c r="F41" s="370"/>
      <c r="G41" s="725"/>
      <c r="H41" s="370"/>
      <c r="I41" s="370"/>
      <c r="J41" s="370"/>
      <c r="K41" s="370"/>
      <c r="L41" s="724"/>
      <c r="M41" s="724"/>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442</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736"/>
      <c r="B50" s="736"/>
      <c r="C50" s="736"/>
      <c r="D50" s="3"/>
      <c r="O50" s="215"/>
      <c r="P50" s="215"/>
      <c r="Q50" s="215"/>
      <c r="R50" s="215"/>
      <c r="S50" s="215"/>
      <c r="T50" s="215"/>
      <c r="U50" s="215"/>
      <c r="V50" s="215"/>
      <c r="W50" s="80"/>
      <c r="X50" s="80"/>
      <c r="Y50" s="80"/>
      <c r="Z50" s="80"/>
      <c r="AA50" s="80"/>
      <c r="AB50" s="80"/>
      <c r="AC50" s="80"/>
      <c r="AD50" s="80"/>
      <c r="AE50" s="80"/>
      <c r="AF50" s="80"/>
    </row>
    <row r="51" spans="1:32" s="62" customFormat="1" ht="15.75">
      <c r="A51" s="736"/>
      <c r="B51" s="736"/>
      <c r="C51" s="736"/>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736"/>
      <c r="B52" s="736"/>
      <c r="C52" s="736"/>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735" t="s">
        <v>211</v>
      </c>
      <c r="D53" s="735"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0</v>
      </c>
      <c r="F60" s="1" t="str">
        <f>IF(E60&lt;12,"BAJO",IF(E60=11.9,"BAJO",IF(E60=12,"NORMAL",IF(E60&lt;=16,"NORMAL",IF(E60&gt;=16.1,"ALTO")))))</f>
        <v>BAJO</v>
      </c>
      <c r="G60" s="141"/>
      <c r="H60" s="1" t="str">
        <f>IF(G60&lt;12,"BAJO",IF(G60=11.9,"BAJO",IF(G60=12,"NORMAL",IF(G60&lt;=16,"NORMAL",IF(G60&gt;=16.1,"ALTO")))))</f>
        <v>BAJO</v>
      </c>
      <c r="I60" s="141"/>
      <c r="J60" s="1" t="str">
        <f>IF(I60&lt;12,"BAJO",IF(I60=11.9,"BAJO",IF(I60=12,"NORMAL",IF(I60&lt;=16,"NORMAL",IF(I60&gt;=16.1,"ALTO")))))</f>
        <v>BAJO</v>
      </c>
      <c r="K60" s="141"/>
      <c r="L60" s="1" t="str">
        <f>IF(K60&lt;12,"BAJO",IF(K60=11.9,"BAJO",IF(K60=12,"NORMAL",IF(K60&lt;=16,"NORMAL",IF(K60&gt;=16.1,"ALTO")))))</f>
        <v>BAJO</v>
      </c>
      <c r="M60" s="141"/>
      <c r="N60" s="1" t="str">
        <f>IF(M60&lt;12,"BAJO",IF(M60=11.9,"BAJO",IF(M60=12,"NORMAL",IF(M60&lt;=16,"NORMAL",IF(M60&gt;=16.1,"ALTO")))))</f>
        <v>BAJO</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35.799999999999997</v>
      </c>
      <c r="F62" s="1" t="str">
        <f>IF(E62&lt;36,"BAJO",IF(E62=35.9,"BAJO",IF(E62=36,"NORMAL",IF(E62&lt;=47,"NORMAL",IF(E62&gt;=47.1,"ALTO")))))</f>
        <v>BAJO</v>
      </c>
      <c r="G62" s="141"/>
      <c r="H62" s="1" t="str">
        <f>IF(G62&lt;36,"BAJO",IF(G62=35.9,"BAJO",IF(G62=36,"NORMAL",IF(G62&lt;=47,"NORMAL",IF(G62&gt;=47.1,"ALTO")))))</f>
        <v>BAJO</v>
      </c>
      <c r="I62" s="141"/>
      <c r="J62" s="1" t="str">
        <f>IF(I62&lt;36,"BAJO",IF(I62=35.9,"BAJO",IF(I62=36,"NORMAL",IF(I62&lt;=47,"NORMAL",IF(I62&gt;=47.1,"ALTO")))))</f>
        <v>BAJO</v>
      </c>
      <c r="K62" s="141"/>
      <c r="L62" s="1" t="str">
        <f>IF(K62&lt;36,"BAJO",IF(K62=35.9,"BAJO",IF(K62=36,"NORMAL",IF(K62&lt;=47,"NORMAL",IF(K62&gt;=47.1,"ALTO")))))</f>
        <v>BAJO</v>
      </c>
      <c r="M62" s="141"/>
      <c r="N62" s="1" t="str">
        <f>IF(M62&lt;36,"BAJO",IF(M62=35.9,"BAJO",IF(M62=36,"NORMAL",IF(M62&lt;=47,"NORMAL",IF(M62&gt;=47.1,"ALTO")))))</f>
        <v>BAJO</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141">
        <v>0</v>
      </c>
      <c r="F64" s="1" t="str">
        <f>IF(E64&lt;4000,"BAJO",IF(E64=4000,"NORMAL",IF(E64&lt;=11000,"NORMAL",IF(E64&gt;=11001,"ALTO"))))</f>
        <v>BAJO</v>
      </c>
      <c r="G64" s="141"/>
      <c r="H64" s="1" t="str">
        <f>IF(G64&lt;4000,"BAJO",IF(G64=4000,"NORMAL",IF(G64&lt;=11000,"NORMAL",IF(G64&gt;=11001,"ALTO"))))</f>
        <v>BAJO</v>
      </c>
      <c r="I64" s="143"/>
      <c r="J64" s="1" t="str">
        <f>IF(I64&lt;4000,"BAJO",IF(I64=4000,"NORMAL",IF(I64&lt;=11000,"NORMAL",IF(I64&gt;=11001,"ALTO"))))</f>
        <v>BAJO</v>
      </c>
      <c r="K64" s="143"/>
      <c r="L64" s="1" t="str">
        <f>IF(K64&lt;4000,"BAJO",IF(K64=4000,"NORMAL",IF(K64&lt;=11000,"NORMAL",IF(K64&gt;=11001,"ALTO"))))</f>
        <v>BAJO</v>
      </c>
      <c r="M64" s="143"/>
      <c r="N64" s="1" t="str">
        <f>IF(M64&lt;4000,"BAJO",IF(M64=4000,"NORMAL",IF(M64&lt;=11000,"NORMAL",IF(M64&gt;=11001,"ALTO"))))</f>
        <v>BAJO</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80</v>
      </c>
      <c r="F67" s="1" t="str">
        <f>IF(E67&lt;65,"BAJO",IF(E67=64.9,"BAJO",IF(E67=65,"NORMAL",IF(E67&lt;=110,"NORMAL",IF(E67&gt;=110.1,"ALTO")))))</f>
        <v>NORMAL</v>
      </c>
      <c r="G67" s="144"/>
      <c r="H67" s="1" t="str">
        <f>IF(G67&lt;65,"BAJO",IF(G67=64.9,"BAJO",IF(G67=65,"NORMAL",IF(G67&lt;=110,"NORMAL",IF(G67&gt;=110.1,"ALTO")))))</f>
        <v>BAJO</v>
      </c>
      <c r="I67" s="144"/>
      <c r="J67" s="1" t="str">
        <f>IF(I67&lt;65,"BAJO",IF(I67=64.9,"BAJO",IF(I67=65,"NORMAL",IF(I67&lt;=110,"NORMAL",IF(I67&gt;=110.1,"ALTO")))))</f>
        <v>BAJO</v>
      </c>
      <c r="K67" s="144"/>
      <c r="L67" s="1" t="str">
        <f>IF(K67&lt;65,"BAJO",IF(K67=64.9,"BAJO",IF(K67=65,"NORMAL",IF(K67&lt;=110,"NORMAL",IF(K67&gt;=110.1,"ALTO")))))</f>
        <v>BAJO</v>
      </c>
      <c r="M67" s="144"/>
      <c r="N67" s="1" t="str">
        <f>IF(M67&lt;65,"BAJO",IF(M67=64.9,"BAJO",IF(M67=65,"NORMAL",IF(M67&lt;=110,"NORMAL",IF(M67&gt;=110.1,"ALTO")))))</f>
        <v>BAJO</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IF(E69&lt;14,"BAJO",IF(E69=13.9,"BAJO",IF(E69=14,"NORMAL",IF(E69&lt;=44,"NORMAL",IF(E69&gt;=44.1,"ALTO")))))</f>
        <v>BAJO</v>
      </c>
      <c r="G69" s="145"/>
      <c r="H69" s="1" t="str">
        <f>IF(G69&lt;14,"BAJO",IF(G69=13.9,"BAJO",IF(G69=14,"NORMAL",IF(G69&lt;=44,"NORMAL",IF(G69&gt;=44.1,"ALTO")))))</f>
        <v>BAJO</v>
      </c>
      <c r="I69" s="145"/>
      <c r="J69" s="1" t="str">
        <f>IF(I69&lt;14,"BAJO",IF(I69=13.9,"BAJO",IF(I69=14,"NORMAL",IF(I69&lt;=44,"NORMAL",IF(I69&gt;=44.1,"ALTO")))))</f>
        <v>BAJO</v>
      </c>
      <c r="K69" s="145"/>
      <c r="L69" s="1" t="str">
        <f>IF(K69&lt;14,"BAJO",IF(K69=13.9,"BAJO",IF(K69=14,"NORMAL",IF(K69&lt;=44,"NORMAL",IF(K69&gt;=44.1,"ALTO")))))</f>
        <v>BAJO</v>
      </c>
      <c r="M69" s="145"/>
      <c r="N69" s="1" t="str">
        <f>IF(M69&lt;14,"BAJO",IF(M69=13.9,"BAJO",IF(M69=14,"NORMAL",IF(M69&lt;=44,"NORMAL",IF(M69&gt;=44.1,"ALTO")))))</f>
        <v>BAJO</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IF(E71&lt;3.4,"BAJO",IF(E71&lt;=3.39,"BAJO",IF(E71=3.4,"NORMAL",IF(E71&lt;=7,"NORMAL",IF(E71&gt;=7.1,"ALTO")))))</f>
        <v>BAJO</v>
      </c>
      <c r="G71" s="145"/>
      <c r="H71" s="1" t="str">
        <f>IF(G71&lt;3.4,"BAJO",IF(G71&lt;=3.39,"BAJO",IF(G71=3.4,"NORMAL",IF(G71&lt;=7,"NORMAL",IF(G71&gt;=7.1,"ALTO")))))</f>
        <v>BAJO</v>
      </c>
      <c r="I71" s="145"/>
      <c r="J71" s="1" t="str">
        <f>IF(I71&lt;3.4,"BAJO",IF(I71&lt;=3.39,"BAJO",IF(I71=3.4,"NORMAL",IF(I71&lt;=7,"NORMAL",IF(I71&gt;=7.1,"ALTO")))))</f>
        <v>BAJO</v>
      </c>
      <c r="K71" s="145"/>
      <c r="L71" s="1" t="str">
        <f>IF(K71&lt;3.4,"BAJO",IF(K71&lt;=3.39,"BAJO",IF(K71=3.4,"NORMAL",IF(K71&lt;=7,"NORMAL",IF(K71&gt;=7.1,"ALTO")))))</f>
        <v>BAJO</v>
      </c>
      <c r="M71" s="145"/>
      <c r="N71" s="1" t="str">
        <f>IF(M71&lt;3.4,"BAJO",IF(M71&lt;=3.39,"BAJO",IF(M71=3.4,"NORMAL",IF(M71&lt;=7,"NORMAL",IF(M71&gt;=7.1,"ALTO")))))</f>
        <v>BAJO</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IF(E73&lt;0.5,"BAJO",IF(E73=0.49,"BAJO",IF(E73=0.5,"NORMAL",IF(E73&lt;=1.6,"NORMAL",IF(E73&gt;=1.61,"ALTO")))))</f>
        <v>BAJO</v>
      </c>
      <c r="G73" s="143"/>
      <c r="H73" s="1" t="str">
        <f>IF(G73&lt;0.5,"BAJO",IF(G73=0.49,"BAJO",IF(G73=0.5,"NORMAL",IF(G73&lt;=1.6,"NORMAL",IF(G73&gt;=1.61,"ALTO")))))</f>
        <v>BAJO</v>
      </c>
      <c r="I73" s="143"/>
      <c r="J73" s="1" t="str">
        <f>IF(I73&lt;0.5,"BAJO",IF(I73=0.49,"BAJO",IF(I73=0.5,"NORMAL",IF(I73&lt;=1.6,"NORMAL",IF(I73&gt;=1.61,"ALTO")))))</f>
        <v>BAJO</v>
      </c>
      <c r="K73" s="143"/>
      <c r="L73" s="1" t="str">
        <f>IF(K73&lt;0.5,"BAJO",IF(K73=0.49,"BAJO",IF(K73=0.5,"NORMAL",IF(K73&lt;=1.6,"NORMAL",IF(K73&gt;=1.61,"ALTO")))))</f>
        <v>BAJO</v>
      </c>
      <c r="M73" s="143"/>
      <c r="N73" s="1" t="str">
        <f>IF(M73&lt;0.5,"BAJO",IF(M73=0.49,"BAJO",IF(M73=0.5,"NORMAL",IF(M73&lt;=1.6,"NORMAL",IF(M73&gt;=1.61,"ALTO")))))</f>
        <v>BAJO</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735" t="s">
        <v>30</v>
      </c>
      <c r="B76" s="735"/>
      <c r="C76" s="56" t="s">
        <v>224</v>
      </c>
      <c r="D76" s="57" t="s">
        <v>219</v>
      </c>
      <c r="E76" s="144">
        <v>0</v>
      </c>
      <c r="F76" s="1" t="str">
        <f>IF(E76&lt;6.4,"BAJO",IF(E76=6.39,"BAJO",IF(E76=6.4,"NORMAL",IF(E76&lt;=8.3,"NORMAL",IF(E76&gt;=8.31,"ALTO")))))</f>
        <v>BAJO</v>
      </c>
      <c r="G76" s="144"/>
      <c r="H76" s="1" t="str">
        <f>IF(G76&lt;6.4,"BAJO",IF(G76=6.39,"BAJO",IF(G76=6.4,"NORMAL",IF(G76&lt;=8.3,"NORMAL",IF(G76&gt;=8.31,"ALTO")))))</f>
        <v>BAJO</v>
      </c>
      <c r="I76" s="144"/>
      <c r="J76" s="1" t="str">
        <f>IF(I76&lt;6.4,"BAJO",IF(I76=6.39,"BAJO",IF(I76=6.4,"NORMAL",IF(I76&lt;=8.3,"NORMAL",IF(I76&gt;=8.31,"ALTO")))))</f>
        <v>BAJO</v>
      </c>
      <c r="K76" s="144"/>
      <c r="L76" s="1" t="str">
        <f>IF(K76&lt;6.4,"BAJO",IF(K76=6.39,"BAJO",IF(K76=6.4,"NORMAL",IF(K76&lt;=8.3,"NORMAL",IF(K76&gt;=8.31,"ALTO")))))</f>
        <v>BAJO</v>
      </c>
      <c r="M76" s="144"/>
      <c r="N76" s="1" t="str">
        <f>IF(M76&lt;6.4,"BAJO",IF(M76=6.39,"BAJO",IF(M76=6.4,"NORMAL",IF(M76&lt;=8.3,"NORMAL",IF(M76&gt;=8.31,"ALTO")))))</f>
        <v>BAJO</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t="s">
        <v>398</v>
      </c>
      <c r="F78" s="1" t="str">
        <f>IF(E78&lt;3.4,"BAJO",IF(E78=3.39,"BAJO",IF(E78=3.4,"NORMAL",IF(E78&lt;=5,"NORMAL",IF(E78&gt;=5.01,"ALTO")))))</f>
        <v>ALTO</v>
      </c>
      <c r="G78" s="143"/>
      <c r="H78" s="1" t="str">
        <f>IF(G78&lt;3.4,"BAJO",IF(G78=3.39,"BAJO",IF(G78=3.4,"NORMAL",IF(G78&lt;=5,"NORMAL",IF(G78&gt;=5.01,"ALTO")))))</f>
        <v>BAJO</v>
      </c>
      <c r="I78" s="143"/>
      <c r="J78" s="1" t="str">
        <f>IF(I78&lt;3.4,"BAJO",IF(I78=3.39,"BAJO",IF(I78=3.4,"NORMAL",IF(I78&lt;=5,"NORMAL",IF(I78&gt;=5.01,"ALTO")))))</f>
        <v>BAJO</v>
      </c>
      <c r="K78" s="143"/>
      <c r="L78" s="1" t="str">
        <f>IF(K78&lt;3.4,"BAJO",IF(K78=3.39,"BAJO",IF(K78=3.4,"NORMAL",IF(K78&lt;=5,"NORMAL",IF(K78&gt;=5.01,"ALTO")))))</f>
        <v>BAJO</v>
      </c>
      <c r="M78" s="143"/>
      <c r="N78" s="1" t="str">
        <f>IF(M78&lt;3.4,"BAJO",IF(M78=3.39,"BAJO",IF(M78=3.4,"NORMAL",IF(M78&lt;=5,"NORMAL",IF(M78&gt;=5.01,"ALTO")))))</f>
        <v>BAJO</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733" t="s">
        <v>33</v>
      </c>
      <c r="B81" s="733"/>
      <c r="C81" s="46" t="s">
        <v>232</v>
      </c>
      <c r="D81" s="42" t="s">
        <v>221</v>
      </c>
      <c r="E81" s="141">
        <v>128</v>
      </c>
      <c r="F81" s="1" t="str">
        <f>IF(E81&lt;140,"BAJO",IF(E81=139.9,"BAJO",IF(E81=140,"NORMAL",IF(E81&lt;=200,"NORMAL",IF(E81&gt;=200.1,"ALTO")))))</f>
        <v>BAJO</v>
      </c>
      <c r="G81" s="141"/>
      <c r="H81" s="1" t="str">
        <f>IF(G81&lt;140,"BAJO",IF(G81=139.9,"BAJO",IF(G81=140,"NORMAL",IF(G81&lt;=200,"NORMAL",IF(G81&gt;=200.1,"ALTO")))))</f>
        <v>BAJO</v>
      </c>
      <c r="I81" s="141"/>
      <c r="J81" s="1" t="str">
        <f>IF(I81&lt;140,"BAJO",IF(I81=139.9,"BAJO",IF(I81=140,"NORMAL",IF(I81&lt;=200,"NORMAL",IF(I81&gt;=200.1,"ALTO")))))</f>
        <v>BAJO</v>
      </c>
      <c r="K81" s="141"/>
      <c r="L81" s="1" t="str">
        <f>IF(K81&lt;140,"BAJO",IF(K81=139.9,"BAJO",IF(K81=140,"NORMAL",IF(K81&lt;=200,"NORMAL",IF(K81&gt;=200.1,"ALTO")))))</f>
        <v>BAJO</v>
      </c>
      <c r="M81" s="141"/>
      <c r="N81" s="1" t="str">
        <f>IF(M81&lt;140,"BAJO",IF(M81=139.9,"BAJO",IF(M81=140,"NORMAL",IF(M81&lt;=200,"NORMAL",IF(M81&gt;=200.1,"ALTO")))))</f>
        <v>BAJO</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IF(E83&lt;40,"BAJO",IF(E83=39.9,"BAJO",IF(E83=40,"NORMAL",IF(E83&lt;=160,"NORMAL",IF(E83&gt;=160.1,"ALTO")))))</f>
        <v>BAJO</v>
      </c>
      <c r="G83" s="141"/>
      <c r="H83" s="84" t="str">
        <f>IF(G83&lt;40,"BAJO",IF(G83=39.9,"BAJO",IF(G83=40,"NORMAL",IF(G83&lt;=160,"NORMAL",IF(G83&gt;=160.1,"ALTO")))))</f>
        <v>BAJO</v>
      </c>
      <c r="I83" s="141"/>
      <c r="J83" s="1" t="str">
        <f>IF(I83&lt;40,"BAJO",IF(I83=39.9,"BAJO",IF(I83=40,"NORMAL",IF(I83&lt;=160,"NORMAL",IF(I83&gt;=160.1,"ALTO")))))</f>
        <v>BAJO</v>
      </c>
      <c r="K83" s="141"/>
      <c r="L83" s="1" t="str">
        <f>IF(K83&lt;40,"BAJO",IF(K83=39.9,"BAJO",IF(K83=40,"NORMAL",IF(K83&lt;=160,"NORMAL",IF(K83&gt;=160.1,"ALTO")))))</f>
        <v>BAJO</v>
      </c>
      <c r="M83" s="141"/>
      <c r="N83" s="1" t="str">
        <f>IF(M83&lt;40,"BAJO",IF(M83=39.9,"BAJO",IF(M83=40,"NORMAL",IF(M83&lt;=160,"NORMAL",IF(M83&gt;=160.1,"ALTO")))))</f>
        <v>BAJO</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734"/>
      <c r="B86" s="734"/>
      <c r="C86" s="734"/>
      <c r="D86" s="4"/>
      <c r="E86" s="45"/>
      <c r="O86" s="215"/>
      <c r="P86" s="215"/>
      <c r="Q86" s="215"/>
      <c r="R86" s="215"/>
      <c r="S86" s="215"/>
      <c r="T86" s="215"/>
      <c r="U86" s="215"/>
      <c r="V86" s="215"/>
      <c r="W86" s="80"/>
      <c r="X86" s="80"/>
      <c r="Y86" s="80"/>
      <c r="Z86" s="80"/>
      <c r="AA86" s="80"/>
      <c r="AB86" s="80"/>
      <c r="AC86" s="80"/>
      <c r="AD86" s="80"/>
      <c r="AE86" s="80"/>
      <c r="AF86" s="80"/>
    </row>
    <row r="87" spans="1:32">
      <c r="A87" s="734"/>
      <c r="B87" s="734"/>
      <c r="C87" s="734"/>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IF(E88&lt;9,"BAJO",IF(E88=8.9,"BAJO",IF(E88=9,"NORMAL",IF(E88&lt;=20,"NORMAL",IF(E88&gt;=20.1,"ALTO")))))</f>
        <v>BAJO</v>
      </c>
      <c r="G88" s="141"/>
      <c r="H88" s="1" t="str">
        <f>IF(G88&lt;9,"BAJO",IF(G88=8.9,"BAJO",IF(G88=9,"NORMAL",IF(G88&lt;=20,"NORMAL",IF(G88&gt;=20.1,"ALTO")))))</f>
        <v>BAJO</v>
      </c>
      <c r="I88" s="141"/>
      <c r="J88" s="1" t="str">
        <f>IF(I88&lt;9,"BAJO",IF(I88=8.9,"BAJO",IF(I88=9,"NORMAL",IF(I88&lt;=20,"NORMAL",IF(I88&gt;=20.1,"ALTO")))))</f>
        <v>BAJO</v>
      </c>
      <c r="K88" s="141"/>
      <c r="L88" s="1" t="str">
        <f>IF(K88&lt;9,"BAJO",IF(K88=8.9,"BAJO",IF(K88=9,"NORMAL",IF(K88&lt;=20,"NORMAL",IF(K88&gt;=20.1,"ALTO")))))</f>
        <v>BAJO</v>
      </c>
      <c r="M88" s="141"/>
      <c r="N88" s="1" t="str">
        <f>IF(M88&lt;9,"BAJO",IF(M88=8.9,"BAJO",IF(M88=9,"NORMAL",IF(M88&lt;=20,"NORMAL",IF(M88&gt;=20.1,"ALTO")))))</f>
        <v>BAJO</v>
      </c>
      <c r="O88" s="215"/>
      <c r="P88" s="215"/>
      <c r="Q88" s="215"/>
      <c r="R88" s="215"/>
      <c r="S88" s="215"/>
      <c r="T88" s="215"/>
      <c r="U88" s="215"/>
      <c r="V88" s="215"/>
      <c r="W88" s="80"/>
      <c r="X88" s="80"/>
      <c r="Y88" s="80"/>
      <c r="Z88" s="80"/>
      <c r="AA88" s="80"/>
      <c r="AB88" s="80"/>
      <c r="AC88" s="80"/>
      <c r="AD88" s="80"/>
      <c r="AE88" s="80"/>
      <c r="AF88" s="80"/>
    </row>
    <row r="89" spans="1:32">
      <c r="A89" s="733"/>
      <c r="B89" s="733"/>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733"/>
      <c r="B90" s="733"/>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733"/>
      <c r="B91" s="733"/>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733"/>
      <c r="B92" s="733"/>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1</v>
      </c>
      <c r="C96" s="50">
        <f>B96*12</f>
        <v>12</v>
      </c>
      <c r="D96" s="51">
        <f>B96*9</f>
        <v>9</v>
      </c>
      <c r="E96" s="52">
        <f>B96*5</f>
        <v>5</v>
      </c>
      <c r="F96" s="9">
        <f t="shared" ref="F96:F103" si="0">(C96*4)+(D96*4)+(E96*9)</f>
        <v>129</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2</v>
      </c>
      <c r="C97" s="6">
        <v>0</v>
      </c>
      <c r="D97" s="7">
        <f>B97*7</f>
        <v>14</v>
      </c>
      <c r="E97" s="8">
        <f>B97*4</f>
        <v>8</v>
      </c>
      <c r="F97" s="9">
        <f t="shared" si="0"/>
        <v>128</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1</v>
      </c>
      <c r="C98" s="6">
        <f>B98*15</f>
        <v>15</v>
      </c>
      <c r="D98" s="7">
        <f>B98*0</f>
        <v>0</v>
      </c>
      <c r="E98" s="8">
        <f>B98*0</f>
        <v>0</v>
      </c>
      <c r="F98" s="9">
        <f t="shared" si="0"/>
        <v>60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2</v>
      </c>
      <c r="C99" s="6">
        <f>B99*4</f>
        <v>8</v>
      </c>
      <c r="D99" s="7">
        <f>B99*2</f>
        <v>4</v>
      </c>
      <c r="E99" s="8"/>
      <c r="F99" s="9">
        <f t="shared" si="0"/>
        <v>48</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2</v>
      </c>
      <c r="C100" s="6">
        <f>B100*15</f>
        <v>30</v>
      </c>
      <c r="D100" s="7">
        <f>B100*2</f>
        <v>4</v>
      </c>
      <c r="E100" s="8">
        <f>B100*0</f>
        <v>0</v>
      </c>
      <c r="F100" s="9">
        <f t="shared" si="0"/>
        <v>136</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2</v>
      </c>
      <c r="C102" s="6">
        <f>B102*0</f>
        <v>0</v>
      </c>
      <c r="D102" s="7">
        <f>B102*0</f>
        <v>0</v>
      </c>
      <c r="E102" s="8">
        <f>B102*5</f>
        <v>10</v>
      </c>
      <c r="F102" s="9">
        <f t="shared" si="0"/>
        <v>90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1</v>
      </c>
      <c r="C103" s="6">
        <f>B103*10</f>
        <v>10</v>
      </c>
      <c r="D103" s="7">
        <f>B103*0</f>
        <v>0</v>
      </c>
      <c r="E103" s="10">
        <f>B103*0</f>
        <v>0</v>
      </c>
      <c r="F103" s="11">
        <f t="shared" si="0"/>
        <v>40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75</v>
      </c>
      <c r="D104" s="7">
        <f>SUM(D96:D103)</f>
        <v>31</v>
      </c>
      <c r="E104" s="10">
        <f>SUM(E96:E103)</f>
        <v>23</v>
      </c>
      <c r="F104" s="11">
        <f>SUM(F96:F103)</f>
        <v>631</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f>(D106*100)/F104</f>
        <v>47.543581616481774</v>
      </c>
      <c r="C106" s="1">
        <f>C104</f>
        <v>75</v>
      </c>
      <c r="D106" s="1130">
        <f>C106*4</f>
        <v>300</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f>(D107*100)/F104</f>
        <v>19.6513470681458</v>
      </c>
      <c r="C107" s="1">
        <f>D104</f>
        <v>31</v>
      </c>
      <c r="D107" s="1130">
        <f>C107*4</f>
        <v>124</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f>(D108*100)/F104</f>
        <v>32.805071315372423</v>
      </c>
      <c r="C108" s="1">
        <f>E104</f>
        <v>23</v>
      </c>
      <c r="D108" s="1130">
        <f>C108*9</f>
        <v>207</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2</v>
      </c>
      <c r="C112" s="6">
        <v>0</v>
      </c>
      <c r="D112" s="7">
        <f>B112*7</f>
        <v>14</v>
      </c>
      <c r="E112" s="8">
        <f>B112*4</f>
        <v>8</v>
      </c>
      <c r="F112" s="9">
        <f t="shared" si="1"/>
        <v>128</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2</v>
      </c>
      <c r="C113" s="6">
        <f>B113*15</f>
        <v>30</v>
      </c>
      <c r="D113" s="7">
        <f>B113*0</f>
        <v>0</v>
      </c>
      <c r="E113" s="8">
        <f>B113*0</f>
        <v>0</v>
      </c>
      <c r="F113" s="9">
        <f t="shared" si="1"/>
        <v>120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2</v>
      </c>
      <c r="C114" s="6">
        <f>B114*4</f>
        <v>8</v>
      </c>
      <c r="D114" s="7">
        <f>B114*2</f>
        <v>4</v>
      </c>
      <c r="E114" s="8"/>
      <c r="F114" s="9">
        <f t="shared" si="1"/>
        <v>48</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3</v>
      </c>
      <c r="C115" s="6">
        <f>B115*15</f>
        <v>45</v>
      </c>
      <c r="D115" s="7">
        <f>B115*2</f>
        <v>6</v>
      </c>
      <c r="E115" s="8">
        <f>B115*0</f>
        <v>0</v>
      </c>
      <c r="F115" s="9">
        <f t="shared" si="1"/>
        <v>204</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1</v>
      </c>
      <c r="C116" s="6">
        <f>B116*20</f>
        <v>20</v>
      </c>
      <c r="D116" s="7">
        <f>B116*8</f>
        <v>8</v>
      </c>
      <c r="E116" s="8">
        <f>B116*1</f>
        <v>1</v>
      </c>
      <c r="F116" s="9">
        <f t="shared" si="1"/>
        <v>121</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4</v>
      </c>
      <c r="C117" s="6">
        <f>B117*0</f>
        <v>0</v>
      </c>
      <c r="D117" s="7">
        <f>B117*0</f>
        <v>0</v>
      </c>
      <c r="E117" s="8">
        <f>B117*5</f>
        <v>20</v>
      </c>
      <c r="F117" s="9">
        <f t="shared" si="1"/>
        <v>180</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1</v>
      </c>
      <c r="C118" s="6">
        <f>B118*10</f>
        <v>10</v>
      </c>
      <c r="D118" s="7">
        <f>B118*0</f>
        <v>0</v>
      </c>
      <c r="E118" s="10">
        <f>B118*0</f>
        <v>0</v>
      </c>
      <c r="F118" s="11">
        <f t="shared" si="1"/>
        <v>40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113</v>
      </c>
      <c r="D119" s="7">
        <f>SUM(D111:D118)</f>
        <v>32</v>
      </c>
      <c r="E119" s="10">
        <f>SUM(E111:E118)</f>
        <v>29</v>
      </c>
      <c r="F119" s="11">
        <f>SUM(F111:F118)</f>
        <v>841</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f>(D121*100)/F119</f>
        <v>53.74554102259215</v>
      </c>
      <c r="C121" s="1">
        <f>C119</f>
        <v>113</v>
      </c>
      <c r="D121" s="1130">
        <f>C121*4</f>
        <v>452</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f>(D122*100)/F119</f>
        <v>15.219976218787158</v>
      </c>
      <c r="C122" s="1">
        <f>D119</f>
        <v>32</v>
      </c>
      <c r="D122" s="1130">
        <f>C122*4</f>
        <v>128</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f>(D123*100)/F119</f>
        <v>31.03448275862069</v>
      </c>
      <c r="C123" s="1">
        <f>E119</f>
        <v>29</v>
      </c>
      <c r="D123" s="1130">
        <f>C123*9</f>
        <v>261</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1</v>
      </c>
      <c r="C126" s="50">
        <f>B126*12</f>
        <v>12</v>
      </c>
      <c r="D126" s="51">
        <f>B126*9</f>
        <v>9</v>
      </c>
      <c r="E126" s="52">
        <f>B126*5</f>
        <v>5</v>
      </c>
      <c r="F126" s="9">
        <f t="shared" ref="F126:F133" si="2">(C126*4)+(D126*4)+(E126*9)</f>
        <v>129</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0</v>
      </c>
      <c r="C127" s="6">
        <v>0</v>
      </c>
      <c r="D127" s="7">
        <f>B127*7</f>
        <v>0</v>
      </c>
      <c r="E127" s="8">
        <f>B127*4</f>
        <v>0</v>
      </c>
      <c r="F127" s="9">
        <f t="shared" si="2"/>
        <v>0</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1</v>
      </c>
      <c r="C128" s="6">
        <f>B128*15</f>
        <v>15</v>
      </c>
      <c r="D128" s="7">
        <f>B128*0</f>
        <v>0</v>
      </c>
      <c r="E128" s="8">
        <f>B128*0</f>
        <v>0</v>
      </c>
      <c r="F128" s="9">
        <f t="shared" si="2"/>
        <v>60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1</v>
      </c>
      <c r="C129" s="6">
        <f>B129*4</f>
        <v>4</v>
      </c>
      <c r="D129" s="7">
        <f>B129*2</f>
        <v>2</v>
      </c>
      <c r="E129" s="8"/>
      <c r="F129" s="9">
        <f t="shared" si="2"/>
        <v>24</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1</v>
      </c>
      <c r="C130" s="6">
        <f>B130*15</f>
        <v>15</v>
      </c>
      <c r="D130" s="7">
        <f>B130*2</f>
        <v>2</v>
      </c>
      <c r="E130" s="8">
        <f>B130*0</f>
        <v>0</v>
      </c>
      <c r="F130" s="9">
        <f t="shared" si="2"/>
        <v>68</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1</v>
      </c>
      <c r="C132" s="6">
        <f>B132*0</f>
        <v>0</v>
      </c>
      <c r="D132" s="7">
        <f>B132*0</f>
        <v>0</v>
      </c>
      <c r="E132" s="8">
        <f>B132*5</f>
        <v>5</v>
      </c>
      <c r="F132" s="9">
        <f t="shared" si="2"/>
        <v>45</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1</v>
      </c>
      <c r="C133" s="6">
        <f>B133*10</f>
        <v>10</v>
      </c>
      <c r="D133" s="7">
        <f>B133*0</f>
        <v>0</v>
      </c>
      <c r="E133" s="10">
        <f>B133*0</f>
        <v>0</v>
      </c>
      <c r="F133" s="11">
        <f t="shared" si="2"/>
        <v>40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56</v>
      </c>
      <c r="D134" s="7">
        <f>SUM(D126:D133)</f>
        <v>13</v>
      </c>
      <c r="E134" s="10">
        <f>SUM(E126:E133)</f>
        <v>10</v>
      </c>
      <c r="F134" s="11">
        <f>SUM(F126:F133)</f>
        <v>366</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f>(D136*100)/F134</f>
        <v>61.202185792349724</v>
      </c>
      <c r="C136" s="1">
        <f>C134</f>
        <v>56</v>
      </c>
      <c r="D136" s="1130">
        <f>C136*4</f>
        <v>224</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f>(D137*100)/F134</f>
        <v>14.207650273224044</v>
      </c>
      <c r="C137" s="1">
        <f>D134</f>
        <v>13</v>
      </c>
      <c r="D137" s="1130">
        <f>C137*4</f>
        <v>52</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f>(D138*100)/F134</f>
        <v>24.590163934426229</v>
      </c>
      <c r="C138" s="1">
        <f>E134</f>
        <v>10</v>
      </c>
      <c r="D138" s="1130">
        <f>C138*9</f>
        <v>90</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2</v>
      </c>
      <c r="C142" s="50">
        <f>B142*12</f>
        <v>24</v>
      </c>
      <c r="D142" s="51">
        <f>B142*9</f>
        <v>18</v>
      </c>
      <c r="E142" s="52">
        <f>B142*5</f>
        <v>10</v>
      </c>
      <c r="F142" s="9">
        <f t="shared" ref="F142:F149" si="4">(C142*4)+(D142*4)+(E142*9)</f>
        <v>258</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4</v>
      </c>
      <c r="C143" s="6">
        <v>0</v>
      </c>
      <c r="D143" s="7">
        <f>B143*7</f>
        <v>28</v>
      </c>
      <c r="E143" s="8">
        <f>B143*4</f>
        <v>16</v>
      </c>
      <c r="F143" s="9">
        <f t="shared" si="4"/>
        <v>256</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4</v>
      </c>
      <c r="C144" s="6">
        <f>B144*15</f>
        <v>60</v>
      </c>
      <c r="D144" s="7">
        <f>B144*0</f>
        <v>0</v>
      </c>
      <c r="E144" s="8">
        <f>B144*0</f>
        <v>0</v>
      </c>
      <c r="F144" s="9">
        <f t="shared" si="4"/>
        <v>240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5</v>
      </c>
      <c r="C145" s="6">
        <f>B145*4</f>
        <v>20</v>
      </c>
      <c r="D145" s="7">
        <f>B145*2</f>
        <v>10</v>
      </c>
      <c r="E145" s="8"/>
      <c r="F145" s="9">
        <f t="shared" si="4"/>
        <v>120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6</v>
      </c>
      <c r="C146" s="6">
        <f>B146*15</f>
        <v>90</v>
      </c>
      <c r="D146" s="7">
        <f>B146*2</f>
        <v>12</v>
      </c>
      <c r="E146" s="8">
        <f>B146*0</f>
        <v>0</v>
      </c>
      <c r="F146" s="9">
        <f t="shared" si="4"/>
        <v>408</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1</v>
      </c>
      <c r="C147" s="6">
        <f>B147*20</f>
        <v>20</v>
      </c>
      <c r="D147" s="7">
        <f>B147*8</f>
        <v>8</v>
      </c>
      <c r="E147" s="8">
        <f>B147*1</f>
        <v>1</v>
      </c>
      <c r="F147" s="9">
        <f t="shared" si="4"/>
        <v>121</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7</v>
      </c>
      <c r="C148" s="6">
        <f>B148*0</f>
        <v>0</v>
      </c>
      <c r="D148" s="7">
        <f>B148*0</f>
        <v>0</v>
      </c>
      <c r="E148" s="8">
        <f>B148*5</f>
        <v>35</v>
      </c>
      <c r="F148" s="9">
        <f t="shared" si="4"/>
        <v>315</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3</v>
      </c>
      <c r="C149" s="6">
        <f>B149*10</f>
        <v>30</v>
      </c>
      <c r="D149" s="7">
        <f>B149*0</f>
        <v>0</v>
      </c>
      <c r="E149" s="10">
        <f>B149*0</f>
        <v>0</v>
      </c>
      <c r="F149" s="11">
        <f t="shared" si="4"/>
        <v>120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244</v>
      </c>
      <c r="D150" s="7">
        <f>SUM(D142:D149)</f>
        <v>76</v>
      </c>
      <c r="E150" s="10">
        <f>SUM(E142:E149)</f>
        <v>62</v>
      </c>
      <c r="F150" s="11">
        <f>SUM(F142:F149)</f>
        <v>1838</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244</v>
      </c>
      <c r="D152" s="74">
        <f>C152*4</f>
        <v>976</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76</v>
      </c>
      <c r="D153" s="74">
        <f>C153*4</f>
        <v>304</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62</v>
      </c>
      <c r="D154" s="74">
        <f>C154*9</f>
        <v>558</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1838</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IF(J11&lt;=73,"95"*D27,IF(J11&lt;=96,"90"*D27,IF(J11&lt;=120,"78"*D27,IF(J11&lt;=144,2200))))</f>
        <v>1092.5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600.875</v>
      </c>
      <c r="F159" s="257">
        <f>E159/4</f>
        <v>150.21875</v>
      </c>
      <c r="G159" s="258">
        <f>(E159*100)/E158</f>
        <v>55</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46</v>
      </c>
      <c r="F160" s="257">
        <f>IF(J11&lt;=144,"1.0"*D27)</f>
        <v>11.5</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445.625</v>
      </c>
      <c r="F161" s="258">
        <f>E161/9</f>
        <v>49.513888888888886</v>
      </c>
      <c r="G161" s="258">
        <f>(E161*100)/E158</f>
        <v>40.789473684210527</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1520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2</v>
      </c>
      <c r="C166" s="22">
        <f>B166*12</f>
        <v>24</v>
      </c>
      <c r="D166" s="27">
        <f>B166*9</f>
        <v>18</v>
      </c>
      <c r="E166" s="23">
        <f>B166*5</f>
        <v>10</v>
      </c>
      <c r="F166" s="150">
        <f t="shared" ref="F166:F173" si="5">(C166*4)+(D166*4)+(E166*9)</f>
        <v>258</v>
      </c>
      <c r="G166" s="24">
        <f t="shared" ref="G166:G173" si="6">B166</f>
        <v>2</v>
      </c>
      <c r="H166" s="148">
        <v>1</v>
      </c>
      <c r="I166" s="148">
        <v>0</v>
      </c>
      <c r="J166" s="148">
        <v>0</v>
      </c>
      <c r="K166" s="148">
        <v>0</v>
      </c>
      <c r="L166" s="149">
        <v>1</v>
      </c>
      <c r="M166" s="4">
        <f t="shared" ref="M166:M175" si="7">SUM(H166:L166)</f>
        <v>2</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4</v>
      </c>
      <c r="C167" s="22">
        <v>0</v>
      </c>
      <c r="D167" s="27">
        <f>B167*7</f>
        <v>28</v>
      </c>
      <c r="E167" s="23">
        <f>B167*4</f>
        <v>16</v>
      </c>
      <c r="F167" s="150">
        <f t="shared" si="5"/>
        <v>256</v>
      </c>
      <c r="G167" s="24">
        <f t="shared" si="6"/>
        <v>4</v>
      </c>
      <c r="H167" s="148">
        <v>1</v>
      </c>
      <c r="I167" s="148">
        <v>0</v>
      </c>
      <c r="J167" s="148">
        <v>2</v>
      </c>
      <c r="K167" s="148">
        <v>0</v>
      </c>
      <c r="L167" s="148">
        <v>1</v>
      </c>
      <c r="M167" s="4">
        <f t="shared" si="7"/>
        <v>4</v>
      </c>
      <c r="N167" s="40" t="str">
        <f t="shared" si="8"/>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5</v>
      </c>
      <c r="C168" s="22">
        <f>B168*15</f>
        <v>75</v>
      </c>
      <c r="D168" s="27">
        <f>B168*0</f>
        <v>0</v>
      </c>
      <c r="E168" s="23">
        <f>B168*0</f>
        <v>0</v>
      </c>
      <c r="F168" s="150">
        <f t="shared" si="5"/>
        <v>300</v>
      </c>
      <c r="G168" s="24">
        <f t="shared" si="6"/>
        <v>5</v>
      </c>
      <c r="H168" s="148">
        <v>1</v>
      </c>
      <c r="I168" s="148">
        <v>1</v>
      </c>
      <c r="J168" s="148">
        <v>1</v>
      </c>
      <c r="K168" s="148">
        <v>1</v>
      </c>
      <c r="L168" s="148">
        <v>1</v>
      </c>
      <c r="M168" s="4">
        <f t="shared" si="7"/>
        <v>5</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7</v>
      </c>
      <c r="C169" s="22">
        <f>B169*4</f>
        <v>28</v>
      </c>
      <c r="D169" s="27">
        <f>B169*2</f>
        <v>14</v>
      </c>
      <c r="E169" s="23"/>
      <c r="F169" s="150">
        <f t="shared" si="5"/>
        <v>168</v>
      </c>
      <c r="G169" s="24">
        <f t="shared" si="6"/>
        <v>7</v>
      </c>
      <c r="H169" s="148">
        <v>2</v>
      </c>
      <c r="I169" s="148">
        <v>1</v>
      </c>
      <c r="J169" s="148">
        <v>2</v>
      </c>
      <c r="K169" s="148">
        <v>1</v>
      </c>
      <c r="L169" s="148">
        <v>1</v>
      </c>
      <c r="M169" s="4">
        <f t="shared" si="7"/>
        <v>7</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6</v>
      </c>
      <c r="C170" s="22">
        <f>B170*15</f>
        <v>90</v>
      </c>
      <c r="D170" s="27">
        <f>B170*2</f>
        <v>12</v>
      </c>
      <c r="E170" s="23">
        <f>B170*0</f>
        <v>0</v>
      </c>
      <c r="F170" s="150">
        <f t="shared" si="5"/>
        <v>408</v>
      </c>
      <c r="G170" s="24">
        <f t="shared" si="6"/>
        <v>6</v>
      </c>
      <c r="H170" s="148">
        <v>1</v>
      </c>
      <c r="I170" s="148">
        <v>1</v>
      </c>
      <c r="J170" s="148">
        <v>2</v>
      </c>
      <c r="K170" s="148">
        <v>1</v>
      </c>
      <c r="L170" s="148">
        <v>1</v>
      </c>
      <c r="M170" s="4">
        <f t="shared" si="7"/>
        <v>6</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1</v>
      </c>
      <c r="C171" s="22">
        <f>B171*20</f>
        <v>20</v>
      </c>
      <c r="D171" s="27">
        <f>B171*8</f>
        <v>8</v>
      </c>
      <c r="E171" s="23">
        <f>B171*1</f>
        <v>1</v>
      </c>
      <c r="F171" s="150">
        <f t="shared" si="5"/>
        <v>121</v>
      </c>
      <c r="G171" s="24">
        <f t="shared" si="6"/>
        <v>1</v>
      </c>
      <c r="H171" s="148">
        <v>0</v>
      </c>
      <c r="I171" s="148">
        <v>0</v>
      </c>
      <c r="J171" s="148">
        <v>1</v>
      </c>
      <c r="K171" s="148">
        <v>0</v>
      </c>
      <c r="L171" s="148">
        <v>0</v>
      </c>
      <c r="M171" s="4">
        <f t="shared" si="7"/>
        <v>1</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3</v>
      </c>
      <c r="C172" s="22">
        <f>B172*0</f>
        <v>0</v>
      </c>
      <c r="D172" s="27">
        <f>B172*0</f>
        <v>0</v>
      </c>
      <c r="E172" s="23">
        <f>B172*5</f>
        <v>15</v>
      </c>
      <c r="F172" s="150">
        <f t="shared" si="5"/>
        <v>135</v>
      </c>
      <c r="G172" s="24">
        <f t="shared" si="6"/>
        <v>3</v>
      </c>
      <c r="H172" s="148">
        <v>1</v>
      </c>
      <c r="I172" s="148">
        <v>0</v>
      </c>
      <c r="J172" s="148">
        <v>1</v>
      </c>
      <c r="K172" s="148">
        <v>0</v>
      </c>
      <c r="L172" s="148">
        <v>1</v>
      </c>
      <c r="M172" s="4">
        <f t="shared" si="7"/>
        <v>3</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3</v>
      </c>
      <c r="C173" s="22">
        <f>B173*10</f>
        <v>30</v>
      </c>
      <c r="D173" s="27">
        <f>B173*0</f>
        <v>0</v>
      </c>
      <c r="E173" s="23">
        <f>B173*0</f>
        <v>0</v>
      </c>
      <c r="F173" s="152">
        <f t="shared" si="5"/>
        <v>120</v>
      </c>
      <c r="G173" s="24">
        <f t="shared" si="6"/>
        <v>3</v>
      </c>
      <c r="H173" s="148">
        <v>1</v>
      </c>
      <c r="I173" s="148">
        <v>0</v>
      </c>
      <c r="J173" s="148">
        <v>1</v>
      </c>
      <c r="K173" s="148">
        <v>0</v>
      </c>
      <c r="L173" s="148">
        <v>1</v>
      </c>
      <c r="M173" s="4">
        <f t="shared" si="7"/>
        <v>3</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267</v>
      </c>
      <c r="D174" s="154">
        <f>SUM(D166:D173)</f>
        <v>80</v>
      </c>
      <c r="E174" s="155">
        <f>SUM(E166:E173)</f>
        <v>42</v>
      </c>
      <c r="F174" s="151">
        <f>SUM(F166:F173)</f>
        <v>1766</v>
      </c>
      <c r="G174" s="4"/>
      <c r="H174" s="4">
        <f>($H$166*129)+($H$167*64)+($H$168*60)+($H$169*24)+($H$170*68)+($H$171*121)+($H$172*45)+($H$173*40)</f>
        <v>454</v>
      </c>
      <c r="I174" s="4">
        <f>(I166*129)+(I167*64)+(I168*60)+(I169*24)+(I170*68)+(I171*121)+(I172*45)+(I173*40)</f>
        <v>152</v>
      </c>
      <c r="J174" s="4">
        <f>(J166*129)+(J167*64)+(J168*60)+(J169*24)+(J170*68)+(J171*121)+(J172*45)+(J173*40)</f>
        <v>578</v>
      </c>
      <c r="K174" s="4">
        <f>(K166*129)+(K167*64)+(K168*60)+(K169*24)+(K170*68)+(K171*121)+(K172*45)+(K173*40)</f>
        <v>152</v>
      </c>
      <c r="L174" s="4">
        <f>(L166*129)+(L167*64)+(L168*60)+(L169*24)+(L170*68)+(L171*121)+(L172*45)+(L173*40)</f>
        <v>430</v>
      </c>
      <c r="M174" s="24">
        <f t="shared" si="7"/>
        <v>1766</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f>(H174*100)/F174</f>
        <v>25.707814269535675</v>
      </c>
      <c r="I175" s="4">
        <f>(I174*100)/F174</f>
        <v>8.6070215175537932</v>
      </c>
      <c r="J175" s="4">
        <f>(J174*100)/F174</f>
        <v>32.729331823329559</v>
      </c>
      <c r="K175" s="4">
        <f>(K174*100)/F174</f>
        <v>8.6070215175537932</v>
      </c>
      <c r="L175" s="4">
        <f>(L174*100)/F174</f>
        <v>24.34881087202718</v>
      </c>
      <c r="M175" s="24">
        <f t="shared" si="7"/>
        <v>100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f>(C177*100)/F174</f>
        <v>60.475651189127973</v>
      </c>
      <c r="C177" s="19">
        <f>D177*4</f>
        <v>1068</v>
      </c>
      <c r="D177" s="156">
        <f>C174</f>
        <v>267</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f>(C178*100)/F174</f>
        <v>18.120045300113251</v>
      </c>
      <c r="C178" s="19">
        <f>D178*4</f>
        <v>320</v>
      </c>
      <c r="D178" s="156">
        <f>D174</f>
        <v>80</v>
      </c>
      <c r="E178" s="28" t="s">
        <v>68</v>
      </c>
      <c r="F178" s="28">
        <f>D166+D167</f>
        <v>46</v>
      </c>
      <c r="G178" s="477" t="s">
        <v>69</v>
      </c>
      <c r="H178" s="29">
        <f>(F178*100)/D174</f>
        <v>57.5</v>
      </c>
      <c r="I178" s="11" t="s">
        <v>52</v>
      </c>
      <c r="J178" s="138" t="s">
        <v>70</v>
      </c>
      <c r="K178" s="29">
        <f>D169+D170+D171</f>
        <v>34</v>
      </c>
      <c r="L178" s="11" t="s">
        <v>69</v>
      </c>
      <c r="M178" s="30">
        <f>(K178*100)/D174</f>
        <v>42.5</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f>(C179*100)/F174</f>
        <v>21.404303510758776</v>
      </c>
      <c r="C179" s="19">
        <f>D179*9</f>
        <v>378</v>
      </c>
      <c r="D179" s="156">
        <f>E174</f>
        <v>42</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6.9565217391304346</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730"/>
      <c r="B182" s="731"/>
      <c r="C182" s="731"/>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t="str">
        <f>B4</f>
        <v>tepayehuitl sanchez yasmín</v>
      </c>
      <c r="C186" s="1088"/>
      <c r="D186" s="1088"/>
      <c r="E186" s="1088"/>
      <c r="F186" s="1088"/>
      <c r="G186" s="1088"/>
      <c r="H186" s="173" t="s">
        <v>4</v>
      </c>
      <c r="I186" s="174">
        <f>D11</f>
        <v>2</v>
      </c>
      <c r="J186" s="175" t="s">
        <v>72</v>
      </c>
      <c r="K186" s="176"/>
      <c r="L186" s="177" t="s">
        <v>291</v>
      </c>
      <c r="M186" s="1223">
        <f>M4</f>
        <v>0</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41501</v>
      </c>
      <c r="C187" s="1090"/>
      <c r="D187" s="727"/>
      <c r="E187" s="727" t="s">
        <v>4</v>
      </c>
      <c r="F187" s="178">
        <f>D11</f>
        <v>2</v>
      </c>
      <c r="G187" s="727" t="s">
        <v>72</v>
      </c>
      <c r="H187" s="179"/>
      <c r="I187" s="180" t="s">
        <v>73</v>
      </c>
      <c r="J187" s="175" t="s">
        <v>208</v>
      </c>
      <c r="K187" s="1229" t="s">
        <v>74</v>
      </c>
      <c r="L187" s="1229"/>
      <c r="M187" s="181">
        <f>D12</f>
        <v>38</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133</v>
      </c>
      <c r="D188" s="175" t="s">
        <v>432</v>
      </c>
      <c r="E188" s="1111" t="s">
        <v>433</v>
      </c>
      <c r="F188" s="1111"/>
      <c r="G188" s="180">
        <f>D27</f>
        <v>11.5</v>
      </c>
      <c r="H188" s="175" t="s">
        <v>75</v>
      </c>
      <c r="I188" s="1111" t="s">
        <v>13</v>
      </c>
      <c r="J188" s="1111"/>
      <c r="K188" s="183">
        <f>D14</f>
        <v>21.482277121374864</v>
      </c>
      <c r="L188" s="747" t="s">
        <v>434</v>
      </c>
      <c r="M188" s="747"/>
      <c r="N188" s="271">
        <f>D28</f>
        <v>86.4</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c r="D189" s="1114"/>
      <c r="E189" s="1114"/>
      <c r="F189" s="1114"/>
      <c r="G189" s="1114"/>
      <c r="H189" s="1114"/>
      <c r="I189" s="1115" t="s">
        <v>79</v>
      </c>
      <c r="J189" s="1115"/>
      <c r="K189" s="1115"/>
      <c r="L189" s="180">
        <f>M174</f>
        <v>1766</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1</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1</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1</v>
      </c>
      <c r="D193" s="186" t="s">
        <v>59</v>
      </c>
      <c r="E193" s="185">
        <f t="shared" si="10"/>
        <v>0</v>
      </c>
      <c r="F193" s="187" t="s">
        <v>59</v>
      </c>
      <c r="G193" s="185">
        <f t="shared" si="11"/>
        <v>2</v>
      </c>
      <c r="H193" s="187" t="s">
        <v>59</v>
      </c>
      <c r="I193" s="185">
        <f t="shared" si="12"/>
        <v>0</v>
      </c>
      <c r="J193" s="1107" t="s">
        <v>59</v>
      </c>
      <c r="K193" s="1107"/>
      <c r="L193" s="185">
        <f t="shared" si="13"/>
        <v>1</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1</v>
      </c>
      <c r="D194" s="186" t="s">
        <v>59</v>
      </c>
      <c r="E194" s="185">
        <f t="shared" si="10"/>
        <v>1</v>
      </c>
      <c r="F194" s="187" t="s">
        <v>59</v>
      </c>
      <c r="G194" s="185">
        <f t="shared" si="11"/>
        <v>1</v>
      </c>
      <c r="H194" s="187" t="s">
        <v>59</v>
      </c>
      <c r="I194" s="185">
        <f t="shared" si="12"/>
        <v>1</v>
      </c>
      <c r="J194" s="1107" t="s">
        <v>59</v>
      </c>
      <c r="K194" s="1107"/>
      <c r="L194" s="185">
        <f t="shared" si="13"/>
        <v>1</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728" t="s">
        <v>90</v>
      </c>
      <c r="B195" s="728"/>
      <c r="C195" s="185">
        <f t="shared" si="9"/>
        <v>2</v>
      </c>
      <c r="D195" s="186" t="s">
        <v>59</v>
      </c>
      <c r="E195" s="185">
        <f t="shared" si="10"/>
        <v>1</v>
      </c>
      <c r="F195" s="187" t="s">
        <v>59</v>
      </c>
      <c r="G195" s="185">
        <f t="shared" si="11"/>
        <v>2</v>
      </c>
      <c r="H195" s="187" t="s">
        <v>59</v>
      </c>
      <c r="I195" s="185">
        <f t="shared" si="12"/>
        <v>1</v>
      </c>
      <c r="J195" s="1107" t="s">
        <v>59</v>
      </c>
      <c r="K195" s="1107"/>
      <c r="L195" s="185">
        <f t="shared" si="13"/>
        <v>1</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1</v>
      </c>
      <c r="D196" s="186" t="s">
        <v>59</v>
      </c>
      <c r="E196" s="185">
        <f t="shared" si="10"/>
        <v>1</v>
      </c>
      <c r="F196" s="187" t="s">
        <v>59</v>
      </c>
      <c r="G196" s="185">
        <f t="shared" si="11"/>
        <v>2</v>
      </c>
      <c r="H196" s="187" t="s">
        <v>59</v>
      </c>
      <c r="I196" s="185">
        <f t="shared" si="12"/>
        <v>1</v>
      </c>
      <c r="J196" s="1107" t="s">
        <v>59</v>
      </c>
      <c r="K196" s="1107"/>
      <c r="L196" s="185">
        <f t="shared" si="13"/>
        <v>1</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1</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1</v>
      </c>
      <c r="D198" s="186" t="s">
        <v>59</v>
      </c>
      <c r="E198" s="188">
        <f t="shared" si="10"/>
        <v>0</v>
      </c>
      <c r="F198" s="189" t="s">
        <v>59</v>
      </c>
      <c r="G198" s="185">
        <f t="shared" si="11"/>
        <v>1</v>
      </c>
      <c r="H198" s="187" t="s">
        <v>59</v>
      </c>
      <c r="I198" s="185">
        <f t="shared" si="12"/>
        <v>0</v>
      </c>
      <c r="J198" s="1107" t="s">
        <v>59</v>
      </c>
      <c r="K198" s="1107"/>
      <c r="L198" s="185">
        <f t="shared" si="13"/>
        <v>1</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1</v>
      </c>
      <c r="D199" s="191" t="s">
        <v>59</v>
      </c>
      <c r="E199" s="185">
        <f t="shared" si="10"/>
        <v>0</v>
      </c>
      <c r="F199" s="187" t="s">
        <v>59</v>
      </c>
      <c r="G199" s="190">
        <f t="shared" si="11"/>
        <v>1</v>
      </c>
      <c r="H199" s="192" t="s">
        <v>59</v>
      </c>
      <c r="I199" s="190">
        <f t="shared" si="12"/>
        <v>0</v>
      </c>
      <c r="J199" s="1106" t="s">
        <v>59</v>
      </c>
      <c r="K199" s="1106"/>
      <c r="L199" s="190">
        <f t="shared" si="13"/>
        <v>1</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745"/>
      <c r="I201" s="1215" t="s">
        <v>254</v>
      </c>
      <c r="J201" s="1215"/>
      <c r="K201" s="745"/>
      <c r="L201" s="175"/>
      <c r="M201" s="744"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743"/>
      <c r="I202" s="743" t="s">
        <v>256</v>
      </c>
      <c r="J202" s="743"/>
      <c r="K202" s="743"/>
      <c r="L202" s="175"/>
      <c r="M202" s="744"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743" t="s">
        <v>242</v>
      </c>
      <c r="F203" s="175"/>
      <c r="G203" s="745"/>
      <c r="H203" s="743"/>
      <c r="I203" s="743" t="s">
        <v>258</v>
      </c>
      <c r="J203" s="743"/>
      <c r="K203" s="743"/>
      <c r="L203" s="745"/>
      <c r="M203" s="744"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745"/>
      <c r="H204" s="743"/>
      <c r="I204" s="743" t="s">
        <v>260</v>
      </c>
      <c r="J204" s="743"/>
      <c r="K204" s="743"/>
      <c r="L204" s="745"/>
      <c r="M204" s="744"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743"/>
      <c r="I205" s="743" t="s">
        <v>261</v>
      </c>
      <c r="J205" s="743"/>
      <c r="K205" s="743"/>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745"/>
      <c r="H206" s="743"/>
      <c r="I206" s="743" t="s">
        <v>262</v>
      </c>
      <c r="J206" s="743"/>
      <c r="K206" s="743"/>
      <c r="L206" s="745"/>
      <c r="M206" s="744" t="s">
        <v>263</v>
      </c>
      <c r="N206" s="729"/>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744"/>
      <c r="G207" s="745"/>
      <c r="H207" s="743"/>
      <c r="I207" s="743" t="s">
        <v>264</v>
      </c>
      <c r="J207" s="743"/>
      <c r="K207" s="743"/>
      <c r="L207" s="745"/>
      <c r="M207" s="744"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744"/>
      <c r="G208" s="745"/>
      <c r="H208" s="743"/>
      <c r="I208" s="743" t="s">
        <v>265</v>
      </c>
      <c r="J208" s="743"/>
      <c r="K208" s="743"/>
      <c r="L208" s="745"/>
      <c r="M208" s="744"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744"/>
      <c r="G209" s="175"/>
      <c r="H209" s="743"/>
      <c r="I209" s="743" t="s">
        <v>266</v>
      </c>
      <c r="J209" s="743"/>
      <c r="K209" s="743"/>
      <c r="L209" s="175"/>
      <c r="M209" s="744"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744"/>
      <c r="G210" s="175"/>
      <c r="H210" s="743"/>
      <c r="I210" s="743" t="s">
        <v>267</v>
      </c>
      <c r="J210" s="743"/>
      <c r="K210" s="743"/>
      <c r="L210" s="175"/>
      <c r="M210" s="744"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744"/>
      <c r="G211" s="175"/>
      <c r="H211" s="743"/>
      <c r="I211" s="743" t="s">
        <v>269</v>
      </c>
      <c r="J211" s="743"/>
      <c r="K211" s="743"/>
      <c r="L211" s="175"/>
      <c r="M211" s="744"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744"/>
      <c r="G212" s="175"/>
      <c r="H212" s="743"/>
      <c r="I212" s="743" t="s">
        <v>272</v>
      </c>
      <c r="J212" s="743"/>
      <c r="K212" s="743"/>
      <c r="L212" s="175"/>
      <c r="M212" s="744"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743"/>
      <c r="I213" s="743" t="s">
        <v>273</v>
      </c>
      <c r="J213" s="743"/>
      <c r="K213" s="743"/>
      <c r="L213" s="175"/>
      <c r="M213" s="744"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743"/>
      <c r="I214" s="743" t="s">
        <v>275</v>
      </c>
      <c r="J214" s="743"/>
      <c r="K214" s="743"/>
      <c r="L214" s="175"/>
      <c r="M214" s="744"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743"/>
      <c r="I215" s="743" t="s">
        <v>276</v>
      </c>
      <c r="J215" s="743"/>
      <c r="K215" s="743"/>
      <c r="L215" s="175"/>
      <c r="M215" s="744"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743"/>
      <c r="I216" s="743" t="s">
        <v>278</v>
      </c>
      <c r="J216" s="743"/>
      <c r="K216" s="743"/>
      <c r="L216" s="175"/>
      <c r="M216" s="744"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743"/>
      <c r="I217" s="743" t="s">
        <v>279</v>
      </c>
      <c r="J217" s="743"/>
      <c r="K217" s="743"/>
      <c r="L217" s="175"/>
      <c r="M217" s="744"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743"/>
      <c r="I218" s="743" t="s">
        <v>280</v>
      </c>
      <c r="J218" s="743"/>
      <c r="K218" s="743"/>
      <c r="L218" s="175"/>
      <c r="M218" s="744"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744" t="s">
        <v>247</v>
      </c>
      <c r="F219" s="744"/>
      <c r="G219" s="744"/>
      <c r="H219" s="743"/>
      <c r="I219" s="743" t="s">
        <v>281</v>
      </c>
      <c r="J219" s="743"/>
      <c r="K219" s="743"/>
      <c r="L219" s="175"/>
      <c r="M219" s="744"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744"/>
      <c r="H220" s="743"/>
      <c r="I220" s="743" t="s">
        <v>282</v>
      </c>
      <c r="J220" s="743"/>
      <c r="K220" s="743"/>
      <c r="L220" s="175"/>
      <c r="M220" s="744"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744"/>
      <c r="H221" s="743"/>
      <c r="I221" s="743" t="s">
        <v>283</v>
      </c>
      <c r="J221" s="743"/>
      <c r="K221" s="743"/>
      <c r="L221" s="175"/>
      <c r="M221" s="744"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744"/>
      <c r="H222" s="743"/>
      <c r="I222" s="743" t="s">
        <v>284</v>
      </c>
      <c r="J222" s="743"/>
      <c r="K222" s="743"/>
      <c r="L222" s="175"/>
      <c r="M222" s="744"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744"/>
      <c r="H223" s="743"/>
      <c r="I223" s="743" t="s">
        <v>285</v>
      </c>
      <c r="J223" s="743"/>
      <c r="K223" s="743"/>
      <c r="L223" s="175"/>
      <c r="M223" s="744"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744"/>
      <c r="H224" s="743"/>
      <c r="I224" s="743" t="s">
        <v>286</v>
      </c>
      <c r="J224" s="743"/>
      <c r="K224" s="743"/>
      <c r="L224" s="175"/>
      <c r="M224" s="744"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744"/>
      <c r="H225" s="743"/>
      <c r="I225" s="743" t="s">
        <v>287</v>
      </c>
      <c r="J225" s="743"/>
      <c r="K225" s="743"/>
      <c r="L225" s="175"/>
      <c r="M225" s="744"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744"/>
      <c r="H226" s="743"/>
      <c r="I226" s="743" t="s">
        <v>288</v>
      </c>
      <c r="J226" s="743"/>
      <c r="K226" s="743"/>
      <c r="L226" s="175"/>
      <c r="M226" s="744"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744"/>
      <c r="H227" s="743"/>
      <c r="I227" s="743" t="s">
        <v>289</v>
      </c>
      <c r="J227" s="743"/>
      <c r="K227" s="743"/>
      <c r="L227" s="175"/>
      <c r="M227" s="744"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744"/>
      <c r="H228" s="743"/>
      <c r="I228" s="1215" t="s">
        <v>290</v>
      </c>
      <c r="J228" s="1215"/>
      <c r="K228" s="1215"/>
      <c r="L228" s="175"/>
      <c r="M228" s="744"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744"/>
      <c r="H229" s="743"/>
      <c r="I229" s="1215"/>
      <c r="J229" s="1215"/>
      <c r="K229" s="1215"/>
      <c r="L229" s="175"/>
      <c r="M229" s="743"/>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744"/>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744"/>
      <c r="H231" s="175"/>
      <c r="I231" s="175" t="s">
        <v>105</v>
      </c>
      <c r="J231" s="175"/>
      <c r="K231" s="175"/>
      <c r="L231" s="175"/>
      <c r="M231" s="201">
        <v>0.5</v>
      </c>
      <c r="N231" s="744"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744"/>
      <c r="H232" s="175"/>
      <c r="I232" s="175" t="s">
        <v>107</v>
      </c>
      <c r="J232" s="175"/>
      <c r="K232" s="175"/>
      <c r="L232" s="175"/>
      <c r="M232" s="200">
        <v>1</v>
      </c>
      <c r="N232" s="744"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744"/>
      <c r="H233" s="175"/>
      <c r="I233" s="175" t="s">
        <v>109</v>
      </c>
      <c r="J233" s="175"/>
      <c r="K233" s="175"/>
      <c r="L233" s="175"/>
      <c r="M233" s="200">
        <v>1</v>
      </c>
      <c r="N233" s="744"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744"/>
      <c r="H234" s="175"/>
      <c r="I234" s="175" t="s">
        <v>111</v>
      </c>
      <c r="J234" s="175"/>
      <c r="K234" s="175"/>
      <c r="L234" s="175"/>
      <c r="M234" s="200"/>
      <c r="N234" s="744"/>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744"/>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744" t="s">
        <v>248</v>
      </c>
      <c r="F236" s="744"/>
      <c r="G236" s="744"/>
      <c r="H236" s="175"/>
      <c r="I236" s="175" t="s">
        <v>115</v>
      </c>
      <c r="J236" s="205" t="s">
        <v>251</v>
      </c>
      <c r="K236" s="205"/>
      <c r="L236" s="175"/>
      <c r="M236" s="201">
        <v>0.33333333333333331</v>
      </c>
      <c r="N236" s="744"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744"/>
      <c r="H237" s="175"/>
      <c r="I237" s="175" t="s">
        <v>116</v>
      </c>
      <c r="J237" s="175"/>
      <c r="K237" s="175"/>
      <c r="L237" s="175"/>
      <c r="M237" s="200">
        <v>5</v>
      </c>
      <c r="N237" s="744"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744"/>
      <c r="H238" s="175"/>
      <c r="I238" s="175" t="s">
        <v>118</v>
      </c>
      <c r="J238" s="175"/>
      <c r="K238" s="175"/>
      <c r="L238" s="175"/>
      <c r="M238" s="201">
        <v>0.75</v>
      </c>
      <c r="N238" s="744"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744"/>
      <c r="H239" s="175"/>
      <c r="I239" s="175" t="s">
        <v>120</v>
      </c>
      <c r="J239" s="175"/>
      <c r="K239" s="175"/>
      <c r="L239" s="175"/>
      <c r="M239" s="200">
        <v>5</v>
      </c>
      <c r="N239" s="744"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744"/>
      <c r="H240" s="175"/>
      <c r="I240" s="175" t="s">
        <v>122</v>
      </c>
      <c r="J240" s="175"/>
      <c r="K240" s="175"/>
      <c r="L240" s="175"/>
      <c r="M240" s="200">
        <v>1</v>
      </c>
      <c r="N240" s="744"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744"/>
      <c r="H241" s="175"/>
      <c r="I241" s="175" t="s">
        <v>124</v>
      </c>
      <c r="J241" s="175"/>
      <c r="K241" s="175"/>
      <c r="L241" s="175"/>
      <c r="M241" s="200">
        <v>6</v>
      </c>
      <c r="N241" s="744"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744"/>
      <c r="H242" s="175"/>
      <c r="I242" s="175" t="s">
        <v>126</v>
      </c>
      <c r="J242" s="1217" t="s">
        <v>252</v>
      </c>
      <c r="K242" s="1217"/>
      <c r="L242" s="175"/>
      <c r="M242" s="201">
        <v>0.5</v>
      </c>
      <c r="N242" s="744"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744"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744"/>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744"/>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744" t="s">
        <v>248</v>
      </c>
      <c r="G246" s="195"/>
      <c r="H246" s="175"/>
      <c r="I246" s="299" t="s">
        <v>458</v>
      </c>
      <c r="J246" s="299"/>
      <c r="K246" s="299"/>
      <c r="L246" s="299"/>
      <c r="M246" s="198">
        <v>2</v>
      </c>
      <c r="N246" s="744"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744" t="s">
        <v>248</v>
      </c>
      <c r="G247" s="195"/>
      <c r="H247" s="175"/>
      <c r="I247" s="299" t="s">
        <v>460</v>
      </c>
      <c r="J247" s="299"/>
      <c r="K247" s="299"/>
      <c r="L247" s="299"/>
      <c r="M247" s="198">
        <v>15</v>
      </c>
      <c r="N247" s="744"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744" t="s">
        <v>248</v>
      </c>
      <c r="G248" s="195"/>
      <c r="H248" s="175"/>
      <c r="I248" s="299" t="s">
        <v>461</v>
      </c>
      <c r="J248" s="299"/>
      <c r="K248" s="299"/>
      <c r="L248" s="299"/>
      <c r="M248" s="198">
        <v>2</v>
      </c>
      <c r="N248" s="744"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744" t="s">
        <v>248</v>
      </c>
      <c r="G249" s="195"/>
      <c r="H249" s="175"/>
      <c r="I249" s="299" t="s">
        <v>462</v>
      </c>
      <c r="J249" s="299"/>
      <c r="K249" s="299"/>
      <c r="L249" s="299"/>
      <c r="M249" s="300">
        <v>8</v>
      </c>
      <c r="N249" s="744"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744" t="s">
        <v>248</v>
      </c>
      <c r="G250" s="195"/>
      <c r="H250" s="175"/>
      <c r="I250" s="299" t="s">
        <v>463</v>
      </c>
      <c r="J250" s="299"/>
      <c r="K250" s="299"/>
      <c r="L250" s="299"/>
      <c r="M250" s="198">
        <v>2</v>
      </c>
      <c r="N250" s="744"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744" t="s">
        <v>235</v>
      </c>
      <c r="G251" s="195"/>
      <c r="H251" s="175"/>
      <c r="I251" s="1226" t="s">
        <v>464</v>
      </c>
      <c r="J251" s="1226"/>
      <c r="K251" s="1226"/>
      <c r="L251" s="1226"/>
      <c r="M251" s="198">
        <v>2</v>
      </c>
      <c r="N251" s="746"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744"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744"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t="str">
        <f>B4</f>
        <v>tepayehuitl sanchez yasmín</v>
      </c>
      <c r="C280" s="1088"/>
      <c r="D280" s="1088"/>
      <c r="E280" s="1088"/>
      <c r="F280" s="1088"/>
      <c r="G280" s="1088"/>
      <c r="H280" s="173" t="s">
        <v>396</v>
      </c>
      <c r="I280" s="1221">
        <f>B5</f>
        <v>41501</v>
      </c>
      <c r="J280" s="1222"/>
      <c r="K280" s="176"/>
      <c r="L280" s="177" t="s">
        <v>291</v>
      </c>
      <c r="M280" s="1223">
        <f>M4</f>
        <v>0</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2</v>
      </c>
      <c r="C282" s="175" t="s">
        <v>72</v>
      </c>
      <c r="D282" s="1224" t="s">
        <v>323</v>
      </c>
      <c r="E282" s="1224"/>
      <c r="F282" s="1225" t="s">
        <v>397</v>
      </c>
      <c r="G282" s="1225"/>
      <c r="H282" s="175"/>
      <c r="I282" s="1224" t="s">
        <v>328</v>
      </c>
      <c r="J282" s="1224"/>
      <c r="K282" s="1217" t="s">
        <v>470</v>
      </c>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746">
        <v>3</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746">
        <f>C37</f>
        <v>0</v>
      </c>
      <c r="D291" s="175" t="s">
        <v>349</v>
      </c>
      <c r="E291" s="175"/>
      <c r="F291" s="175"/>
      <c r="G291" s="744">
        <f>G37</f>
        <v>0</v>
      </c>
      <c r="H291" s="175" t="s">
        <v>354</v>
      </c>
      <c r="I291" s="175"/>
      <c r="J291" s="746">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746">
        <f>C38</f>
        <v>0</v>
      </c>
      <c r="D292" s="175" t="s">
        <v>350</v>
      </c>
      <c r="E292" s="175"/>
      <c r="F292" s="175"/>
      <c r="G292" s="744">
        <f>G38</f>
        <v>0</v>
      </c>
      <c r="H292" s="175" t="s">
        <v>355</v>
      </c>
      <c r="I292" s="175"/>
      <c r="J292" s="746">
        <f>J38</f>
        <v>0</v>
      </c>
      <c r="K292" s="175"/>
      <c r="L292" s="175" t="s">
        <v>359</v>
      </c>
      <c r="M292" s="175"/>
      <c r="N292" s="744">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746" t="str">
        <f>C39</f>
        <v>X</v>
      </c>
      <c r="D293" s="175" t="s">
        <v>351</v>
      </c>
      <c r="E293" s="175"/>
      <c r="F293" s="175"/>
      <c r="G293" s="744">
        <f>G39</f>
        <v>0</v>
      </c>
      <c r="H293" s="175" t="s">
        <v>356</v>
      </c>
      <c r="I293" s="175"/>
      <c r="J293" s="746">
        <f>J39</f>
        <v>0</v>
      </c>
      <c r="K293" s="175"/>
      <c r="L293" s="1216" t="s">
        <v>360</v>
      </c>
      <c r="M293" s="1216"/>
      <c r="N293" s="743" t="str">
        <f>N39</f>
        <v>x</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746">
        <f>C40</f>
        <v>0</v>
      </c>
      <c r="D294" s="175" t="s">
        <v>352</v>
      </c>
      <c r="E294" s="175"/>
      <c r="F294" s="175"/>
      <c r="G294" s="744">
        <f>G40</f>
        <v>0</v>
      </c>
      <c r="H294" s="175"/>
      <c r="I294" s="175"/>
      <c r="J294" s="175"/>
      <c r="K294" s="175"/>
      <c r="L294" s="1215" t="s">
        <v>362</v>
      </c>
      <c r="M294" s="1215"/>
      <c r="N294" s="743">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2</v>
      </c>
      <c r="D298" s="106">
        <f>B96</f>
        <v>1</v>
      </c>
      <c r="E298" s="106">
        <f>B98</f>
        <v>1</v>
      </c>
      <c r="F298" s="106">
        <f>B99</f>
        <v>2</v>
      </c>
      <c r="G298" s="106">
        <f>B100</f>
        <v>2</v>
      </c>
      <c r="H298" s="106">
        <f>B101</f>
        <v>0</v>
      </c>
      <c r="I298" s="106">
        <f>B103</f>
        <v>1</v>
      </c>
      <c r="J298" s="106">
        <f>B102</f>
        <v>2</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2</v>
      </c>
      <c r="D299" s="106">
        <f>B111</f>
        <v>0</v>
      </c>
      <c r="E299" s="106">
        <f>B113</f>
        <v>2</v>
      </c>
      <c r="F299" s="106">
        <f>B114</f>
        <v>2</v>
      </c>
      <c r="G299" s="106">
        <f>B115</f>
        <v>3</v>
      </c>
      <c r="H299" s="106">
        <f>B116</f>
        <v>1</v>
      </c>
      <c r="I299" s="106">
        <f>B118</f>
        <v>1</v>
      </c>
      <c r="J299" s="106">
        <f>B117</f>
        <v>4</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0</v>
      </c>
      <c r="D300" s="106">
        <f>B126</f>
        <v>1</v>
      </c>
      <c r="E300" s="106">
        <f>B128</f>
        <v>1</v>
      </c>
      <c r="F300" s="106">
        <f>B129</f>
        <v>1</v>
      </c>
      <c r="G300" s="106">
        <f>B130</f>
        <v>1</v>
      </c>
      <c r="H300" s="106">
        <f>B131</f>
        <v>0</v>
      </c>
      <c r="I300" s="106">
        <f>B133</f>
        <v>1</v>
      </c>
      <c r="J300" s="106">
        <f>B132</f>
        <v>1</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4</v>
      </c>
      <c r="D302" s="106">
        <f t="shared" ref="D302:J302" si="14">SUM(D298:D301)</f>
        <v>2</v>
      </c>
      <c r="E302" s="106">
        <f t="shared" si="14"/>
        <v>4</v>
      </c>
      <c r="F302" s="106">
        <f t="shared" si="14"/>
        <v>5</v>
      </c>
      <c r="G302" s="106">
        <f t="shared" si="14"/>
        <v>6</v>
      </c>
      <c r="H302" s="106">
        <f t="shared" si="14"/>
        <v>1</v>
      </c>
      <c r="I302" s="106">
        <f t="shared" si="14"/>
        <v>3</v>
      </c>
      <c r="J302" s="106">
        <f t="shared" si="14"/>
        <v>7</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741"/>
      <c r="H304" s="1077" t="s">
        <v>378</v>
      </c>
      <c r="I304" s="1077"/>
      <c r="J304" s="741"/>
      <c r="K304" s="1077" t="s">
        <v>377</v>
      </c>
      <c r="L304" s="1077"/>
      <c r="M304" s="1077"/>
      <c r="N304" s="741"/>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244</v>
      </c>
      <c r="F305" s="86"/>
      <c r="G305" s="86"/>
      <c r="H305" s="89">
        <f>B152</f>
        <v>54</v>
      </c>
      <c r="I305" s="86"/>
      <c r="J305" s="86"/>
      <c r="K305" s="1060">
        <f>D152</f>
        <v>976</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76</v>
      </c>
      <c r="F306" s="87"/>
      <c r="G306" s="87"/>
      <c r="H306" s="90">
        <f>B153</f>
        <v>18</v>
      </c>
      <c r="I306" s="87"/>
      <c r="J306" s="87"/>
      <c r="K306" s="1072">
        <f>D153</f>
        <v>304</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62</v>
      </c>
      <c r="F307" s="87"/>
      <c r="G307" s="87"/>
      <c r="H307" s="90">
        <f>B154</f>
        <v>28</v>
      </c>
      <c r="I307" s="87"/>
      <c r="J307" s="87"/>
      <c r="K307" s="1072">
        <f>D154</f>
        <v>558</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1838</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729"/>
      <c r="B310" s="729"/>
      <c r="C310" s="1063" t="s">
        <v>388</v>
      </c>
      <c r="D310" s="1063"/>
      <c r="E310" s="740"/>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729"/>
      <c r="B311" s="729"/>
      <c r="C311" s="729"/>
      <c r="D311" s="729"/>
      <c r="E311" s="740"/>
      <c r="F311" s="740"/>
      <c r="G311" s="740"/>
      <c r="H311" s="740"/>
      <c r="I311" s="740"/>
      <c r="J311" s="740"/>
      <c r="K311" s="740"/>
      <c r="L311" s="740"/>
      <c r="M311" s="740"/>
      <c r="N311" s="740"/>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38</v>
      </c>
      <c r="D312" s="86"/>
      <c r="E312" s="99"/>
      <c r="F312" s="740"/>
      <c r="G312" s="99"/>
      <c r="H312" s="740"/>
      <c r="I312" s="99"/>
      <c r="J312" s="740"/>
      <c r="K312" s="99"/>
      <c r="L312" s="740"/>
      <c r="M312" s="99"/>
      <c r="N312" s="740"/>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722"/>
      <c r="C314" s="106"/>
      <c r="D314" s="722"/>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133</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21.482277121374864</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722"/>
      <c r="C317" s="106">
        <f>E54</f>
        <v>0</v>
      </c>
      <c r="D317" s="722"/>
      <c r="E317" s="99"/>
      <c r="F317" s="740"/>
      <c r="G317" s="99"/>
      <c r="H317" s="740"/>
      <c r="I317" s="99"/>
      <c r="J317" s="740"/>
      <c r="K317" s="99"/>
      <c r="L317" s="740"/>
      <c r="M317" s="99"/>
      <c r="N317" s="740"/>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740"/>
      <c r="G318" s="99"/>
      <c r="H318" s="740"/>
      <c r="I318" s="99"/>
      <c r="J318" s="740"/>
      <c r="K318" s="99"/>
      <c r="L318" s="740"/>
      <c r="M318" s="99"/>
      <c r="N318" s="740"/>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576"/>
      <c r="C320" s="102">
        <v>0</v>
      </c>
      <c r="D320" s="576"/>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729"/>
      <c r="C322" s="108"/>
      <c r="D322" s="729"/>
      <c r="E322" s="101"/>
      <c r="F322" s="741"/>
      <c r="G322" s="101"/>
      <c r="H322" s="741"/>
      <c r="I322" s="101"/>
      <c r="J322" s="741"/>
      <c r="K322" s="101"/>
      <c r="L322" s="741"/>
      <c r="M322" s="101"/>
      <c r="N322" s="741"/>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741"/>
      <c r="G323" s="101"/>
      <c r="H323" s="741"/>
      <c r="I323" s="101"/>
      <c r="J323" s="741"/>
      <c r="K323" s="101"/>
      <c r="L323" s="741"/>
      <c r="M323" s="101"/>
      <c r="N323" s="741"/>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741"/>
      <c r="F324" s="741"/>
      <c r="G324" s="741"/>
      <c r="H324" s="741"/>
      <c r="I324" s="741"/>
      <c r="J324" s="741"/>
      <c r="K324" s="741"/>
      <c r="L324" s="741"/>
      <c r="M324" s="741"/>
      <c r="N324" s="741"/>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741"/>
      <c r="H325" s="111"/>
      <c r="I325" s="741"/>
      <c r="J325" s="741"/>
      <c r="K325" s="741"/>
      <c r="L325" s="741"/>
      <c r="M325" s="741"/>
      <c r="N325" s="741"/>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741"/>
      <c r="F326" s="116">
        <f>E60</f>
        <v>0</v>
      </c>
      <c r="G326" s="741"/>
      <c r="H326" s="116">
        <f>G60</f>
        <v>0</v>
      </c>
      <c r="I326" s="741"/>
      <c r="J326" s="116">
        <f>I60</f>
        <v>0</v>
      </c>
      <c r="K326" s="741"/>
      <c r="L326" s="116">
        <f>K60</f>
        <v>0</v>
      </c>
      <c r="M326" s="283" t="str">
        <f>L60</f>
        <v>BAJO</v>
      </c>
      <c r="N326" s="741"/>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35.799999999999997</v>
      </c>
      <c r="G327" s="86"/>
      <c r="H327" s="95">
        <f>G62</f>
        <v>0</v>
      </c>
      <c r="I327" s="86"/>
      <c r="J327" s="95">
        <f>I62</f>
        <v>0</v>
      </c>
      <c r="K327" s="86"/>
      <c r="L327" s="95">
        <f>K62</f>
        <v>0</v>
      </c>
      <c r="M327" s="284" t="str">
        <f>L62</f>
        <v>BAJO</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0</v>
      </c>
      <c r="G328" s="86"/>
      <c r="H328" s="95">
        <f>G64</f>
        <v>0</v>
      </c>
      <c r="I328" s="86"/>
      <c r="J328" s="95">
        <f>I64</f>
        <v>0</v>
      </c>
      <c r="K328" s="86"/>
      <c r="L328" s="95">
        <f>K64</f>
        <v>0</v>
      </c>
      <c r="M328" s="284" t="str">
        <f>L64</f>
        <v>BAJO</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740"/>
      <c r="F329" s="157">
        <f>E67</f>
        <v>80</v>
      </c>
      <c r="G329" s="740"/>
      <c r="H329" s="157">
        <f>G67</f>
        <v>0</v>
      </c>
      <c r="I329" s="740"/>
      <c r="J329" s="157">
        <f>I67</f>
        <v>0</v>
      </c>
      <c r="K329" s="740"/>
      <c r="L329" s="157">
        <f>K67</f>
        <v>0</v>
      </c>
      <c r="M329" s="285" t="str">
        <f>L67</f>
        <v>BAJO</v>
      </c>
      <c r="N329" s="740"/>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740"/>
      <c r="F330" s="157">
        <f>E69</f>
        <v>0</v>
      </c>
      <c r="G330" s="740"/>
      <c r="H330" s="157">
        <f>G69</f>
        <v>0</v>
      </c>
      <c r="I330" s="740"/>
      <c r="J330" s="157">
        <f>I69</f>
        <v>0</v>
      </c>
      <c r="K330" s="740"/>
      <c r="L330" s="157">
        <f>K69</f>
        <v>0</v>
      </c>
      <c r="M330" s="285" t="str">
        <f>L69</f>
        <v>BAJO</v>
      </c>
      <c r="N330" s="740"/>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740"/>
      <c r="F331" s="157">
        <f>E71</f>
        <v>0</v>
      </c>
      <c r="G331" s="740"/>
      <c r="H331" s="157">
        <f>G71</f>
        <v>0</v>
      </c>
      <c r="I331" s="740"/>
      <c r="J331" s="157">
        <f>I71</f>
        <v>0</v>
      </c>
      <c r="K331" s="740"/>
      <c r="L331" s="157">
        <f>K71</f>
        <v>0</v>
      </c>
      <c r="M331" s="285" t="str">
        <f>L71</f>
        <v>BAJO</v>
      </c>
      <c r="N331" s="740"/>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740"/>
      <c r="F332" s="157">
        <f>E73</f>
        <v>0</v>
      </c>
      <c r="G332" s="740"/>
      <c r="H332" s="157">
        <f>G73</f>
        <v>0</v>
      </c>
      <c r="I332" s="740"/>
      <c r="J332" s="157">
        <f>I73</f>
        <v>0</v>
      </c>
      <c r="K332" s="740"/>
      <c r="L332" s="157">
        <f>K73</f>
        <v>0</v>
      </c>
      <c r="M332" s="285" t="str">
        <f>L73</f>
        <v>BAJO</v>
      </c>
      <c r="N332" s="740"/>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740"/>
      <c r="F333" s="157">
        <f>E76</f>
        <v>0</v>
      </c>
      <c r="G333" s="740"/>
      <c r="H333" s="157">
        <f>G76</f>
        <v>0</v>
      </c>
      <c r="I333" s="740"/>
      <c r="J333" s="157">
        <f>I76</f>
        <v>0</v>
      </c>
      <c r="K333" s="740"/>
      <c r="L333" s="157">
        <f>K76</f>
        <v>0</v>
      </c>
      <c r="M333" s="285" t="str">
        <f>L76</f>
        <v>BAJO</v>
      </c>
      <c r="N333" s="740"/>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740"/>
      <c r="F334" s="157" t="str">
        <f>E78</f>
        <v>O</v>
      </c>
      <c r="G334" s="740"/>
      <c r="H334" s="157">
        <f>G78</f>
        <v>0</v>
      </c>
      <c r="I334" s="740"/>
      <c r="J334" s="157">
        <f>I78</f>
        <v>0</v>
      </c>
      <c r="K334" s="740"/>
      <c r="L334" s="157">
        <f>K78</f>
        <v>0</v>
      </c>
      <c r="M334" s="285" t="str">
        <f>L78</f>
        <v>BAJO</v>
      </c>
      <c r="N334" s="740"/>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740"/>
      <c r="F335" s="157"/>
      <c r="G335" s="740"/>
      <c r="H335" s="157"/>
      <c r="I335" s="740"/>
      <c r="J335" s="157"/>
      <c r="K335" s="740"/>
      <c r="L335" s="157"/>
      <c r="M335" s="285"/>
      <c r="N335" s="740"/>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740"/>
      <c r="F336" s="157"/>
      <c r="G336" s="740"/>
      <c r="H336" s="157"/>
      <c r="I336" s="740"/>
      <c r="J336" s="157"/>
      <c r="K336" s="740"/>
      <c r="L336" s="157"/>
      <c r="M336" s="285"/>
      <c r="N336" s="740"/>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128</v>
      </c>
      <c r="G337" s="86"/>
      <c r="H337" s="95">
        <f>G81</f>
        <v>0</v>
      </c>
      <c r="I337" s="86"/>
      <c r="J337" s="95">
        <f>I81</f>
        <v>0</v>
      </c>
      <c r="K337" s="86"/>
      <c r="L337" s="95">
        <f>K81</f>
        <v>0</v>
      </c>
      <c r="M337" s="284" t="str">
        <f>L81</f>
        <v>BAJO</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741"/>
      <c r="F338" s="116">
        <f>E83</f>
        <v>0</v>
      </c>
      <c r="G338" s="741"/>
      <c r="H338" s="116">
        <f>G83</f>
        <v>0</v>
      </c>
      <c r="I338" s="741"/>
      <c r="J338" s="116">
        <f>I83</f>
        <v>0</v>
      </c>
      <c r="K338" s="741"/>
      <c r="L338" s="116">
        <f>K83</f>
        <v>0</v>
      </c>
      <c r="M338" s="283" t="str">
        <f>L83</f>
        <v>BAJO</v>
      </c>
      <c r="N338" s="741"/>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741"/>
      <c r="F339" s="116"/>
      <c r="G339" s="741"/>
      <c r="H339" s="116"/>
      <c r="I339" s="741"/>
      <c r="J339" s="116"/>
      <c r="K339" s="741"/>
      <c r="L339" s="116"/>
      <c r="M339" s="283"/>
      <c r="N339" s="741"/>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741"/>
      <c r="F340" s="116"/>
      <c r="G340" s="741"/>
      <c r="H340" s="116"/>
      <c r="I340" s="741"/>
      <c r="J340" s="116"/>
      <c r="K340" s="741"/>
      <c r="L340" s="116"/>
      <c r="M340" s="158"/>
      <c r="N340" s="741"/>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720"/>
      <c r="F341" s="720"/>
      <c r="G341" s="720"/>
      <c r="H341" s="720"/>
      <c r="I341" s="720"/>
      <c r="J341" s="720"/>
      <c r="K341" s="720"/>
      <c r="L341" s="720"/>
      <c r="M341" s="720"/>
      <c r="N341" s="720"/>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34.782608695652172</v>
      </c>
      <c r="I343" s="293" t="str">
        <f t="shared" si="15"/>
        <v>DESNUTRICION SEVERA 3ER GRADO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750" t="s">
        <v>436</v>
      </c>
      <c r="B344" s="750"/>
      <c r="C344" s="750"/>
      <c r="D344" s="251"/>
      <c r="E344" s="750"/>
      <c r="F344" s="252"/>
      <c r="G344" s="251"/>
      <c r="H344" s="288">
        <f t="shared" si="15"/>
        <v>34.782608695652172</v>
      </c>
      <c r="I344" s="750" t="str">
        <f t="shared" si="15"/>
        <v>DESNUTRICION SEVERA 3ER GRADO</v>
      </c>
      <c r="J344" s="750"/>
      <c r="K344" s="750"/>
      <c r="L344" s="750"/>
      <c r="M344" s="750"/>
      <c r="N344" s="750"/>
      <c r="O344" s="215"/>
      <c r="P344" s="215"/>
      <c r="Q344" s="215"/>
      <c r="R344" s="215"/>
      <c r="S344" s="215"/>
      <c r="T344" s="215"/>
      <c r="U344" s="215"/>
      <c r="V344" s="215"/>
      <c r="W344" s="80"/>
      <c r="X344" s="80"/>
      <c r="Y344" s="80"/>
      <c r="Z344" s="80"/>
      <c r="AA344" s="80"/>
      <c r="AB344" s="80"/>
      <c r="AC344" s="80"/>
      <c r="AD344" s="80"/>
      <c r="AE344" s="80"/>
      <c r="AF344" s="80"/>
    </row>
    <row r="345" spans="1:32">
      <c r="A345" s="750" t="s">
        <v>437</v>
      </c>
      <c r="B345" s="750"/>
      <c r="C345" s="750"/>
      <c r="D345" s="251"/>
      <c r="E345" s="750"/>
      <c r="F345" s="252"/>
      <c r="G345" s="251"/>
      <c r="H345" s="288">
        <f t="shared" si="15"/>
        <v>63.657407407407405</v>
      </c>
      <c r="I345" s="750" t="str">
        <f t="shared" si="15"/>
        <v>DESNUTRICION SEVERA 3ER GRADO</v>
      </c>
      <c r="J345" s="750"/>
      <c r="K345" s="750"/>
      <c r="L345" s="750"/>
      <c r="M345" s="750"/>
      <c r="N345" s="750"/>
      <c r="O345" s="215"/>
      <c r="P345" s="215"/>
      <c r="Q345" s="215"/>
      <c r="R345" s="215"/>
      <c r="S345" s="215"/>
      <c r="T345" s="215"/>
      <c r="U345" s="215"/>
      <c r="V345" s="215"/>
      <c r="W345" s="80"/>
      <c r="X345" s="80"/>
      <c r="Y345" s="80"/>
      <c r="Z345" s="80"/>
      <c r="AA345" s="80"/>
      <c r="AB345" s="80"/>
      <c r="AC345" s="80"/>
      <c r="AD345" s="80"/>
      <c r="AE345" s="80"/>
      <c r="AF345" s="80"/>
    </row>
    <row r="346" spans="1:32">
      <c r="A346" s="750"/>
      <c r="B346" s="750"/>
      <c r="C346" s="750"/>
      <c r="D346" s="251"/>
      <c r="E346" s="750"/>
      <c r="F346" s="252"/>
      <c r="G346" s="251"/>
      <c r="H346" s="288"/>
      <c r="I346" s="750"/>
      <c r="J346" s="750"/>
      <c r="K346" s="750"/>
      <c r="L346" s="750"/>
      <c r="M346" s="750"/>
      <c r="N346" s="750"/>
      <c r="O346" s="215"/>
      <c r="P346" s="215"/>
      <c r="Q346" s="215"/>
      <c r="R346" s="215"/>
      <c r="S346" s="215"/>
      <c r="T346" s="215"/>
      <c r="U346" s="215"/>
      <c r="V346" s="215"/>
      <c r="W346" s="80"/>
      <c r="X346" s="80"/>
      <c r="Y346" s="80"/>
      <c r="Z346" s="80"/>
      <c r="AA346" s="80"/>
      <c r="AB346" s="80"/>
      <c r="AC346" s="80"/>
      <c r="AD346" s="80"/>
      <c r="AE346" s="80"/>
      <c r="AF346" s="80"/>
    </row>
    <row r="347" spans="1:32">
      <c r="A347" s="1211" t="s">
        <v>448</v>
      </c>
      <c r="B347" s="1211"/>
      <c r="C347" s="1211"/>
      <c r="D347" s="1211"/>
      <c r="E347" s="1211"/>
      <c r="F347" s="1211"/>
      <c r="G347" s="1211"/>
      <c r="H347" s="1211"/>
      <c r="I347" s="1211"/>
      <c r="J347" s="1211"/>
      <c r="K347" s="1211"/>
      <c r="L347" s="1211"/>
      <c r="M347" s="1211"/>
      <c r="N347" s="1211"/>
      <c r="O347" s="215"/>
      <c r="P347" s="215"/>
      <c r="Q347" s="215"/>
      <c r="R347" s="215"/>
      <c r="S347" s="215"/>
      <c r="T347" s="215"/>
      <c r="U347" s="215"/>
      <c r="V347" s="215"/>
      <c r="W347" s="80"/>
      <c r="X347" s="80"/>
      <c r="Y347" s="80"/>
      <c r="Z347" s="80"/>
      <c r="AA347" s="80"/>
      <c r="AB347" s="80"/>
      <c r="AC347" s="80"/>
      <c r="AD347" s="80"/>
      <c r="AE347" s="80"/>
      <c r="AF347" s="80"/>
    </row>
    <row r="348" spans="1:32">
      <c r="A348" s="1211" t="s">
        <v>449</v>
      </c>
      <c r="B348" s="1211"/>
      <c r="C348" s="1211"/>
      <c r="D348" s="1211"/>
      <c r="E348" s="1211"/>
      <c r="F348" s="1211"/>
      <c r="G348" s="1211"/>
      <c r="H348" s="1211"/>
      <c r="I348" s="1211"/>
      <c r="J348" s="1211"/>
      <c r="K348" s="1211"/>
      <c r="L348" s="1211"/>
      <c r="M348" s="1211"/>
      <c r="N348" s="1211"/>
      <c r="O348" s="215"/>
      <c r="P348" s="215"/>
      <c r="Q348" s="215"/>
      <c r="R348" s="215"/>
      <c r="S348" s="215"/>
      <c r="T348" s="215"/>
      <c r="U348" s="215"/>
      <c r="V348" s="215"/>
      <c r="W348" s="80"/>
      <c r="X348" s="80"/>
      <c r="Y348" s="80"/>
      <c r="Z348" s="80"/>
      <c r="AA348" s="80"/>
      <c r="AB348" s="80"/>
      <c r="AC348" s="80"/>
      <c r="AD348" s="80"/>
      <c r="AE348" s="80"/>
      <c r="AF348" s="80"/>
    </row>
    <row r="349" spans="1:32">
      <c r="A349" s="1211" t="s">
        <v>450</v>
      </c>
      <c r="B349" s="1211"/>
      <c r="C349" s="1211"/>
      <c r="D349" s="1211"/>
      <c r="E349" s="1211"/>
      <c r="F349" s="1211"/>
      <c r="G349" s="1211"/>
      <c r="H349" s="1211"/>
      <c r="I349" s="1211"/>
      <c r="J349" s="1211"/>
      <c r="K349" s="1211"/>
      <c r="L349" s="1211"/>
      <c r="M349" s="1211"/>
      <c r="N349" s="1211"/>
      <c r="O349" s="215"/>
      <c r="P349" s="215"/>
      <c r="Q349" s="215"/>
      <c r="R349" s="215"/>
      <c r="S349" s="215"/>
      <c r="T349" s="215"/>
      <c r="U349" s="215"/>
      <c r="V349" s="215"/>
      <c r="W349" s="80"/>
      <c r="X349" s="80"/>
      <c r="Y349" s="80"/>
      <c r="Z349" s="80"/>
      <c r="AA349" s="80"/>
      <c r="AB349" s="80"/>
      <c r="AC349" s="80"/>
      <c r="AD349" s="80"/>
      <c r="AE349" s="80"/>
      <c r="AF349" s="80"/>
    </row>
    <row r="350" spans="1:32" ht="17.100000000000001" customHeight="1">
      <c r="A350" s="1211" t="s">
        <v>451</v>
      </c>
      <c r="B350" s="1211"/>
      <c r="C350" s="1211"/>
      <c r="D350" s="1211"/>
      <c r="E350" s="1211"/>
      <c r="F350" s="1211"/>
      <c r="G350" s="1211"/>
      <c r="H350" s="1211"/>
      <c r="I350" s="1211"/>
      <c r="J350" s="1211"/>
      <c r="K350" s="1211"/>
      <c r="L350" s="1211"/>
      <c r="M350" s="1211"/>
      <c r="N350" s="1211"/>
      <c r="O350" s="215"/>
      <c r="P350" s="215"/>
      <c r="Q350" s="215"/>
      <c r="R350" s="215"/>
      <c r="S350" s="215"/>
      <c r="T350" s="215"/>
      <c r="U350" s="215"/>
      <c r="V350" s="215"/>
      <c r="W350" s="80"/>
      <c r="X350" s="80"/>
      <c r="Y350" s="80"/>
      <c r="Z350" s="80"/>
      <c r="AA350" s="80"/>
      <c r="AB350" s="80"/>
      <c r="AC350" s="80"/>
      <c r="AD350" s="80"/>
      <c r="AE350" s="80"/>
      <c r="AF350" s="80"/>
    </row>
    <row r="351" spans="1:32" ht="15" customHeight="1">
      <c r="A351" s="1211" t="s">
        <v>455</v>
      </c>
      <c r="B351" s="1211"/>
      <c r="C351" s="1211"/>
      <c r="D351" s="1211"/>
      <c r="E351" s="1211"/>
      <c r="F351" s="1211"/>
      <c r="G351" s="1211"/>
      <c r="H351" s="1211"/>
      <c r="I351" s="1211"/>
      <c r="J351" s="1211"/>
      <c r="K351" s="1211"/>
      <c r="L351" s="1211"/>
      <c r="M351" s="1211"/>
      <c r="N351" s="1211"/>
      <c r="O351" s="215"/>
      <c r="P351" s="215"/>
      <c r="Q351" s="215"/>
      <c r="R351" s="215"/>
      <c r="S351" s="215"/>
      <c r="T351" s="215"/>
      <c r="U351" s="215"/>
      <c r="V351" s="215"/>
      <c r="W351" s="80"/>
      <c r="X351" s="80"/>
      <c r="Y351" s="80"/>
      <c r="Z351" s="80"/>
      <c r="AA351" s="80"/>
      <c r="AB351" s="80"/>
      <c r="AC351" s="80"/>
      <c r="AD351" s="80"/>
      <c r="AE351" s="80"/>
      <c r="AF351" s="80"/>
    </row>
    <row r="352" spans="1:32" ht="15.75" customHeight="1">
      <c r="A352" s="1211" t="s">
        <v>456</v>
      </c>
      <c r="B352" s="1211"/>
      <c r="C352" s="1211"/>
      <c r="D352" s="1211"/>
      <c r="E352" s="1211"/>
      <c r="F352" s="1211"/>
      <c r="G352" s="1211"/>
      <c r="H352" s="1211"/>
      <c r="I352" s="1211"/>
      <c r="J352" s="1211"/>
      <c r="K352" s="1211"/>
      <c r="L352" s="1211"/>
      <c r="M352" s="1211"/>
      <c r="N352" s="1211"/>
      <c r="O352" s="215"/>
      <c r="P352" s="215"/>
      <c r="Q352" s="215"/>
      <c r="R352" s="215"/>
      <c r="S352" s="215"/>
      <c r="T352" s="215"/>
      <c r="U352" s="215"/>
      <c r="V352" s="215"/>
      <c r="W352" s="80"/>
      <c r="X352" s="80"/>
      <c r="Y352" s="80"/>
      <c r="Z352" s="80"/>
      <c r="AA352" s="80"/>
      <c r="AB352" s="80"/>
      <c r="AC352" s="80"/>
      <c r="AD352" s="80"/>
      <c r="AE352" s="80"/>
      <c r="AF352" s="80"/>
    </row>
    <row r="353" spans="1:32">
      <c r="A353" s="1211" t="s">
        <v>452</v>
      </c>
      <c r="B353" s="1211"/>
      <c r="C353" s="1211"/>
      <c r="D353" s="1211"/>
      <c r="E353" s="1211"/>
      <c r="F353" s="1211"/>
      <c r="G353" s="1211"/>
      <c r="H353" s="1211"/>
      <c r="I353" s="1211"/>
      <c r="J353" s="1211"/>
      <c r="K353" s="1211"/>
      <c r="L353" s="1211"/>
      <c r="M353" s="1211"/>
      <c r="N353" s="1211"/>
      <c r="O353" s="215"/>
      <c r="P353" s="215"/>
      <c r="Q353" s="215"/>
      <c r="R353" s="215"/>
      <c r="S353" s="215"/>
      <c r="T353" s="215"/>
      <c r="U353" s="215"/>
      <c r="V353" s="215"/>
      <c r="W353" s="80"/>
      <c r="X353" s="80"/>
      <c r="Y353" s="80"/>
      <c r="Z353" s="80"/>
      <c r="AA353" s="80"/>
      <c r="AB353" s="80"/>
      <c r="AC353" s="80"/>
      <c r="AD353" s="80"/>
      <c r="AE353" s="80"/>
      <c r="AF353" s="80"/>
    </row>
    <row r="354" spans="1:32">
      <c r="A354" s="1211" t="s">
        <v>453</v>
      </c>
      <c r="B354" s="1211"/>
      <c r="C354" s="1211"/>
      <c r="D354" s="1211"/>
      <c r="E354" s="1211"/>
      <c r="F354" s="1211"/>
      <c r="G354" s="1211"/>
      <c r="H354" s="1211"/>
      <c r="I354" s="1211"/>
      <c r="J354" s="1211"/>
      <c r="K354" s="1211"/>
      <c r="L354" s="1211"/>
      <c r="M354" s="1211"/>
      <c r="N354" s="1211"/>
      <c r="O354" s="215"/>
      <c r="P354" s="215"/>
      <c r="Q354" s="215"/>
      <c r="R354" s="215"/>
      <c r="S354" s="215"/>
      <c r="T354" s="215"/>
      <c r="U354" s="215"/>
      <c r="V354" s="215"/>
      <c r="W354" s="80"/>
      <c r="X354" s="80"/>
      <c r="Y354" s="80"/>
      <c r="Z354" s="80"/>
      <c r="AA354" s="80"/>
      <c r="AB354" s="80"/>
      <c r="AC354" s="80"/>
      <c r="AD354" s="80"/>
      <c r="AE354" s="80"/>
      <c r="AF354" s="80"/>
    </row>
    <row r="355" spans="1:32">
      <c r="A355" s="1076" t="s">
        <v>454</v>
      </c>
      <c r="B355" s="1076"/>
      <c r="C355" s="1076"/>
      <c r="D355" s="1076"/>
      <c r="E355" s="1076"/>
      <c r="F355" s="1076"/>
      <c r="G355" s="1076"/>
      <c r="H355" s="1076"/>
      <c r="I355" s="1076"/>
      <c r="J355" s="1076"/>
      <c r="K355" s="1076"/>
      <c r="L355" s="1076"/>
      <c r="M355" s="1076"/>
      <c r="N355" s="1076"/>
      <c r="O355" s="215"/>
      <c r="P355" s="215"/>
      <c r="Q355" s="215"/>
      <c r="R355" s="215"/>
      <c r="S355" s="215"/>
      <c r="T355" s="215"/>
      <c r="U355" s="215"/>
      <c r="V355" s="215"/>
      <c r="W355" s="80"/>
      <c r="X355" s="80"/>
      <c r="Y355" s="80"/>
      <c r="Z355" s="80"/>
      <c r="AA355" s="80"/>
      <c r="AB355" s="80"/>
      <c r="AC355" s="80"/>
      <c r="AD355" s="80"/>
      <c r="AE355" s="80"/>
      <c r="AF355" s="80"/>
    </row>
    <row r="356" spans="1:32">
      <c r="A356" s="1047"/>
      <c r="B356" s="1047"/>
      <c r="C356" s="1047"/>
      <c r="D356" s="1047"/>
      <c r="E356" s="1047"/>
      <c r="F356" s="1047"/>
      <c r="G356" s="1047"/>
      <c r="H356" s="1047"/>
      <c r="I356" s="1047"/>
      <c r="J356" s="1047"/>
      <c r="K356" s="1047"/>
      <c r="L356" s="1047"/>
      <c r="M356" s="1047"/>
      <c r="N356" s="1047"/>
      <c r="O356" s="215"/>
      <c r="P356" s="215"/>
      <c r="Q356" s="215"/>
      <c r="R356" s="215"/>
      <c r="S356" s="215"/>
      <c r="T356" s="215"/>
      <c r="U356" s="215"/>
      <c r="V356" s="215"/>
      <c r="W356" s="80"/>
      <c r="X356" s="80"/>
      <c r="Y356" s="80"/>
      <c r="Z356" s="80"/>
      <c r="AA356" s="80"/>
      <c r="AB356" s="80"/>
      <c r="AC356" s="80"/>
      <c r="AD356" s="80"/>
      <c r="AE356" s="80"/>
      <c r="AF356" s="80"/>
    </row>
    <row r="357" spans="1:32">
      <c r="A357" s="742"/>
      <c r="B357" s="742"/>
      <c r="C357" s="742"/>
      <c r="D357" s="742"/>
      <c r="E357" s="742"/>
      <c r="F357" s="113"/>
      <c r="G357" s="113"/>
      <c r="H357" s="113"/>
      <c r="I357" s="113"/>
      <c r="J357" s="113"/>
      <c r="K357" s="113"/>
      <c r="L357" s="113"/>
      <c r="M357" s="113"/>
      <c r="N357" s="113"/>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721" t="s">
        <v>52</v>
      </c>
      <c r="C359" s="86" t="s">
        <v>43</v>
      </c>
      <c r="D359" s="721"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f t="shared" ref="B360:D362" si="16">B177</f>
        <v>60.475651189127973</v>
      </c>
      <c r="C360" s="104">
        <f t="shared" si="16"/>
        <v>1068</v>
      </c>
      <c r="D360" s="120">
        <f t="shared" si="16"/>
        <v>267</v>
      </c>
      <c r="E360" s="741"/>
      <c r="F360" s="741"/>
      <c r="G360" s="741"/>
      <c r="H360" s="741"/>
      <c r="I360" s="741"/>
      <c r="J360" s="741"/>
      <c r="K360" s="741"/>
      <c r="L360" s="741"/>
      <c r="M360" s="741"/>
      <c r="N360" s="741"/>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f t="shared" si="16"/>
        <v>18.120045300113251</v>
      </c>
      <c r="C361" s="628">
        <f t="shared" si="16"/>
        <v>320</v>
      </c>
      <c r="D361" s="122">
        <f t="shared" si="16"/>
        <v>80</v>
      </c>
      <c r="E361" s="114" t="s">
        <v>68</v>
      </c>
      <c r="F361" s="133">
        <f>F178</f>
        <v>46</v>
      </c>
      <c r="G361" s="101" t="s">
        <v>69</v>
      </c>
      <c r="H361" s="133">
        <f>H178</f>
        <v>57.5</v>
      </c>
      <c r="I361" s="286" t="s">
        <v>444</v>
      </c>
      <c r="J361" s="115" t="s">
        <v>70</v>
      </c>
      <c r="K361" s="133">
        <f>K178</f>
        <v>34</v>
      </c>
      <c r="L361" s="101" t="s">
        <v>69</v>
      </c>
      <c r="M361" s="134">
        <f>M178</f>
        <v>42.5</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f t="shared" si="16"/>
        <v>21.404303510758776</v>
      </c>
      <c r="C362" s="129">
        <f t="shared" si="16"/>
        <v>378</v>
      </c>
      <c r="D362" s="122">
        <f t="shared" si="16"/>
        <v>42</v>
      </c>
      <c r="E362" s="741"/>
      <c r="F362" s="741"/>
      <c r="G362" s="741"/>
      <c r="H362" s="741"/>
      <c r="I362" s="741"/>
      <c r="J362" s="741"/>
      <c r="K362" s="741"/>
      <c r="L362" s="741"/>
      <c r="M362" s="741"/>
      <c r="N362" s="741"/>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f>SUM(B360:B362)</f>
        <v>100</v>
      </c>
      <c r="C363" s="132">
        <f>SUM(C360:C362)</f>
        <v>1766</v>
      </c>
      <c r="D363" s="86"/>
      <c r="E363" s="741"/>
      <c r="F363" s="1206" t="str">
        <f>A181</f>
        <v>GRAMOS PROT/KG P.I</v>
      </c>
      <c r="G363" s="1206"/>
      <c r="H363" s="1206"/>
      <c r="I363" s="1206"/>
      <c r="J363" s="168">
        <f>D181</f>
        <v>6.9565217391304346</v>
      </c>
      <c r="K363" s="741" t="s">
        <v>69</v>
      </c>
      <c r="L363" s="741"/>
      <c r="M363" s="741"/>
      <c r="N363" s="741"/>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741"/>
      <c r="F364" s="741"/>
      <c r="G364" s="741"/>
      <c r="H364" s="741"/>
      <c r="I364" s="741"/>
      <c r="J364" s="741"/>
      <c r="K364" s="741"/>
      <c r="L364" s="741"/>
      <c r="M364" s="741"/>
      <c r="N364" s="741"/>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L.N. FANY CANO VARELA</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721"/>
      <c r="B370" s="721"/>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750"/>
      <c r="X371" s="750"/>
      <c r="Y371" s="750"/>
      <c r="Z371" s="750"/>
      <c r="AA371" s="750"/>
      <c r="AB371" s="750"/>
      <c r="AC371" s="750"/>
      <c r="AD371" s="750"/>
      <c r="AE371" s="750"/>
      <c r="AF371" s="750"/>
      <c r="AG371" s="750"/>
      <c r="AH371" s="750"/>
      <c r="AI371" s="750"/>
      <c r="AJ371" s="750"/>
      <c r="AK371" s="750"/>
      <c r="AL371" s="750"/>
      <c r="AM371" s="750"/>
      <c r="AN371" s="750"/>
      <c r="AO371" s="750"/>
      <c r="AP371" s="750"/>
      <c r="AQ371" s="750"/>
      <c r="AR371" s="750"/>
      <c r="AS371" s="750"/>
      <c r="AT371" s="750"/>
      <c r="AU371" s="750"/>
      <c r="AV371" s="750"/>
      <c r="AW371" s="750"/>
      <c r="AX371" s="750"/>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750"/>
      <c r="X372" s="750"/>
      <c r="Y372" s="750"/>
      <c r="Z372" s="750"/>
      <c r="AA372" s="750"/>
      <c r="AB372" s="750"/>
      <c r="AC372" s="750"/>
      <c r="AD372" s="750"/>
      <c r="AE372" s="750"/>
      <c r="AF372" s="750"/>
      <c r="AG372" s="750"/>
      <c r="AH372" s="750"/>
      <c r="AI372" s="750"/>
      <c r="AJ372" s="750"/>
      <c r="AK372" s="750"/>
      <c r="AL372" s="750"/>
      <c r="AM372" s="750"/>
      <c r="AN372" s="750"/>
      <c r="AO372" s="750"/>
      <c r="AP372" s="750"/>
      <c r="AQ372" s="750"/>
      <c r="AR372" s="750"/>
      <c r="AS372" s="750"/>
      <c r="AT372" s="750"/>
      <c r="AU372" s="750"/>
      <c r="AV372" s="750"/>
      <c r="AW372" s="750"/>
      <c r="AX372" s="750"/>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750"/>
      <c r="X373" s="750"/>
      <c r="Y373" s="750"/>
      <c r="Z373" s="750"/>
      <c r="AA373" s="750"/>
      <c r="AB373" s="750"/>
      <c r="AC373" s="750"/>
      <c r="AD373" s="750"/>
      <c r="AE373" s="750"/>
      <c r="AF373" s="750"/>
      <c r="AG373" s="750"/>
      <c r="AH373" s="750"/>
      <c r="AI373" s="750"/>
      <c r="AJ373" s="750"/>
      <c r="AK373" s="750"/>
      <c r="AL373" s="750"/>
      <c r="AM373" s="750"/>
      <c r="AN373" s="750"/>
      <c r="AO373" s="750"/>
      <c r="AP373" s="750"/>
      <c r="AQ373" s="750"/>
      <c r="AR373" s="750"/>
      <c r="AS373" s="750"/>
      <c r="AT373" s="750"/>
      <c r="AU373" s="750"/>
      <c r="AV373" s="750"/>
      <c r="AW373" s="750"/>
      <c r="AX373" s="750"/>
    </row>
    <row r="374" spans="1:50">
      <c r="A374" s="86" t="s">
        <v>2</v>
      </c>
      <c r="B374" s="1209" t="str">
        <f>B4</f>
        <v>tepayehuitl sanchez yasmín</v>
      </c>
      <c r="C374" s="1209"/>
      <c r="D374" s="1209"/>
      <c r="E374" s="1209"/>
      <c r="F374" s="1209"/>
      <c r="G374" s="1209"/>
      <c r="H374" s="1209"/>
      <c r="I374" s="1209"/>
      <c r="J374" s="221"/>
      <c r="K374" s="221" t="s">
        <v>291</v>
      </c>
      <c r="L374" s="1210">
        <f>M4</f>
        <v>0</v>
      </c>
      <c r="M374" s="1210"/>
      <c r="N374" s="1210"/>
      <c r="O374" s="280"/>
      <c r="P374" s="280"/>
      <c r="Q374" s="280"/>
      <c r="R374" s="280"/>
      <c r="S374" s="280"/>
      <c r="T374" s="280"/>
      <c r="U374" s="280"/>
      <c r="V374" s="28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0"/>
      <c r="AW374" s="750"/>
      <c r="AX374" s="750"/>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750"/>
      <c r="X375" s="750"/>
      <c r="Y375" s="750"/>
      <c r="Z375" s="750"/>
      <c r="AA375" s="750"/>
      <c r="AB375" s="750"/>
      <c r="AC375" s="750"/>
      <c r="AD375" s="750"/>
      <c r="AE375" s="750"/>
      <c r="AF375" s="750"/>
      <c r="AG375" s="750"/>
      <c r="AH375" s="750"/>
      <c r="AI375" s="750"/>
      <c r="AJ375" s="750"/>
      <c r="AK375" s="750"/>
      <c r="AL375" s="750"/>
      <c r="AM375" s="750"/>
      <c r="AN375" s="750"/>
      <c r="AO375" s="750"/>
      <c r="AP375" s="750"/>
      <c r="AQ375" s="750"/>
      <c r="AR375" s="750"/>
      <c r="AS375" s="750"/>
      <c r="AT375" s="750"/>
      <c r="AU375" s="750"/>
      <c r="AV375" s="750"/>
      <c r="AW375" s="750"/>
      <c r="AX375" s="750"/>
    </row>
    <row r="376" spans="1:50">
      <c r="A376" s="238" t="s">
        <v>4</v>
      </c>
      <c r="B376" s="267">
        <v>7.916666666666667</v>
      </c>
      <c r="C376" s="264"/>
      <c r="D376" s="264"/>
      <c r="E376" s="264"/>
      <c r="F376" s="264"/>
      <c r="G376" s="264"/>
      <c r="H376" s="238"/>
      <c r="I376" s="238"/>
      <c r="J376" s="238"/>
      <c r="K376" s="750"/>
      <c r="L376" s="750"/>
      <c r="M376" s="750"/>
      <c r="N376" s="750"/>
      <c r="O376" s="280"/>
      <c r="P376" s="280"/>
      <c r="Q376" s="280"/>
      <c r="R376" s="280"/>
      <c r="S376" s="280"/>
      <c r="T376" s="280"/>
      <c r="U376" s="280"/>
      <c r="V376" s="280"/>
      <c r="W376" s="750"/>
      <c r="X376" s="750"/>
      <c r="Y376" s="750"/>
      <c r="Z376" s="750"/>
      <c r="AA376" s="750"/>
      <c r="AB376" s="750"/>
      <c r="AC376" s="750"/>
      <c r="AD376" s="750"/>
      <c r="AE376" s="750"/>
      <c r="AF376" s="750"/>
      <c r="AG376" s="750"/>
      <c r="AH376" s="750"/>
      <c r="AI376" s="750"/>
      <c r="AJ376" s="750"/>
      <c r="AK376" s="750"/>
      <c r="AL376" s="750"/>
      <c r="AM376" s="750"/>
      <c r="AN376" s="750"/>
      <c r="AO376" s="750"/>
      <c r="AP376" s="750"/>
      <c r="AQ376" s="750"/>
      <c r="AR376" s="750"/>
      <c r="AS376" s="750"/>
      <c r="AT376" s="750"/>
      <c r="AU376" s="750"/>
      <c r="AV376" s="750"/>
      <c r="AW376" s="750"/>
      <c r="AX376" s="750"/>
    </row>
    <row r="377" spans="1:50">
      <c r="A377" s="238" t="s">
        <v>430</v>
      </c>
      <c r="B377" s="264">
        <f>D12</f>
        <v>38</v>
      </c>
      <c r="C377" s="264">
        <v>17.7</v>
      </c>
      <c r="D377" s="264"/>
      <c r="E377" s="264"/>
      <c r="F377" s="264"/>
      <c r="G377" s="264"/>
      <c r="H377" s="238"/>
      <c r="I377" s="238"/>
      <c r="J377" s="238"/>
      <c r="K377" s="750"/>
      <c r="L377" s="750"/>
      <c r="M377" s="750"/>
      <c r="N377" s="750"/>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133</v>
      </c>
      <c r="C378" s="264">
        <v>117</v>
      </c>
      <c r="D378" s="264"/>
      <c r="E378" s="264"/>
      <c r="F378" s="264"/>
      <c r="G378" s="264"/>
      <c r="H378" s="238"/>
      <c r="I378" s="238"/>
      <c r="J378" s="238"/>
      <c r="K378" s="750"/>
      <c r="L378" s="750"/>
      <c r="M378" s="750"/>
      <c r="N378" s="750"/>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2.1482277121374865E-3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750"/>
      <c r="L379" s="750"/>
      <c r="M379" s="750"/>
      <c r="N379" s="750"/>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1"/>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1"/>
      <c r="P387" s="215"/>
      <c r="Q387" s="215"/>
      <c r="R387" s="215"/>
      <c r="S387" s="215"/>
      <c r="T387" s="215"/>
      <c r="U387" s="215"/>
      <c r="V387" s="215"/>
      <c r="W387" s="80"/>
      <c r="X387" s="80"/>
      <c r="Y387" s="80"/>
      <c r="Z387" s="80"/>
      <c r="AA387" s="80"/>
      <c r="AB387" s="80"/>
      <c r="AC387" s="80"/>
      <c r="AD387" s="80"/>
      <c r="AE387" s="80"/>
      <c r="AF387" s="80"/>
    </row>
    <row r="388" spans="1:32">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ht="15" customHeight="1">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82"/>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82"/>
      <c r="P393" s="215"/>
      <c r="Q393" s="215"/>
      <c r="R393" s="215"/>
      <c r="S393" s="215"/>
      <c r="T393" s="215"/>
      <c r="U393" s="215"/>
      <c r="V393" s="215"/>
      <c r="W393" s="80"/>
      <c r="X393" s="80"/>
      <c r="Y393" s="80"/>
      <c r="Z393" s="80"/>
      <c r="AA393" s="80"/>
      <c r="AB393" s="80"/>
      <c r="AC393" s="80"/>
      <c r="AD393" s="80"/>
      <c r="AE393" s="80"/>
      <c r="AF393" s="80"/>
    </row>
    <row r="394" spans="1:32">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ht="15" customHeight="1">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86"/>
      <c r="B415" s="86"/>
      <c r="C415" s="86"/>
      <c r="D415" s="86"/>
      <c r="E415" s="86"/>
      <c r="F415" s="86"/>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6"/>
      <c r="B416" s="86"/>
      <c r="C416" s="86"/>
      <c r="D416" s="86"/>
      <c r="E416" s="86"/>
      <c r="F416" s="86"/>
      <c r="G416" s="86"/>
      <c r="H416" s="86"/>
      <c r="I416" s="86"/>
      <c r="J416" s="86"/>
      <c r="K416" s="86"/>
      <c r="L416" s="86"/>
      <c r="M416" s="86"/>
      <c r="N416" s="86"/>
      <c r="O416" s="215"/>
      <c r="P416" s="215"/>
      <c r="Q416" s="215"/>
      <c r="R416" s="215"/>
      <c r="S416" s="215"/>
      <c r="T416" s="215"/>
      <c r="U416" s="215"/>
      <c r="V416" s="215"/>
      <c r="W416" s="80"/>
      <c r="X416" s="80"/>
      <c r="Y416" s="80"/>
      <c r="Z416" s="80"/>
      <c r="AA416" s="80"/>
      <c r="AB416" s="80"/>
      <c r="AC416" s="80"/>
      <c r="AD416" s="80"/>
      <c r="AE416" s="80"/>
      <c r="AF416" s="80"/>
    </row>
    <row r="417" spans="1:32">
      <c r="A417" s="1047" t="s">
        <v>404</v>
      </c>
      <c r="B417" s="1047"/>
      <c r="C417" s="1047"/>
      <c r="D417" s="1047"/>
      <c r="E417" s="1047"/>
      <c r="F417" s="86" t="str">
        <f>C43</f>
        <v>L.N. FANY CANO VARELA</v>
      </c>
      <c r="G417" s="86"/>
      <c r="H417" s="86"/>
      <c r="I417" s="86"/>
      <c r="J417" s="86"/>
      <c r="K417" s="86"/>
      <c r="L417" s="86"/>
      <c r="M417" s="86"/>
      <c r="N417" s="86"/>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85"/>
      <c r="B445" s="85"/>
      <c r="C445" s="85"/>
      <c r="D445" s="85"/>
      <c r="E445" s="85"/>
      <c r="F445" s="85"/>
      <c r="G445" s="85"/>
      <c r="H445" s="85"/>
      <c r="I445" s="85"/>
      <c r="J445" s="85"/>
      <c r="K445" s="85"/>
      <c r="L445" s="85"/>
      <c r="M445" s="85"/>
      <c r="N445" s="85"/>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85"/>
      <c r="G446" s="85"/>
      <c r="H446" s="85"/>
      <c r="I446" s="85"/>
      <c r="J446" s="85"/>
      <c r="K446" s="85"/>
      <c r="L446" s="85"/>
      <c r="M446" s="85"/>
      <c r="N446" s="85"/>
      <c r="O446" s="215"/>
      <c r="P446" s="215"/>
      <c r="Q446" s="215"/>
      <c r="R446" s="215"/>
      <c r="S446" s="215"/>
      <c r="T446" s="215"/>
      <c r="U446" s="215"/>
      <c r="V446" s="215"/>
      <c r="W446" s="80"/>
      <c r="X446" s="80"/>
      <c r="Y446" s="80"/>
      <c r="Z446" s="80"/>
      <c r="AA446" s="80"/>
      <c r="AB446" s="80"/>
      <c r="AC446" s="80"/>
      <c r="AD446" s="80"/>
      <c r="AE446" s="80"/>
      <c r="AF446" s="80"/>
    </row>
    <row r="447" spans="1:32">
      <c r="A447" s="1207"/>
      <c r="B447" s="1207"/>
      <c r="C447" s="1207"/>
      <c r="D447" s="1207"/>
      <c r="E447" s="1207"/>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1208"/>
      <c r="G451" s="1208"/>
      <c r="H451" s="1208"/>
      <c r="I451" s="1208"/>
      <c r="J451" s="1208"/>
      <c r="K451" s="1208"/>
      <c r="L451" s="1208"/>
      <c r="M451" s="1208"/>
      <c r="N451" s="1208"/>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1208"/>
      <c r="G452" s="1208"/>
      <c r="H452" s="1208"/>
      <c r="I452" s="1208"/>
      <c r="J452" s="1208"/>
      <c r="K452" s="1208"/>
      <c r="L452" s="1208"/>
      <c r="M452" s="1208"/>
      <c r="N452" s="1208"/>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A468" s="85"/>
      <c r="B468" s="85"/>
      <c r="C468" s="85"/>
      <c r="D468" s="85"/>
      <c r="E468" s="85"/>
      <c r="F468" s="85"/>
      <c r="G468" s="85"/>
      <c r="H468" s="85"/>
      <c r="I468" s="85"/>
      <c r="J468" s="85"/>
      <c r="K468" s="85"/>
      <c r="L468" s="85"/>
      <c r="M468" s="85"/>
      <c r="N468" s="85"/>
      <c r="O468" s="215"/>
      <c r="P468" s="215"/>
      <c r="Q468" s="215"/>
      <c r="R468" s="215"/>
      <c r="S468" s="215"/>
      <c r="T468" s="215"/>
      <c r="U468" s="215"/>
      <c r="V468" s="215"/>
      <c r="W468" s="80"/>
      <c r="X468" s="80"/>
      <c r="Y468" s="80"/>
      <c r="Z468" s="80"/>
      <c r="AA468" s="80"/>
      <c r="AB468" s="80"/>
      <c r="AC468" s="80"/>
      <c r="AD468" s="80"/>
      <c r="AE468" s="80"/>
      <c r="AF468" s="80"/>
    </row>
    <row r="469" spans="1:32">
      <c r="A469" s="85"/>
      <c r="B469" s="85"/>
      <c r="C469" s="85"/>
      <c r="D469" s="85"/>
      <c r="E469" s="85"/>
      <c r="F469" s="85"/>
      <c r="G469" s="85"/>
      <c r="H469" s="85"/>
      <c r="I469" s="85"/>
      <c r="J469" s="85"/>
      <c r="K469" s="85"/>
      <c r="L469" s="85"/>
      <c r="M469" s="85"/>
      <c r="N469" s="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6" t="s">
        <v>171</v>
      </c>
      <c r="B471" s="986"/>
      <c r="C471" s="986"/>
      <c r="D471" s="986"/>
      <c r="E471" s="985" t="s">
        <v>172</v>
      </c>
      <c r="F471" s="985"/>
      <c r="G471" s="985"/>
      <c r="H471" s="985"/>
      <c r="I471" s="985"/>
      <c r="J471" s="985"/>
      <c r="K471" s="985"/>
      <c r="L471" s="985"/>
      <c r="M471" s="985"/>
      <c r="N471" s="985"/>
      <c r="O471" s="215"/>
      <c r="P471" s="215"/>
      <c r="Q471" s="215"/>
      <c r="R471" s="215"/>
      <c r="S471" s="215"/>
      <c r="T471" s="215"/>
      <c r="U471" s="215"/>
      <c r="V471" s="215"/>
      <c r="W471" s="80"/>
      <c r="X471" s="80"/>
      <c r="Y471" s="80"/>
      <c r="Z471" s="80"/>
      <c r="AA471" s="80"/>
      <c r="AB471" s="80"/>
      <c r="AC471" s="80"/>
      <c r="AD471" s="80"/>
      <c r="AE471" s="80"/>
      <c r="AF471" s="80"/>
    </row>
    <row r="472" spans="1:32">
      <c r="O472" s="215"/>
      <c r="P472" s="215"/>
      <c r="Q472" s="215"/>
      <c r="R472" s="215"/>
      <c r="S472" s="215"/>
      <c r="T472" s="215"/>
      <c r="U472" s="215"/>
      <c r="V472" s="215"/>
      <c r="W472" s="80"/>
      <c r="X472" s="80"/>
      <c r="Y472" s="80"/>
      <c r="Z472" s="80"/>
      <c r="AA472" s="80"/>
      <c r="AB472" s="80"/>
      <c r="AC472" s="80"/>
      <c r="AD472" s="80"/>
      <c r="AE472" s="80"/>
      <c r="AF472" s="80"/>
    </row>
    <row r="473" spans="1:32">
      <c r="A473" s="981" t="s">
        <v>173</v>
      </c>
      <c r="B473" s="981"/>
      <c r="C473" s="981"/>
      <c r="D473" s="981"/>
      <c r="E473" s="1026" t="s">
        <v>174</v>
      </c>
      <c r="F473" s="1026"/>
      <c r="G473" s="1026"/>
      <c r="H473" s="1026"/>
      <c r="I473" s="1026"/>
      <c r="J473" s="1026"/>
      <c r="K473" s="1026"/>
      <c r="L473" s="1026"/>
      <c r="M473" s="1026"/>
      <c r="N473" s="1026"/>
      <c r="O473" s="215"/>
      <c r="P473" s="215"/>
      <c r="Q473" s="215"/>
      <c r="R473" s="215"/>
      <c r="S473" s="215"/>
      <c r="T473" s="215"/>
      <c r="U473" s="215"/>
      <c r="V473" s="215"/>
      <c r="W473" s="80"/>
      <c r="X473" s="80"/>
      <c r="Y473" s="80"/>
      <c r="Z473" s="80"/>
      <c r="AA473" s="80"/>
      <c r="AB473" s="80"/>
      <c r="AC473" s="80"/>
      <c r="AD473" s="80"/>
      <c r="AE473" s="80"/>
      <c r="AF473" s="80"/>
    </row>
    <row r="474" spans="1:32">
      <c r="E474" s="1026"/>
      <c r="F474" s="1026"/>
      <c r="G474" s="1026"/>
      <c r="H474" s="1026"/>
      <c r="I474" s="1026"/>
      <c r="J474" s="1026"/>
      <c r="K474" s="1026"/>
      <c r="L474" s="1026"/>
      <c r="M474" s="1026"/>
      <c r="N474" s="1026"/>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6" t="s">
        <v>175</v>
      </c>
      <c r="B476" s="996"/>
      <c r="C476" s="996"/>
      <c r="D476" s="996"/>
      <c r="E476" s="997" t="s">
        <v>176</v>
      </c>
      <c r="F476" s="997"/>
      <c r="G476" s="997"/>
      <c r="H476" s="997"/>
      <c r="I476" s="997"/>
      <c r="J476" s="997"/>
      <c r="K476" s="997"/>
      <c r="L476" s="997"/>
      <c r="M476" s="997"/>
      <c r="N476" s="997"/>
      <c r="O476" s="215"/>
      <c r="P476" s="215"/>
      <c r="Q476" s="215"/>
      <c r="R476" s="215"/>
      <c r="S476" s="215"/>
      <c r="T476" s="215"/>
      <c r="U476" s="215"/>
      <c r="V476" s="215"/>
      <c r="W476" s="80"/>
      <c r="X476" s="80"/>
      <c r="Y476" s="80"/>
      <c r="Z476" s="80"/>
      <c r="AA476" s="80"/>
      <c r="AB476" s="80"/>
      <c r="AC476" s="80"/>
      <c r="AD476" s="80"/>
      <c r="AE476" s="80"/>
      <c r="AF476" s="80"/>
    </row>
    <row r="477" spans="1:32">
      <c r="O477" s="215"/>
      <c r="P477" s="215"/>
      <c r="Q477" s="215"/>
      <c r="R477" s="215"/>
      <c r="S477" s="215"/>
      <c r="T477" s="215"/>
      <c r="U477" s="215"/>
      <c r="V477" s="215"/>
      <c r="W477" s="80"/>
      <c r="X477" s="80"/>
      <c r="Y477" s="80"/>
      <c r="Z477" s="80"/>
      <c r="AA477" s="80"/>
      <c r="AB477" s="80"/>
      <c r="AC477" s="80"/>
      <c r="AD477" s="80"/>
      <c r="AE477" s="80"/>
      <c r="AF477" s="80"/>
    </row>
    <row r="478" spans="1:32">
      <c r="A478" s="995" t="s">
        <v>177</v>
      </c>
      <c r="B478" s="995"/>
      <c r="C478" s="995"/>
      <c r="D478" s="995"/>
      <c r="E478" s="992" t="s">
        <v>178</v>
      </c>
      <c r="F478" s="992"/>
      <c r="G478" s="992"/>
      <c r="H478" s="992"/>
      <c r="I478" s="992"/>
      <c r="J478" s="992"/>
      <c r="K478" s="992"/>
      <c r="L478" s="992"/>
      <c r="M478" s="992"/>
      <c r="N478" s="992"/>
      <c r="O478" s="215"/>
      <c r="P478" s="215"/>
      <c r="Q478" s="215"/>
      <c r="R478" s="215"/>
      <c r="S478" s="215"/>
      <c r="T478" s="215"/>
      <c r="U478" s="215"/>
      <c r="V478" s="215"/>
      <c r="W478" s="80"/>
      <c r="X478" s="80"/>
      <c r="Y478" s="80"/>
      <c r="Z478" s="80"/>
      <c r="AA478" s="80"/>
      <c r="AB478" s="80"/>
      <c r="AC478" s="80"/>
      <c r="AD478" s="80"/>
      <c r="AE478" s="80"/>
      <c r="AF478" s="80"/>
    </row>
    <row r="479" spans="1:32">
      <c r="E479" s="992"/>
      <c r="F479" s="992"/>
      <c r="G479" s="992"/>
      <c r="H479" s="992"/>
      <c r="I479" s="992"/>
      <c r="J479" s="992"/>
      <c r="K479" s="992"/>
      <c r="L479" s="992"/>
      <c r="M479" s="992"/>
      <c r="N479" s="992"/>
      <c r="O479" s="215"/>
      <c r="P479" s="215"/>
      <c r="Q479" s="215"/>
      <c r="R479" s="215"/>
      <c r="S479" s="215"/>
      <c r="T479" s="215"/>
      <c r="U479" s="215"/>
      <c r="V479" s="215"/>
      <c r="W479" s="80"/>
      <c r="X479" s="80"/>
      <c r="Y479" s="80"/>
      <c r="Z479" s="80"/>
      <c r="AA479" s="80"/>
      <c r="AB479" s="80"/>
      <c r="AC479" s="80"/>
      <c r="AD479" s="80"/>
      <c r="AE479" s="80"/>
      <c r="AF479" s="80"/>
    </row>
    <row r="480" spans="1:32">
      <c r="O480" s="215"/>
      <c r="P480" s="215"/>
      <c r="Q480" s="215"/>
      <c r="R480" s="215"/>
      <c r="S480" s="215"/>
      <c r="T480" s="215"/>
      <c r="U480" s="215"/>
      <c r="V480" s="215"/>
      <c r="W480" s="80"/>
      <c r="X480" s="80"/>
      <c r="Y480" s="80"/>
      <c r="Z480" s="80"/>
      <c r="AA480" s="80"/>
      <c r="AB480" s="80"/>
      <c r="AC480" s="80"/>
      <c r="AD480" s="80"/>
      <c r="AE480" s="80"/>
      <c r="AF480" s="80"/>
    </row>
    <row r="481" spans="1:32">
      <c r="A481" s="981" t="s">
        <v>179</v>
      </c>
      <c r="B481" s="981"/>
      <c r="C481" s="981"/>
      <c r="D481" s="981"/>
      <c r="E481" s="998" t="s">
        <v>180</v>
      </c>
      <c r="F481" s="998"/>
      <c r="G481" s="998"/>
      <c r="H481" s="998"/>
      <c r="I481" s="998"/>
      <c r="J481" s="998"/>
      <c r="K481" s="998"/>
      <c r="L481" s="998"/>
      <c r="M481" s="998"/>
      <c r="N481" s="998"/>
      <c r="O481" s="215"/>
      <c r="P481" s="215"/>
      <c r="Q481" s="215"/>
      <c r="R481" s="215"/>
      <c r="S481" s="215"/>
      <c r="T481" s="215"/>
      <c r="U481" s="215"/>
      <c r="V481" s="215"/>
      <c r="W481" s="80"/>
      <c r="X481" s="80"/>
      <c r="Y481" s="80"/>
      <c r="Z481" s="80"/>
      <c r="AA481" s="80"/>
      <c r="AB481" s="80"/>
      <c r="AC481" s="80"/>
      <c r="AD481" s="80"/>
      <c r="AE481" s="80"/>
      <c r="AF481" s="80"/>
    </row>
    <row r="482" spans="1:32">
      <c r="E482" s="998"/>
      <c r="F482" s="998"/>
      <c r="G482" s="998"/>
      <c r="H482" s="998"/>
      <c r="I482" s="998"/>
      <c r="J482" s="998"/>
      <c r="K482" s="998"/>
      <c r="L482" s="998"/>
      <c r="M482" s="998"/>
      <c r="N482" s="998"/>
      <c r="O482" s="215"/>
      <c r="P482" s="215"/>
      <c r="Q482" s="215"/>
      <c r="R482" s="215"/>
      <c r="S482" s="215"/>
      <c r="T482" s="215"/>
      <c r="U482" s="215"/>
      <c r="V482" s="215"/>
      <c r="W482" s="80"/>
      <c r="X482" s="80"/>
      <c r="Y482" s="80"/>
      <c r="Z482" s="80"/>
      <c r="AA482" s="80"/>
      <c r="AB482" s="80"/>
      <c r="AC482" s="80"/>
      <c r="AD482" s="80"/>
      <c r="AE482" s="80"/>
      <c r="AF482" s="80"/>
    </row>
    <row r="483" spans="1:32">
      <c r="O483" s="215"/>
      <c r="P483" s="215"/>
      <c r="Q483" s="215"/>
      <c r="R483" s="215"/>
      <c r="S483" s="215"/>
      <c r="T483" s="215"/>
      <c r="U483" s="215"/>
      <c r="V483" s="215"/>
      <c r="W483" s="80"/>
      <c r="X483" s="80"/>
      <c r="Y483" s="80"/>
      <c r="Z483" s="80"/>
      <c r="AA483" s="80"/>
      <c r="AB483" s="80"/>
      <c r="AC483" s="80"/>
      <c r="AD483" s="80"/>
      <c r="AE483" s="80"/>
      <c r="AF483" s="80"/>
    </row>
    <row r="484" spans="1:32">
      <c r="A484" s="981" t="s">
        <v>181</v>
      </c>
      <c r="B484" s="981"/>
      <c r="C484" s="981"/>
      <c r="D484" s="981"/>
      <c r="E484" s="992" t="s">
        <v>182</v>
      </c>
      <c r="F484" s="992"/>
      <c r="G484" s="992"/>
      <c r="H484" s="992"/>
      <c r="I484" s="992"/>
      <c r="J484" s="992"/>
      <c r="K484" s="992"/>
      <c r="L484" s="992"/>
      <c r="M484" s="992"/>
      <c r="N484" s="992"/>
      <c r="O484" s="215"/>
      <c r="P484" s="215"/>
      <c r="Q484" s="215"/>
      <c r="R484" s="215"/>
      <c r="S484" s="215"/>
      <c r="T484" s="215"/>
      <c r="U484" s="215"/>
      <c r="V484" s="215"/>
      <c r="W484" s="80"/>
      <c r="X484" s="80"/>
      <c r="Y484" s="80"/>
      <c r="Z484" s="80"/>
      <c r="AA484" s="80"/>
      <c r="AB484" s="80"/>
      <c r="AC484" s="80"/>
      <c r="AD484" s="80"/>
      <c r="AE484" s="80"/>
      <c r="AF484" s="80"/>
    </row>
    <row r="485" spans="1:32">
      <c r="E485" s="992"/>
      <c r="F485" s="992"/>
      <c r="G485" s="992"/>
      <c r="H485" s="992"/>
      <c r="I485" s="992"/>
      <c r="J485" s="992"/>
      <c r="K485" s="992"/>
      <c r="L485" s="992"/>
      <c r="M485" s="992"/>
      <c r="N485" s="992"/>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4" t="s">
        <v>20</v>
      </c>
      <c r="B487" s="994"/>
      <c r="C487" s="994"/>
      <c r="D487" s="994"/>
      <c r="O487" s="215"/>
      <c r="P487" s="215"/>
      <c r="Q487" s="215"/>
      <c r="R487" s="215"/>
      <c r="S487" s="215"/>
      <c r="T487" s="215"/>
      <c r="U487" s="215"/>
      <c r="V487" s="215"/>
      <c r="W487" s="80"/>
      <c r="X487" s="80"/>
      <c r="Y487" s="80"/>
      <c r="Z487" s="80"/>
      <c r="AA487" s="80"/>
      <c r="AB487" s="80"/>
      <c r="AC487" s="80"/>
      <c r="AD487" s="80"/>
      <c r="AE487" s="80"/>
      <c r="AF487" s="80"/>
    </row>
    <row r="488" spans="1:32">
      <c r="O488" s="215"/>
      <c r="P488" s="215"/>
      <c r="Q488" s="215"/>
      <c r="R488" s="215"/>
      <c r="S488" s="215"/>
      <c r="T488" s="215"/>
      <c r="U488" s="215"/>
      <c r="V488" s="215"/>
      <c r="W488" s="80"/>
      <c r="X488" s="80"/>
      <c r="Y488" s="80"/>
      <c r="Z488" s="80"/>
      <c r="AA488" s="80"/>
      <c r="AB488" s="80"/>
      <c r="AC488" s="80"/>
      <c r="AD488" s="80"/>
      <c r="AE488" s="80"/>
      <c r="AF488" s="80"/>
    </row>
    <row r="489" spans="1:32">
      <c r="A489" s="995" t="s">
        <v>183</v>
      </c>
      <c r="B489" s="995"/>
      <c r="C489" s="995"/>
      <c r="D489" s="995"/>
      <c r="E489" s="985" t="s">
        <v>184</v>
      </c>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E493" s="985"/>
      <c r="F493" s="985"/>
      <c r="G493" s="985"/>
      <c r="H493" s="985"/>
      <c r="I493" s="985"/>
      <c r="J493" s="985"/>
      <c r="K493" s="985"/>
      <c r="L493" s="985"/>
      <c r="M493" s="985"/>
      <c r="N493" s="985"/>
      <c r="O493" s="215"/>
      <c r="P493" s="215"/>
      <c r="Q493" s="215"/>
      <c r="R493" s="215"/>
      <c r="S493" s="215"/>
      <c r="T493" s="215"/>
      <c r="U493" s="215"/>
      <c r="V493" s="215"/>
      <c r="W493" s="80"/>
      <c r="X493" s="80"/>
      <c r="Y493" s="80"/>
      <c r="Z493" s="80"/>
      <c r="AA493" s="80"/>
      <c r="AB493" s="80"/>
      <c r="AC493" s="80"/>
      <c r="AD493" s="80"/>
      <c r="AE493" s="80"/>
      <c r="AF493" s="80"/>
    </row>
    <row r="494" spans="1:32">
      <c r="E494" s="985"/>
      <c r="F494" s="985"/>
      <c r="G494" s="985"/>
      <c r="H494" s="985"/>
      <c r="I494" s="985"/>
      <c r="J494" s="985"/>
      <c r="K494" s="985"/>
      <c r="L494" s="985"/>
      <c r="M494" s="985"/>
      <c r="N494" s="985"/>
      <c r="O494" s="215"/>
      <c r="P494" s="215"/>
      <c r="Q494" s="215"/>
      <c r="R494" s="215"/>
      <c r="S494" s="215"/>
      <c r="T494" s="215"/>
      <c r="U494" s="215"/>
      <c r="V494" s="215"/>
      <c r="W494" s="80"/>
      <c r="X494" s="80"/>
      <c r="Y494" s="80"/>
      <c r="Z494" s="80"/>
      <c r="AA494" s="80"/>
      <c r="AB494" s="80"/>
      <c r="AC494" s="80"/>
      <c r="AD494" s="80"/>
      <c r="AE494" s="80"/>
      <c r="AF494" s="80"/>
    </row>
    <row r="495" spans="1:32">
      <c r="O495" s="215"/>
      <c r="P495" s="215"/>
      <c r="Q495" s="215"/>
      <c r="R495" s="215"/>
      <c r="S495" s="215"/>
      <c r="T495" s="215"/>
      <c r="U495" s="215"/>
      <c r="V495" s="215"/>
      <c r="W495" s="80"/>
      <c r="X495" s="80"/>
      <c r="Y495" s="80"/>
      <c r="Z495" s="80"/>
      <c r="AA495" s="80"/>
      <c r="AB495" s="80"/>
      <c r="AC495" s="80"/>
      <c r="AD495" s="80"/>
      <c r="AE495" s="80"/>
      <c r="AF495" s="80"/>
    </row>
    <row r="496" spans="1:32">
      <c r="O496" s="215"/>
      <c r="P496" s="215"/>
      <c r="Q496" s="215"/>
      <c r="R496" s="215"/>
      <c r="S496" s="215"/>
      <c r="T496" s="215"/>
      <c r="U496" s="215"/>
      <c r="V496" s="215"/>
      <c r="W496" s="80"/>
      <c r="X496" s="80"/>
      <c r="Y496" s="80"/>
      <c r="Z496" s="80"/>
      <c r="AA496" s="80"/>
      <c r="AB496" s="80"/>
      <c r="AC496" s="80"/>
      <c r="AD496" s="80"/>
      <c r="AE496" s="80"/>
      <c r="AF496" s="80"/>
    </row>
    <row r="497" spans="1:32">
      <c r="A497" s="995" t="s">
        <v>185</v>
      </c>
      <c r="B497" s="995"/>
      <c r="C497" s="995"/>
      <c r="D497" s="995"/>
      <c r="E497" s="992" t="s">
        <v>186</v>
      </c>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c r="E503" s="992"/>
      <c r="F503" s="992"/>
      <c r="G503" s="992"/>
      <c r="H503" s="992"/>
      <c r="I503" s="992"/>
      <c r="J503" s="992"/>
      <c r="K503" s="992"/>
      <c r="L503" s="992"/>
      <c r="M503" s="992"/>
      <c r="N503" s="992"/>
      <c r="O503" s="215"/>
      <c r="P503" s="215"/>
      <c r="Q503" s="215"/>
      <c r="R503" s="215"/>
      <c r="S503" s="215"/>
      <c r="T503" s="215"/>
      <c r="U503" s="215"/>
      <c r="V503" s="215"/>
      <c r="W503" s="80"/>
      <c r="X503" s="80"/>
      <c r="Y503" s="80"/>
      <c r="Z503" s="80"/>
      <c r="AA503" s="80"/>
      <c r="AB503" s="80"/>
      <c r="AC503" s="80"/>
      <c r="AD503" s="80"/>
      <c r="AE503" s="80"/>
      <c r="AF503" s="80"/>
    </row>
    <row r="504" spans="1:32">
      <c r="E504" s="992"/>
      <c r="F504" s="992"/>
      <c r="G504" s="992"/>
      <c r="H504" s="992"/>
      <c r="I504" s="992"/>
      <c r="J504" s="992"/>
      <c r="K504" s="992"/>
      <c r="L504" s="992"/>
      <c r="M504" s="992"/>
      <c r="N504" s="992"/>
      <c r="O504" s="215"/>
      <c r="P504" s="215"/>
      <c r="Q504" s="215"/>
      <c r="R504" s="215"/>
      <c r="S504" s="215"/>
      <c r="T504" s="215"/>
      <c r="U504" s="215"/>
      <c r="V504" s="215"/>
      <c r="W504" s="80"/>
      <c r="X504" s="80"/>
      <c r="Y504" s="80"/>
      <c r="Z504" s="80"/>
      <c r="AA504" s="80"/>
      <c r="AB504" s="80"/>
      <c r="AC504" s="80"/>
      <c r="AD504" s="80"/>
      <c r="AE504" s="80"/>
      <c r="AF504" s="80"/>
    </row>
    <row r="505" spans="1:32" ht="15.75" thickBot="1">
      <c r="O505" s="215"/>
      <c r="P505" s="215"/>
      <c r="Q505" s="215"/>
      <c r="R505" s="215"/>
      <c r="S505" s="215"/>
      <c r="T505" s="215"/>
      <c r="U505" s="215"/>
      <c r="V505" s="215"/>
      <c r="W505" s="80"/>
      <c r="X505" s="80"/>
      <c r="Y505" s="80"/>
      <c r="Z505" s="80"/>
      <c r="AA505" s="80"/>
      <c r="AB505" s="80"/>
      <c r="AC505" s="80"/>
      <c r="AD505" s="80"/>
      <c r="AE505" s="80"/>
      <c r="AF505" s="80"/>
    </row>
    <row r="506" spans="1:32" ht="15.75" thickBot="1">
      <c r="A506" s="986" t="s">
        <v>187</v>
      </c>
      <c r="B506" s="986"/>
      <c r="C506" s="986"/>
      <c r="D506" s="986"/>
      <c r="E506" s="990" t="s">
        <v>188</v>
      </c>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ht="15.75" thickBot="1">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ht="15.75" thickBot="1">
      <c r="E508" s="990"/>
      <c r="F508" s="990"/>
      <c r="G508" s="990"/>
      <c r="H508" s="990"/>
      <c r="I508" s="990"/>
      <c r="J508" s="990"/>
      <c r="K508" s="990"/>
      <c r="L508" s="990"/>
      <c r="M508" s="990"/>
      <c r="N508" s="990"/>
      <c r="O508" s="215"/>
      <c r="P508" s="215"/>
      <c r="Q508" s="215"/>
      <c r="R508" s="215"/>
      <c r="S508" s="215"/>
      <c r="T508" s="215"/>
      <c r="U508" s="215"/>
      <c r="V508" s="215"/>
      <c r="W508" s="80"/>
      <c r="X508" s="80"/>
      <c r="Y508" s="80"/>
      <c r="Z508" s="80"/>
      <c r="AA508" s="80"/>
      <c r="AB508" s="80"/>
      <c r="AC508" s="80"/>
      <c r="AD508" s="80"/>
      <c r="AE508" s="80"/>
      <c r="AF508" s="80"/>
    </row>
    <row r="509" spans="1:32">
      <c r="E509" s="990"/>
      <c r="F509" s="990"/>
      <c r="G509" s="990"/>
      <c r="H509" s="990"/>
      <c r="I509" s="990"/>
      <c r="J509" s="990"/>
      <c r="K509" s="990"/>
      <c r="L509" s="990"/>
      <c r="M509" s="990"/>
      <c r="N509" s="990"/>
      <c r="O509" s="215"/>
      <c r="P509" s="215"/>
      <c r="Q509" s="215"/>
      <c r="R509" s="215"/>
      <c r="S509" s="215"/>
      <c r="T509" s="215"/>
      <c r="U509" s="215"/>
      <c r="V509" s="215"/>
      <c r="W509" s="80"/>
      <c r="X509" s="80"/>
      <c r="Y509" s="80"/>
      <c r="Z509" s="80"/>
      <c r="AA509" s="80"/>
      <c r="AB509" s="80"/>
      <c r="AC509" s="80"/>
      <c r="AD509" s="80"/>
      <c r="AE509" s="80"/>
      <c r="AF509" s="80"/>
    </row>
    <row r="510" spans="1:32">
      <c r="E510" s="32"/>
      <c r="F510" s="32"/>
      <c r="G510" s="32"/>
      <c r="H510" s="32"/>
      <c r="I510" s="32"/>
      <c r="J510" s="32"/>
      <c r="K510" s="32"/>
      <c r="L510" s="32"/>
      <c r="M510" s="32"/>
      <c r="N510" s="32"/>
      <c r="O510" s="215"/>
      <c r="P510" s="215"/>
      <c r="Q510" s="215"/>
      <c r="R510" s="215"/>
      <c r="S510" s="215"/>
      <c r="T510" s="215"/>
      <c r="U510" s="215"/>
      <c r="V510" s="215"/>
      <c r="W510" s="80"/>
      <c r="X510" s="80"/>
      <c r="Y510" s="80"/>
      <c r="Z510" s="80"/>
      <c r="AA510" s="80"/>
      <c r="AB510" s="80"/>
      <c r="AC510" s="80"/>
      <c r="AD510" s="80"/>
      <c r="AE510" s="80"/>
      <c r="AF510" s="80"/>
    </row>
    <row r="511" spans="1:32">
      <c r="A511" s="991" t="s">
        <v>189</v>
      </c>
      <c r="B511" s="991"/>
      <c r="C511" s="991"/>
      <c r="D511" s="991"/>
      <c r="E511" s="992" t="s">
        <v>190</v>
      </c>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A512" s="33"/>
      <c r="B512" s="33"/>
      <c r="C512" s="33"/>
      <c r="D512" s="33"/>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c r="E513" s="992"/>
      <c r="F513" s="992"/>
      <c r="G513" s="992"/>
      <c r="H513" s="992"/>
      <c r="I513" s="992"/>
      <c r="J513" s="992"/>
      <c r="K513" s="992"/>
      <c r="L513" s="992"/>
      <c r="M513" s="992"/>
      <c r="N513" s="992"/>
      <c r="O513" s="215"/>
      <c r="P513" s="215"/>
      <c r="Q513" s="215"/>
      <c r="R513" s="215"/>
      <c r="S513" s="215"/>
      <c r="T513" s="215"/>
      <c r="U513" s="215"/>
      <c r="V513" s="215"/>
      <c r="W513" s="80"/>
      <c r="X513" s="80"/>
      <c r="Y513" s="80"/>
      <c r="Z513" s="80"/>
      <c r="AA513" s="80"/>
      <c r="AB513" s="80"/>
      <c r="AC513" s="80"/>
      <c r="AD513" s="80"/>
      <c r="AE513" s="80"/>
      <c r="AF513" s="80"/>
    </row>
    <row r="514" spans="1:32">
      <c r="E514" s="992"/>
      <c r="F514" s="992"/>
      <c r="G514" s="992"/>
      <c r="H514" s="992"/>
      <c r="I514" s="992"/>
      <c r="J514" s="992"/>
      <c r="K514" s="992"/>
      <c r="L514" s="992"/>
      <c r="M514" s="992"/>
      <c r="N514" s="992"/>
      <c r="O514" s="215"/>
      <c r="P514" s="215"/>
      <c r="Q514" s="215"/>
      <c r="R514" s="215"/>
      <c r="S514" s="215"/>
      <c r="T514" s="215"/>
      <c r="U514" s="215"/>
      <c r="V514" s="215"/>
      <c r="W514" s="80"/>
      <c r="X514" s="80"/>
      <c r="Y514" s="80"/>
      <c r="Z514" s="80"/>
      <c r="AA514" s="80"/>
      <c r="AB514" s="80"/>
      <c r="AC514" s="80"/>
      <c r="AD514" s="80"/>
      <c r="AE514" s="80"/>
      <c r="AF514" s="80"/>
    </row>
    <row r="515" spans="1:32" ht="15.75" thickBot="1">
      <c r="O515" s="215"/>
      <c r="P515" s="215"/>
      <c r="Q515" s="215"/>
      <c r="R515" s="215"/>
      <c r="S515" s="215"/>
      <c r="T515" s="215"/>
      <c r="U515" s="215"/>
      <c r="V515" s="215"/>
      <c r="W515" s="80"/>
      <c r="X515" s="80"/>
      <c r="Y515" s="80"/>
      <c r="Z515" s="80"/>
      <c r="AA515" s="80"/>
      <c r="AB515" s="80"/>
      <c r="AC515" s="80"/>
      <c r="AD515" s="80"/>
      <c r="AE515" s="80"/>
      <c r="AF515" s="80"/>
    </row>
    <row r="516" spans="1:32" ht="15.75" thickBot="1">
      <c r="A516" s="986" t="s">
        <v>191</v>
      </c>
      <c r="B516" s="986"/>
      <c r="C516" s="986"/>
      <c r="D516" s="986"/>
      <c r="E516" s="993" t="s">
        <v>192</v>
      </c>
      <c r="F516" s="993"/>
      <c r="G516" s="993"/>
      <c r="H516" s="993"/>
      <c r="I516" s="993"/>
      <c r="J516" s="993"/>
      <c r="K516" s="993"/>
      <c r="L516" s="993"/>
      <c r="M516" s="993"/>
      <c r="N516" s="993"/>
      <c r="O516" s="215"/>
      <c r="P516" s="215"/>
      <c r="Q516" s="215"/>
      <c r="R516" s="215"/>
      <c r="S516" s="215"/>
      <c r="T516" s="215"/>
      <c r="U516" s="215"/>
      <c r="V516" s="215"/>
      <c r="W516" s="80"/>
      <c r="X516" s="80"/>
      <c r="Y516" s="80"/>
      <c r="Z516" s="80"/>
      <c r="AA516" s="80"/>
      <c r="AB516" s="80"/>
      <c r="AC516" s="80"/>
      <c r="AD516" s="80"/>
      <c r="AE516" s="80"/>
      <c r="AF516" s="80"/>
    </row>
    <row r="517" spans="1:32">
      <c r="O517" s="215"/>
      <c r="P517" s="215"/>
      <c r="Q517" s="215"/>
      <c r="R517" s="215"/>
      <c r="S517" s="215"/>
      <c r="T517" s="215"/>
      <c r="U517" s="215"/>
      <c r="V517" s="215"/>
      <c r="W517" s="80"/>
      <c r="X517" s="80"/>
      <c r="Y517" s="80"/>
      <c r="Z517" s="80"/>
      <c r="AA517" s="80"/>
      <c r="AB517" s="80"/>
      <c r="AC517" s="80"/>
      <c r="AD517" s="80"/>
      <c r="AE517" s="80"/>
      <c r="AF517" s="80"/>
    </row>
    <row r="518" spans="1:32">
      <c r="A518" s="981" t="s">
        <v>193</v>
      </c>
      <c r="B518" s="981"/>
      <c r="C518" s="981"/>
      <c r="D518" s="981"/>
      <c r="E518" s="985" t="s">
        <v>194</v>
      </c>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c r="C525" s="4"/>
      <c r="E525" s="985"/>
      <c r="F525" s="985"/>
      <c r="G525" s="985"/>
      <c r="H525" s="985"/>
      <c r="I525" s="985"/>
      <c r="J525" s="985"/>
      <c r="K525" s="985"/>
      <c r="L525" s="985"/>
      <c r="M525" s="985"/>
      <c r="N525" s="985"/>
      <c r="O525" s="215"/>
      <c r="P525" s="215"/>
      <c r="Q525" s="215"/>
      <c r="R525" s="215"/>
      <c r="S525" s="215"/>
      <c r="T525" s="215"/>
      <c r="U525" s="215"/>
      <c r="V525" s="215"/>
      <c r="W525" s="80"/>
      <c r="X525" s="80"/>
      <c r="Y525" s="80"/>
      <c r="Z525" s="80"/>
      <c r="AA525" s="80"/>
      <c r="AB525" s="80"/>
      <c r="AC525" s="80"/>
      <c r="AD525" s="80"/>
      <c r="AE525" s="80"/>
      <c r="AF525" s="80"/>
    </row>
    <row r="526" spans="1:32">
      <c r="E526" s="985"/>
      <c r="F526" s="985"/>
      <c r="G526" s="985"/>
      <c r="H526" s="985"/>
      <c r="I526" s="985"/>
      <c r="J526" s="985"/>
      <c r="K526" s="985"/>
      <c r="L526" s="985"/>
      <c r="M526" s="985"/>
      <c r="N526" s="985"/>
      <c r="O526" s="215"/>
      <c r="P526" s="215"/>
      <c r="Q526" s="215"/>
      <c r="R526" s="215"/>
      <c r="S526" s="215"/>
      <c r="T526" s="215"/>
      <c r="U526" s="215"/>
      <c r="V526" s="215"/>
      <c r="W526" s="80"/>
      <c r="X526" s="80"/>
      <c r="Y526" s="80"/>
      <c r="Z526" s="80"/>
      <c r="AA526" s="80"/>
      <c r="AB526" s="80"/>
      <c r="AC526" s="80"/>
      <c r="AD526" s="80"/>
      <c r="AE526" s="80"/>
      <c r="AF526" s="80"/>
    </row>
    <row r="527" spans="1:32" ht="15.75" thickBot="1">
      <c r="E527" s="32"/>
      <c r="F527" s="32"/>
      <c r="G527" s="32"/>
      <c r="H527" s="32"/>
      <c r="I527" s="32"/>
      <c r="J527" s="32"/>
      <c r="K527" s="32"/>
      <c r="L527" s="32"/>
      <c r="M527" s="32"/>
      <c r="N527" s="32"/>
      <c r="O527" s="215"/>
      <c r="P527" s="215"/>
      <c r="Q527" s="215"/>
      <c r="R527" s="215"/>
      <c r="S527" s="215"/>
      <c r="T527" s="215"/>
      <c r="U527" s="215"/>
      <c r="V527" s="215"/>
      <c r="W527" s="80"/>
      <c r="X527" s="80"/>
      <c r="Y527" s="80"/>
      <c r="Z527" s="80"/>
      <c r="AA527" s="80"/>
      <c r="AB527" s="80"/>
      <c r="AC527" s="80"/>
      <c r="AD527" s="80"/>
      <c r="AE527" s="80"/>
      <c r="AF527" s="80"/>
    </row>
    <row r="528" spans="1:32" ht="15.75" thickBot="1">
      <c r="A528" s="986" t="s">
        <v>195</v>
      </c>
      <c r="B528" s="986"/>
      <c r="C528" s="986"/>
      <c r="D528" s="986"/>
      <c r="E528" s="987" t="s">
        <v>196</v>
      </c>
      <c r="F528" s="987"/>
      <c r="G528" s="987"/>
      <c r="H528" s="987"/>
      <c r="I528" s="987"/>
      <c r="J528" s="987"/>
      <c r="K528" s="987"/>
      <c r="L528" s="987"/>
      <c r="M528" s="987"/>
      <c r="N528" s="987"/>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c r="O530" s="215"/>
      <c r="P530" s="215"/>
      <c r="Q530" s="215"/>
      <c r="R530" s="215"/>
      <c r="S530" s="215"/>
      <c r="T530" s="215"/>
      <c r="U530" s="215"/>
      <c r="V530" s="215"/>
      <c r="W530" s="80"/>
      <c r="X530" s="80"/>
      <c r="Y530" s="80"/>
      <c r="Z530" s="80"/>
      <c r="AA530" s="80"/>
      <c r="AB530" s="80"/>
      <c r="AC530" s="80"/>
      <c r="AD530" s="80"/>
      <c r="AE530" s="80"/>
      <c r="AF530" s="80"/>
    </row>
    <row r="531" spans="1:32">
      <c r="O531" s="215"/>
      <c r="P531" s="215"/>
      <c r="Q531" s="215"/>
      <c r="R531" s="215"/>
      <c r="S531" s="215"/>
      <c r="T531" s="215"/>
      <c r="U531" s="215"/>
      <c r="V531" s="215"/>
      <c r="W531" s="80"/>
      <c r="X531" s="80"/>
      <c r="Y531" s="80"/>
      <c r="Z531" s="80"/>
      <c r="AA531" s="80"/>
      <c r="AB531" s="80"/>
      <c r="AC531" s="80"/>
      <c r="AD531" s="80"/>
      <c r="AE531" s="80"/>
      <c r="AF531" s="80"/>
    </row>
    <row r="532" spans="1:32" ht="15.75">
      <c r="A532" s="988" t="s">
        <v>29</v>
      </c>
      <c r="B532" s="988"/>
      <c r="O532" s="215"/>
      <c r="P532" s="215"/>
      <c r="Q532" s="215"/>
      <c r="R532" s="215"/>
      <c r="S532" s="215"/>
      <c r="T532" s="215"/>
      <c r="U532" s="215"/>
      <c r="V532" s="215"/>
      <c r="W532" s="80"/>
      <c r="X532" s="80"/>
      <c r="Y532" s="80"/>
      <c r="Z532" s="80"/>
      <c r="AA532" s="80"/>
      <c r="AB532" s="80"/>
      <c r="AC532" s="80"/>
      <c r="AD532" s="80"/>
      <c r="AE532" s="80"/>
      <c r="AF532" s="80"/>
    </row>
    <row r="533" spans="1:32" ht="15.75" thickBot="1">
      <c r="O533" s="215"/>
      <c r="P533" s="215"/>
      <c r="Q533" s="215"/>
      <c r="R533" s="215"/>
      <c r="S533" s="215"/>
      <c r="T533" s="215"/>
      <c r="U533" s="215"/>
      <c r="V533" s="215"/>
      <c r="W533" s="80"/>
      <c r="X533" s="80"/>
      <c r="Y533" s="80"/>
      <c r="Z533" s="80"/>
      <c r="AA533" s="80"/>
      <c r="AB533" s="80"/>
      <c r="AC533" s="80"/>
      <c r="AD533" s="80"/>
      <c r="AE533" s="80"/>
      <c r="AF533" s="80"/>
    </row>
    <row r="534" spans="1:32" ht="15.75" thickBot="1">
      <c r="A534" s="989" t="s">
        <v>197</v>
      </c>
      <c r="B534" s="989"/>
      <c r="C534" s="989"/>
      <c r="D534" s="989"/>
      <c r="E534" s="989"/>
      <c r="F534" s="34" t="s">
        <v>198</v>
      </c>
      <c r="G534" s="35"/>
      <c r="H534" s="35"/>
      <c r="I534" s="35"/>
      <c r="J534" s="35"/>
      <c r="K534" s="35"/>
      <c r="L534" s="35"/>
      <c r="M534" s="35"/>
      <c r="N534" s="35"/>
      <c r="O534" s="215"/>
      <c r="P534" s="215"/>
      <c r="Q534" s="215"/>
      <c r="R534" s="215"/>
      <c r="S534" s="215"/>
      <c r="T534" s="215"/>
      <c r="U534" s="215"/>
      <c r="V534" s="215"/>
      <c r="W534" s="80"/>
      <c r="X534" s="80"/>
      <c r="Y534" s="80"/>
      <c r="Z534" s="80"/>
      <c r="AA534" s="80"/>
      <c r="AB534" s="80"/>
      <c r="AC534" s="80"/>
      <c r="AD534" s="80"/>
      <c r="AE534" s="80"/>
      <c r="AF534" s="80"/>
    </row>
    <row r="535" spans="1:32">
      <c r="O535" s="215"/>
      <c r="P535" s="215"/>
      <c r="Q535" s="215"/>
      <c r="R535" s="215"/>
      <c r="S535" s="215"/>
      <c r="T535" s="215"/>
      <c r="U535" s="215"/>
      <c r="V535" s="215"/>
      <c r="W535" s="80"/>
      <c r="X535" s="80"/>
      <c r="Y535" s="80"/>
      <c r="Z535" s="80"/>
      <c r="AA535" s="80"/>
      <c r="AB535" s="80"/>
      <c r="AC535" s="80"/>
      <c r="AD535" s="80"/>
      <c r="AE535" s="80"/>
      <c r="AF535" s="80"/>
    </row>
    <row r="536" spans="1:32">
      <c r="A536" s="981" t="s">
        <v>199</v>
      </c>
      <c r="B536" s="981"/>
      <c r="C536" s="981"/>
      <c r="D536" s="981"/>
      <c r="E536" s="981"/>
      <c r="F536" s="982" t="s">
        <v>200</v>
      </c>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F537" s="982"/>
      <c r="G537" s="982"/>
      <c r="H537" s="982"/>
      <c r="I537" s="982"/>
      <c r="J537" s="982"/>
      <c r="K537" s="982"/>
      <c r="L537" s="982"/>
      <c r="M537" s="982"/>
      <c r="N537" s="982"/>
      <c r="O537" s="215"/>
      <c r="P537" s="215"/>
      <c r="Q537" s="215"/>
      <c r="R537" s="215"/>
      <c r="S537" s="215"/>
      <c r="T537" s="215"/>
      <c r="U537" s="215"/>
      <c r="V537" s="215"/>
      <c r="W537" s="80"/>
      <c r="X537" s="80"/>
      <c r="Y537" s="80"/>
      <c r="Z537" s="80"/>
      <c r="AA537" s="80"/>
      <c r="AB537" s="80"/>
      <c r="AC537" s="80"/>
      <c r="AD537" s="80"/>
      <c r="AE537" s="80"/>
      <c r="AF537" s="80"/>
    </row>
    <row r="538" spans="1:32">
      <c r="F538" s="982"/>
      <c r="G538" s="982"/>
      <c r="H538" s="982"/>
      <c r="I538" s="982"/>
      <c r="J538" s="982"/>
      <c r="K538" s="982"/>
      <c r="L538" s="982"/>
      <c r="M538" s="982"/>
      <c r="N538" s="982"/>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A540" s="983" t="s">
        <v>31</v>
      </c>
      <c r="B540" s="983"/>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O542" s="215"/>
      <c r="P542" s="215"/>
      <c r="Q542" s="215"/>
      <c r="R542" s="215"/>
      <c r="S542" s="215"/>
      <c r="T542" s="215"/>
      <c r="U542" s="215"/>
      <c r="V542" s="215"/>
      <c r="W542" s="80"/>
      <c r="X542" s="80"/>
      <c r="Y542" s="80"/>
      <c r="Z542" s="80"/>
      <c r="AA542" s="80"/>
      <c r="AB542" s="80"/>
      <c r="AC542" s="80"/>
      <c r="AD542" s="80"/>
      <c r="AE542" s="80"/>
      <c r="AF542" s="80"/>
    </row>
    <row r="543" spans="1:32">
      <c r="O543" s="215"/>
      <c r="P543" s="215"/>
      <c r="Q543" s="215"/>
      <c r="R543" s="215"/>
      <c r="S543" s="215"/>
      <c r="T543" s="215"/>
      <c r="U543" s="215"/>
      <c r="V543" s="215"/>
      <c r="W543" s="80"/>
      <c r="X543" s="80"/>
      <c r="Y543" s="80"/>
      <c r="Z543" s="80"/>
      <c r="AA543" s="80"/>
      <c r="AB543" s="80"/>
      <c r="AC543" s="80"/>
      <c r="AD543" s="80"/>
      <c r="AE543" s="80"/>
      <c r="AF543" s="80"/>
    </row>
    <row r="544" spans="1:32">
      <c r="A544" s="984" t="s">
        <v>32</v>
      </c>
      <c r="B544" s="984"/>
      <c r="C544" s="984"/>
      <c r="D544" s="984"/>
      <c r="E544" s="984"/>
      <c r="O544" s="215"/>
      <c r="P544" s="215"/>
      <c r="Q544" s="215"/>
      <c r="R544" s="215"/>
      <c r="S544" s="215"/>
      <c r="T544" s="215"/>
      <c r="U544" s="215"/>
      <c r="V544" s="215"/>
      <c r="W544" s="80"/>
      <c r="X544" s="80"/>
      <c r="Y544" s="80"/>
      <c r="Z544" s="80"/>
      <c r="AA544" s="80"/>
      <c r="AB544" s="80"/>
      <c r="AC544" s="80"/>
      <c r="AD544" s="80"/>
      <c r="AE544" s="80"/>
      <c r="AF544" s="80"/>
    </row>
    <row r="545" spans="1:32">
      <c r="I545" s="4"/>
      <c r="O545" s="215"/>
      <c r="P545" s="215"/>
      <c r="Q545" s="215"/>
      <c r="R545" s="215"/>
      <c r="S545" s="215"/>
      <c r="T545" s="215"/>
      <c r="U545" s="215"/>
      <c r="V545" s="215"/>
      <c r="W545" s="80"/>
      <c r="X545" s="80"/>
      <c r="Y545" s="80"/>
      <c r="Z545" s="80"/>
      <c r="AA545" s="80"/>
      <c r="AB545" s="80"/>
      <c r="AC545" s="80"/>
      <c r="AD545" s="80"/>
      <c r="AE545" s="80"/>
      <c r="AF545" s="80"/>
    </row>
    <row r="546" spans="1:32">
      <c r="O546" s="215"/>
      <c r="P546" s="215"/>
      <c r="Q546" s="215"/>
      <c r="R546" s="215"/>
      <c r="S546" s="215"/>
      <c r="T546" s="215"/>
      <c r="U546" s="215"/>
      <c r="V546" s="215"/>
      <c r="W546" s="80"/>
      <c r="X546" s="80"/>
      <c r="Y546" s="80"/>
      <c r="Z546" s="80"/>
      <c r="AA546" s="80"/>
      <c r="AB546" s="80"/>
      <c r="AC546" s="80"/>
      <c r="AD546" s="80"/>
      <c r="AE546" s="80"/>
      <c r="AF546" s="80"/>
    </row>
    <row r="547" spans="1:32">
      <c r="A547" s="981" t="s">
        <v>201</v>
      </c>
      <c r="B547" s="981"/>
      <c r="C547" s="981"/>
      <c r="D547" s="981"/>
      <c r="E547" s="981"/>
      <c r="F547" s="985" t="s">
        <v>202</v>
      </c>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985"/>
      <c r="G553" s="985"/>
      <c r="H553" s="985"/>
      <c r="I553" s="985"/>
      <c r="J553" s="985"/>
      <c r="K553" s="985"/>
      <c r="L553" s="985"/>
      <c r="M553" s="985"/>
      <c r="N553" s="985"/>
      <c r="O553" s="215"/>
      <c r="P553" s="215"/>
      <c r="Q553" s="215"/>
      <c r="R553" s="215"/>
      <c r="S553" s="215"/>
      <c r="T553" s="215"/>
      <c r="U553" s="215"/>
      <c r="V553" s="215"/>
      <c r="W553" s="80"/>
      <c r="X553" s="80"/>
      <c r="Y553" s="80"/>
      <c r="Z553" s="80"/>
      <c r="AA553" s="80"/>
      <c r="AB553" s="80"/>
      <c r="AC553" s="80"/>
      <c r="AD553" s="80"/>
      <c r="AE553" s="80"/>
      <c r="AF553" s="80"/>
    </row>
    <row r="554" spans="1:32">
      <c r="F554" s="985"/>
      <c r="G554" s="985"/>
      <c r="H554" s="985"/>
      <c r="I554" s="985"/>
      <c r="J554" s="985"/>
      <c r="K554" s="985"/>
      <c r="L554" s="985"/>
      <c r="M554" s="985"/>
      <c r="N554" s="985"/>
      <c r="O554" s="215"/>
      <c r="P554" s="215"/>
      <c r="Q554" s="215"/>
      <c r="R554" s="215"/>
      <c r="S554" s="215"/>
      <c r="T554" s="215"/>
      <c r="U554" s="215"/>
      <c r="V554" s="215"/>
      <c r="W554" s="80"/>
      <c r="X554" s="80"/>
      <c r="Y554" s="80"/>
      <c r="Z554" s="80"/>
      <c r="AA554" s="80"/>
      <c r="AB554" s="80"/>
      <c r="AC554" s="80"/>
      <c r="AD554" s="80"/>
      <c r="AE554" s="80"/>
      <c r="AF554" s="80"/>
    </row>
    <row r="555" spans="1:32">
      <c r="F555" s="32"/>
      <c r="G555" s="32"/>
      <c r="H555" s="32"/>
      <c r="I555" s="32"/>
      <c r="J555" s="32"/>
      <c r="K555" s="32"/>
      <c r="L555" s="32"/>
      <c r="M555" s="32"/>
      <c r="N555" s="32"/>
      <c r="O555" s="215"/>
      <c r="P555" s="215"/>
      <c r="Q555" s="215"/>
      <c r="R555" s="215"/>
      <c r="S555" s="215"/>
      <c r="T555" s="215"/>
      <c r="U555" s="215"/>
      <c r="V555" s="215"/>
      <c r="W555" s="80"/>
      <c r="X555" s="80"/>
      <c r="Y555" s="80"/>
      <c r="Z555" s="80"/>
      <c r="AA555" s="80"/>
      <c r="AB555" s="80"/>
      <c r="AC555" s="80"/>
      <c r="AD555" s="80"/>
      <c r="AE555" s="80"/>
      <c r="AF555" s="80"/>
    </row>
    <row r="556" spans="1:32">
      <c r="A556" s="981" t="s">
        <v>203</v>
      </c>
      <c r="B556" s="981"/>
      <c r="C556" s="981"/>
      <c r="D556" s="981"/>
      <c r="E556" s="981"/>
      <c r="F556" s="982" t="s">
        <v>204</v>
      </c>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O558" s="215"/>
      <c r="P558" s="215"/>
      <c r="Q558" s="215"/>
      <c r="R558" s="215"/>
      <c r="S558" s="215"/>
      <c r="T558" s="215"/>
      <c r="U558" s="215"/>
      <c r="V558" s="215"/>
      <c r="W558" s="80"/>
      <c r="X558" s="80"/>
      <c r="Y558" s="80"/>
      <c r="Z558" s="80"/>
      <c r="AA558" s="80"/>
      <c r="AB558" s="80"/>
      <c r="AC558" s="80"/>
      <c r="AD558" s="80"/>
      <c r="AE558" s="80"/>
      <c r="AF558" s="80"/>
    </row>
    <row r="559" spans="1:32">
      <c r="F559" s="982"/>
      <c r="G559" s="982"/>
      <c r="H559" s="982"/>
      <c r="I559" s="982"/>
      <c r="J559" s="982"/>
      <c r="K559" s="982"/>
      <c r="L559" s="982"/>
      <c r="M559" s="982"/>
      <c r="N559" s="982"/>
      <c r="O559" s="215"/>
      <c r="P559" s="215"/>
      <c r="Q559" s="215"/>
      <c r="R559" s="215"/>
      <c r="S559" s="215"/>
      <c r="T559" s="215"/>
      <c r="U559" s="215"/>
      <c r="V559" s="215"/>
      <c r="W559" s="80"/>
      <c r="X559" s="80"/>
      <c r="Y559" s="80"/>
      <c r="Z559" s="80"/>
      <c r="AA559" s="80"/>
      <c r="AB559" s="80"/>
      <c r="AC559" s="80"/>
      <c r="AD559" s="80"/>
      <c r="AE559" s="80"/>
      <c r="AF559" s="80"/>
    </row>
    <row r="560" spans="1:32">
      <c r="F560" s="982"/>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1:32">
      <c r="Q561" s="80"/>
      <c r="R561" s="80"/>
      <c r="S561" s="80"/>
      <c r="T561" s="80"/>
      <c r="U561" s="80"/>
      <c r="V561" s="80"/>
      <c r="W561" s="80"/>
      <c r="X561" s="80"/>
      <c r="Y561" s="80"/>
      <c r="Z561" s="80"/>
      <c r="AA561" s="80"/>
      <c r="AB561" s="80"/>
      <c r="AC561" s="80"/>
      <c r="AD561" s="80"/>
      <c r="AE561" s="80"/>
      <c r="AF561" s="80"/>
    </row>
    <row r="562" spans="1:32">
      <c r="A562" s="981" t="s">
        <v>205</v>
      </c>
      <c r="B562" s="981"/>
      <c r="C562" s="981"/>
      <c r="D562" s="981"/>
      <c r="E562" s="981"/>
      <c r="F562" s="982" t="s">
        <v>206</v>
      </c>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1: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1: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1: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row r="566" spans="1:32">
      <c r="F566" s="982"/>
      <c r="G566" s="982"/>
      <c r="H566" s="982"/>
      <c r="I566" s="982"/>
      <c r="J566" s="982"/>
      <c r="K566" s="982"/>
      <c r="L566" s="982"/>
      <c r="M566" s="982"/>
      <c r="N566" s="982"/>
      <c r="Q566" s="80"/>
      <c r="R566" s="80"/>
      <c r="S566" s="80"/>
      <c r="T566" s="80"/>
      <c r="U566" s="80"/>
      <c r="V566" s="80"/>
      <c r="W566" s="80"/>
      <c r="X566" s="80"/>
      <c r="Y566" s="80"/>
      <c r="Z566" s="80"/>
      <c r="AA566" s="80"/>
      <c r="AB566" s="80"/>
      <c r="AC566" s="80"/>
      <c r="AD566" s="80"/>
      <c r="AE566" s="80"/>
      <c r="AF566" s="80"/>
    </row>
    <row r="567" spans="1:32">
      <c r="F567" s="982"/>
      <c r="G567" s="982"/>
      <c r="H567" s="982"/>
      <c r="I567" s="982"/>
      <c r="J567" s="982"/>
      <c r="K567" s="982"/>
      <c r="L567" s="982"/>
      <c r="M567" s="982"/>
      <c r="N567" s="982"/>
      <c r="Q567" s="80"/>
      <c r="R567" s="80"/>
      <c r="S567" s="80"/>
      <c r="T567" s="80"/>
      <c r="U567" s="80"/>
      <c r="V567" s="80"/>
      <c r="W567" s="80"/>
      <c r="X567" s="80"/>
      <c r="Y567" s="80"/>
      <c r="Z567" s="80"/>
      <c r="AA567" s="80"/>
      <c r="AB567" s="80"/>
      <c r="AC567" s="80"/>
      <c r="AD567" s="80"/>
      <c r="AE567" s="80"/>
      <c r="AF567" s="80"/>
    </row>
  </sheetData>
  <mergeCells count="272">
    <mergeCell ref="B4:I4"/>
    <mergeCell ref="K4:L4"/>
    <mergeCell ref="M4:N4"/>
    <mergeCell ref="B5:C5"/>
    <mergeCell ref="D6:E6"/>
    <mergeCell ref="G6:K6"/>
    <mergeCell ref="A14:C14"/>
    <mergeCell ref="H14:I14"/>
    <mergeCell ref="C18:D18"/>
    <mergeCell ref="A19:C19"/>
    <mergeCell ref="F19:M19"/>
    <mergeCell ref="E20:F20"/>
    <mergeCell ref="G20:L20"/>
    <mergeCell ref="D8:E8"/>
    <mergeCell ref="H8:I8"/>
    <mergeCell ref="H11:I11"/>
    <mergeCell ref="H12:I12"/>
    <mergeCell ref="A13:C13"/>
    <mergeCell ref="H13:I13"/>
    <mergeCell ref="A35:B35"/>
    <mergeCell ref="A36:B36"/>
    <mergeCell ref="H36:J36"/>
    <mergeCell ref="L36:M36"/>
    <mergeCell ref="A37:B37"/>
    <mergeCell ref="A38:B38"/>
    <mergeCell ref="E21:F21"/>
    <mergeCell ref="A23:L23"/>
    <mergeCell ref="A25:C25"/>
    <mergeCell ref="A26:C26"/>
    <mergeCell ref="A27:C27"/>
    <mergeCell ref="A28:C28"/>
    <mergeCell ref="A58:D58"/>
    <mergeCell ref="A59:C59"/>
    <mergeCell ref="A60:B60"/>
    <mergeCell ref="A62:B62"/>
    <mergeCell ref="A64:B64"/>
    <mergeCell ref="A65:C65"/>
    <mergeCell ref="A39:B39"/>
    <mergeCell ref="L39:M39"/>
    <mergeCell ref="A40:B40"/>
    <mergeCell ref="L40:M40"/>
    <mergeCell ref="A43:B43"/>
    <mergeCell ref="A44:E44"/>
    <mergeCell ref="F44:N46"/>
    <mergeCell ref="A75:C75"/>
    <mergeCell ref="A78:B78"/>
    <mergeCell ref="A80:C80"/>
    <mergeCell ref="A83:B83"/>
    <mergeCell ref="C84:F84"/>
    <mergeCell ref="A85:C85"/>
    <mergeCell ref="A66:C66"/>
    <mergeCell ref="A67:B67"/>
    <mergeCell ref="A69:B69"/>
    <mergeCell ref="A71:B71"/>
    <mergeCell ref="A73:B73"/>
    <mergeCell ref="A74:C74"/>
    <mergeCell ref="D108:E108"/>
    <mergeCell ref="A109:F109"/>
    <mergeCell ref="D121:E121"/>
    <mergeCell ref="D122:E122"/>
    <mergeCell ref="D123:E123"/>
    <mergeCell ref="A124:F124"/>
    <mergeCell ref="A88:B88"/>
    <mergeCell ref="A93:C93"/>
    <mergeCell ref="F93:J93"/>
    <mergeCell ref="A94:F94"/>
    <mergeCell ref="D106:E106"/>
    <mergeCell ref="D107:E107"/>
    <mergeCell ref="A160:D160"/>
    <mergeCell ref="A161:D161"/>
    <mergeCell ref="A162:D162"/>
    <mergeCell ref="A181:C181"/>
    <mergeCell ref="A183:N183"/>
    <mergeCell ref="A184:N184"/>
    <mergeCell ref="D136:E136"/>
    <mergeCell ref="D137:E137"/>
    <mergeCell ref="D138:E138"/>
    <mergeCell ref="A140:F140"/>
    <mergeCell ref="A158:D158"/>
    <mergeCell ref="A159:D159"/>
    <mergeCell ref="A189:B189"/>
    <mergeCell ref="C189:H189"/>
    <mergeCell ref="I189:K189"/>
    <mergeCell ref="A191:B191"/>
    <mergeCell ref="C191:D191"/>
    <mergeCell ref="E191:F191"/>
    <mergeCell ref="G191:H191"/>
    <mergeCell ref="I191:K191"/>
    <mergeCell ref="A185:N185"/>
    <mergeCell ref="B186:G186"/>
    <mergeCell ref="M186:N186"/>
    <mergeCell ref="B187:C187"/>
    <mergeCell ref="K187:L187"/>
    <mergeCell ref="A188:B188"/>
    <mergeCell ref="E188:F188"/>
    <mergeCell ref="I188:J188"/>
    <mergeCell ref="J195:K195"/>
    <mergeCell ref="A196:B196"/>
    <mergeCell ref="J196:K196"/>
    <mergeCell ref="A197:B197"/>
    <mergeCell ref="J197:K197"/>
    <mergeCell ref="A198:B198"/>
    <mergeCell ref="J198:K198"/>
    <mergeCell ref="L191:M191"/>
    <mergeCell ref="A192:B192"/>
    <mergeCell ref="J192:K192"/>
    <mergeCell ref="A193:B193"/>
    <mergeCell ref="J193:K193"/>
    <mergeCell ref="A194:B194"/>
    <mergeCell ref="J194:K194"/>
    <mergeCell ref="A210:B210"/>
    <mergeCell ref="A211:B211"/>
    <mergeCell ref="A212:B212"/>
    <mergeCell ref="A213:C213"/>
    <mergeCell ref="A214:B214"/>
    <mergeCell ref="E220:F220"/>
    <mergeCell ref="A199:B199"/>
    <mergeCell ref="J199:K199"/>
    <mergeCell ref="I201:J201"/>
    <mergeCell ref="A206:B206"/>
    <mergeCell ref="A207:B207"/>
    <mergeCell ref="A209:B209"/>
    <mergeCell ref="E227:F227"/>
    <mergeCell ref="E228:F228"/>
    <mergeCell ref="I228:K228"/>
    <mergeCell ref="E229:F229"/>
    <mergeCell ref="I229:K229"/>
    <mergeCell ref="E230:F230"/>
    <mergeCell ref="E221:F221"/>
    <mergeCell ref="E222:F222"/>
    <mergeCell ref="E223:F223"/>
    <mergeCell ref="E224:F224"/>
    <mergeCell ref="E225:F225"/>
    <mergeCell ref="E226:F226"/>
    <mergeCell ref="E238:F238"/>
    <mergeCell ref="E239:F239"/>
    <mergeCell ref="E240:F240"/>
    <mergeCell ref="E241:F241"/>
    <mergeCell ref="E242:F242"/>
    <mergeCell ref="J242:K242"/>
    <mergeCell ref="E231:F231"/>
    <mergeCell ref="E232:F232"/>
    <mergeCell ref="E233:F233"/>
    <mergeCell ref="E234:F234"/>
    <mergeCell ref="E235:G235"/>
    <mergeCell ref="E237:F237"/>
    <mergeCell ref="D262:F262"/>
    <mergeCell ref="A272:N272"/>
    <mergeCell ref="A277:N277"/>
    <mergeCell ref="A278:N278"/>
    <mergeCell ref="A279:N279"/>
    <mergeCell ref="B280:G280"/>
    <mergeCell ref="I280:J280"/>
    <mergeCell ref="M280:N280"/>
    <mergeCell ref="J243:K243"/>
    <mergeCell ref="I251:L251"/>
    <mergeCell ref="I252:L252"/>
    <mergeCell ref="I253:L253"/>
    <mergeCell ref="I254:L254"/>
    <mergeCell ref="I255:L255"/>
    <mergeCell ref="A287:B287"/>
    <mergeCell ref="A289:B289"/>
    <mergeCell ref="A290:B290"/>
    <mergeCell ref="H290:J290"/>
    <mergeCell ref="L290:M290"/>
    <mergeCell ref="A291:B291"/>
    <mergeCell ref="A281:F281"/>
    <mergeCell ref="D282:E282"/>
    <mergeCell ref="F282:G282"/>
    <mergeCell ref="I282:J282"/>
    <mergeCell ref="K282:M282"/>
    <mergeCell ref="E283:F283"/>
    <mergeCell ref="A305:D305"/>
    <mergeCell ref="K305:L305"/>
    <mergeCell ref="A306:D306"/>
    <mergeCell ref="K306:L306"/>
    <mergeCell ref="A307:D307"/>
    <mergeCell ref="K307:L307"/>
    <mergeCell ref="A292:B292"/>
    <mergeCell ref="A293:B293"/>
    <mergeCell ref="L293:M293"/>
    <mergeCell ref="A294:B294"/>
    <mergeCell ref="L294:M294"/>
    <mergeCell ref="A304:D304"/>
    <mergeCell ref="E304:F304"/>
    <mergeCell ref="H304:I304"/>
    <mergeCell ref="K304:M304"/>
    <mergeCell ref="A326:C326"/>
    <mergeCell ref="A327:C327"/>
    <mergeCell ref="A328:C328"/>
    <mergeCell ref="A329:C329"/>
    <mergeCell ref="A330:C330"/>
    <mergeCell ref="A331:C331"/>
    <mergeCell ref="A308:D308"/>
    <mergeCell ref="K308:L308"/>
    <mergeCell ref="A309:F309"/>
    <mergeCell ref="C310:D310"/>
    <mergeCell ref="F310:N310"/>
    <mergeCell ref="E325:F325"/>
    <mergeCell ref="A338:C338"/>
    <mergeCell ref="A339:C339"/>
    <mergeCell ref="A340:C340"/>
    <mergeCell ref="A342:D342"/>
    <mergeCell ref="E342:N342"/>
    <mergeCell ref="A347:N347"/>
    <mergeCell ref="A332:C332"/>
    <mergeCell ref="A333:C333"/>
    <mergeCell ref="A334:C334"/>
    <mergeCell ref="A335:C335"/>
    <mergeCell ref="A336:C336"/>
    <mergeCell ref="A337:C337"/>
    <mergeCell ref="A354:N354"/>
    <mergeCell ref="A355:N355"/>
    <mergeCell ref="A356:N356"/>
    <mergeCell ref="A358:E358"/>
    <mergeCell ref="F363:I363"/>
    <mergeCell ref="A366:B366"/>
    <mergeCell ref="A348:N348"/>
    <mergeCell ref="A349:N349"/>
    <mergeCell ref="A350:N350"/>
    <mergeCell ref="A351:N351"/>
    <mergeCell ref="A352:N352"/>
    <mergeCell ref="A353:N353"/>
    <mergeCell ref="A417:E417"/>
    <mergeCell ref="A447:E447"/>
    <mergeCell ref="F447:N452"/>
    <mergeCell ref="A471:D471"/>
    <mergeCell ref="E471:N471"/>
    <mergeCell ref="A473:D473"/>
    <mergeCell ref="E473:N474"/>
    <mergeCell ref="A368:E368"/>
    <mergeCell ref="A369:B369"/>
    <mergeCell ref="A371:N371"/>
    <mergeCell ref="A372:N372"/>
    <mergeCell ref="A373:N373"/>
    <mergeCell ref="B374:I374"/>
    <mergeCell ref="L374:N374"/>
    <mergeCell ref="A484:D484"/>
    <mergeCell ref="E484:N485"/>
    <mergeCell ref="A487:D487"/>
    <mergeCell ref="A489:D489"/>
    <mergeCell ref="E489:N494"/>
    <mergeCell ref="A497:D497"/>
    <mergeCell ref="E497:N504"/>
    <mergeCell ref="A476:D476"/>
    <mergeCell ref="E476:N476"/>
    <mergeCell ref="A478:D478"/>
    <mergeCell ref="E478:N479"/>
    <mergeCell ref="A481:D481"/>
    <mergeCell ref="E481:N482"/>
    <mergeCell ref="A518:D518"/>
    <mergeCell ref="E518:N526"/>
    <mergeCell ref="A528:D528"/>
    <mergeCell ref="E528:N528"/>
    <mergeCell ref="A532:B532"/>
    <mergeCell ref="A534:E534"/>
    <mergeCell ref="A506:D506"/>
    <mergeCell ref="E506:N509"/>
    <mergeCell ref="A511:D511"/>
    <mergeCell ref="E511:N514"/>
    <mergeCell ref="A516:D516"/>
    <mergeCell ref="E516:N516"/>
    <mergeCell ref="A556:E556"/>
    <mergeCell ref="F556:N560"/>
    <mergeCell ref="A562:E562"/>
    <mergeCell ref="F562:N567"/>
    <mergeCell ref="A536:E536"/>
    <mergeCell ref="F536:N538"/>
    <mergeCell ref="A540:B540"/>
    <mergeCell ref="A544:E544"/>
    <mergeCell ref="A547:E547"/>
    <mergeCell ref="F547:N554"/>
  </mergeCells>
  <dataValidations count="13">
    <dataValidation type="list" allowBlank="1" showInputMessage="1" showErrorMessage="1" sqref="C18:D18">
      <formula1>$O$16:$O$19</formula1>
    </dataValidation>
    <dataValidation type="list" allowBlank="1" showInputMessage="1" showErrorMessage="1" sqref="D17">
      <formula1>$O$6:$O$10</formula1>
    </dataValidation>
    <dataValidation type="list" allowBlank="1" showInputMessage="1" showErrorMessage="1" sqref="D16">
      <formula1>$O$6:$O$15</formula1>
    </dataValidation>
    <dataValidation type="list" allowBlank="1" showInputMessage="1" showErrorMessage="1" sqref="D15">
      <formula1>$O$6:$O$14</formula1>
    </dataValidation>
    <dataValidation type="list" showDropDown="1" showInputMessage="1" showErrorMessage="1" sqref="G26">
      <formula1>$U$269:$U$279</formula1>
    </dataValidation>
    <dataValidation type="list" allowBlank="1" showInputMessage="1" showErrorMessage="1" sqref="F282:G282 F25">
      <formula1>$P$269:$P$277</formula1>
    </dataValidation>
    <dataValidation type="list" allowBlank="1" showInputMessage="1" showErrorMessage="1" sqref="K282:M282 K25">
      <formula1>$R$269:$R$277</formula1>
    </dataValidation>
    <dataValidation type="list" allowBlank="1" showInputMessage="1" showErrorMessage="1" sqref="D283 D26">
      <formula1>$T$269:$T$279</formula1>
    </dataValidation>
    <dataValidation type="list" allowBlank="1" showInputMessage="1" showErrorMessage="1" sqref="G283">
      <formula1>$U$269:$U$279</formula1>
    </dataValidation>
    <dataValidation type="list" allowBlank="1" showInputMessage="1" showErrorMessage="1" sqref="C287 C28:C33 C343:C346">
      <formula1>$P$279:$P$280</formula1>
    </dataValidation>
    <dataValidation type="list" allowBlank="1" showInputMessage="1" showErrorMessage="1" sqref="L294:M294 L40:M41">
      <formula1>$R$279:$R$280</formula1>
    </dataValidation>
    <dataValidation type="list" allowBlank="1" showInputMessage="1" showErrorMessage="1" sqref="C369:C370">
      <formula1>$O$363:$O$364</formula1>
    </dataValidation>
    <dataValidation type="list" allowBlank="1" showInputMessage="1" showErrorMessage="1" sqref="C43">
      <formula1>$O$33:$O$36</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X567"/>
  <sheetViews>
    <sheetView showGridLines="0" showRowColHeaders="0" topLeftCell="A139" zoomScaleNormal="100" zoomScalePageLayoutView="60" workbookViewId="0">
      <selection activeCell="S143" sqref="S143"/>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G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c r="C4" s="1252"/>
      <c r="D4" s="1252"/>
      <c r="E4" s="1252"/>
      <c r="F4" s="1252"/>
      <c r="G4" s="1252"/>
      <c r="H4" s="1252"/>
      <c r="I4" s="1252"/>
      <c r="J4" s="358"/>
      <c r="K4" s="1172" t="s">
        <v>291</v>
      </c>
      <c r="L4" s="1172"/>
      <c r="M4" s="1253"/>
      <c r="N4" s="1254"/>
      <c r="O4" s="80"/>
      <c r="P4" s="80"/>
      <c r="Q4" s="80"/>
      <c r="R4" s="80"/>
      <c r="S4" s="80"/>
      <c r="T4" s="80"/>
      <c r="U4" s="80"/>
    </row>
    <row r="5" spans="1:22">
      <c r="A5" s="380" t="s">
        <v>3</v>
      </c>
      <c r="B5" s="1255">
        <v>41501</v>
      </c>
      <c r="C5" s="1255"/>
      <c r="D5" s="754"/>
      <c r="E5" s="754"/>
      <c r="F5" s="754"/>
      <c r="G5" s="754"/>
      <c r="H5" s="754"/>
      <c r="I5" s="754"/>
      <c r="J5" s="79"/>
      <c r="K5" s="754"/>
      <c r="L5" s="754"/>
      <c r="M5" s="78"/>
      <c r="N5" s="359"/>
      <c r="O5" s="80"/>
      <c r="P5" s="80"/>
      <c r="Q5" s="80"/>
      <c r="R5" s="80"/>
      <c r="S5" s="80"/>
      <c r="T5" s="80"/>
      <c r="U5" s="80"/>
    </row>
    <row r="6" spans="1:22">
      <c r="A6" s="380" t="s">
        <v>234</v>
      </c>
      <c r="B6" s="754"/>
      <c r="C6" s="754"/>
      <c r="D6" s="1256">
        <v>31924</v>
      </c>
      <c r="E6" s="1255"/>
      <c r="F6" s="754"/>
      <c r="G6" s="1118" t="str">
        <f ca="1">DATEDIF(D6,TODAY(),"y")&amp;"_años_"&amp;DATEDIF(D6,TODAY(),"ym")&amp;"_meses_"&amp;DATEDIF(D6,TODAY(),"md")&amp;"_dias_"</f>
        <v>30_años_10_meses_22_dias_</v>
      </c>
      <c r="H6" s="1118"/>
      <c r="I6" s="1118"/>
      <c r="J6" s="1118"/>
      <c r="K6" s="1118"/>
      <c r="L6" s="754"/>
      <c r="M6" s="754"/>
      <c r="N6" s="360"/>
      <c r="O6" s="275">
        <v>1</v>
      </c>
      <c r="P6" s="215"/>
      <c r="Q6" s="215"/>
      <c r="R6" s="215"/>
      <c r="S6" s="215"/>
      <c r="T6" s="215"/>
      <c r="U6" s="215"/>
      <c r="V6" s="215"/>
    </row>
    <row r="7" spans="1:22">
      <c r="A7" s="380"/>
      <c r="B7" s="754"/>
      <c r="C7" s="754"/>
      <c r="D7" s="754"/>
      <c r="E7" s="754"/>
      <c r="F7" s="754"/>
      <c r="G7" s="754"/>
      <c r="H7" s="754"/>
      <c r="I7" s="754"/>
      <c r="J7" s="79"/>
      <c r="K7" s="754"/>
      <c r="L7" s="754"/>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755"/>
      <c r="M8" s="361"/>
      <c r="N8" s="360"/>
      <c r="O8" s="275">
        <v>3</v>
      </c>
      <c r="P8" s="215"/>
      <c r="Q8" s="215"/>
      <c r="R8" s="215"/>
      <c r="S8" s="215"/>
      <c r="T8" s="215"/>
      <c r="U8" s="215"/>
      <c r="V8" s="215"/>
    </row>
    <row r="9" spans="1:22">
      <c r="A9" s="380" t="s">
        <v>418</v>
      </c>
      <c r="B9" s="79"/>
      <c r="C9" s="79"/>
      <c r="D9" s="753" t="s">
        <v>5</v>
      </c>
      <c r="E9" s="753"/>
      <c r="F9" s="169"/>
      <c r="G9" s="79"/>
      <c r="H9" s="753"/>
      <c r="I9" s="753"/>
      <c r="J9" s="169"/>
      <c r="K9" s="171"/>
      <c r="L9" s="755"/>
      <c r="M9" s="361"/>
      <c r="N9" s="360"/>
      <c r="O9" s="275">
        <v>4</v>
      </c>
      <c r="P9" s="215"/>
      <c r="Q9" s="215"/>
      <c r="R9" s="215"/>
      <c r="S9" s="215"/>
      <c r="T9" s="215"/>
      <c r="U9" s="215"/>
      <c r="V9" s="215"/>
    </row>
    <row r="10" spans="1:22">
      <c r="A10" s="380" t="s">
        <v>412</v>
      </c>
      <c r="B10" s="79"/>
      <c r="C10" s="79"/>
      <c r="D10" s="753" t="s">
        <v>5</v>
      </c>
      <c r="E10" s="753"/>
      <c r="F10" s="169"/>
      <c r="G10" s="79"/>
      <c r="H10" s="753"/>
      <c r="I10" s="753"/>
      <c r="J10" s="169"/>
      <c r="K10" s="171"/>
      <c r="L10" s="755"/>
      <c r="M10" s="361"/>
      <c r="N10" s="360"/>
      <c r="O10" s="275">
        <v>5</v>
      </c>
      <c r="P10" s="215"/>
      <c r="Q10" s="215"/>
      <c r="R10" s="215"/>
      <c r="S10" s="215"/>
      <c r="T10" s="215"/>
      <c r="U10" s="215"/>
      <c r="V10" s="215"/>
    </row>
    <row r="11" spans="1:22" ht="15.75">
      <c r="A11" s="380" t="s">
        <v>417</v>
      </c>
      <c r="B11" s="79"/>
      <c r="C11" s="79"/>
      <c r="D11" s="139">
        <v>3</v>
      </c>
      <c r="E11" s="79" t="s">
        <v>5</v>
      </c>
      <c r="F11" s="169" t="s">
        <v>408</v>
      </c>
      <c r="G11" s="289">
        <v>6</v>
      </c>
      <c r="H11" s="1257" t="s">
        <v>407</v>
      </c>
      <c r="I11" s="1257"/>
      <c r="J11" s="783"/>
      <c r="K11" s="169"/>
      <c r="L11" s="753"/>
      <c r="M11" s="79"/>
      <c r="N11" s="360"/>
      <c r="O11" s="275">
        <v>6</v>
      </c>
      <c r="P11" s="215"/>
      <c r="Q11" s="215"/>
      <c r="R11" s="215"/>
      <c r="S11" s="215"/>
      <c r="T11" s="215"/>
      <c r="U11" s="215"/>
      <c r="V11" s="215"/>
    </row>
    <row r="12" spans="1:22" ht="15.75">
      <c r="A12" s="380" t="s">
        <v>6</v>
      </c>
      <c r="B12" s="79"/>
      <c r="C12" s="79"/>
      <c r="D12" s="139">
        <v>6.5</v>
      </c>
      <c r="E12" s="79" t="s">
        <v>7</v>
      </c>
      <c r="F12" s="79"/>
      <c r="G12" s="79"/>
      <c r="H12" s="1173"/>
      <c r="I12" s="1173"/>
      <c r="J12" s="753"/>
      <c r="K12" s="171"/>
      <c r="L12" s="755"/>
      <c r="M12" s="169"/>
      <c r="N12" s="488"/>
      <c r="O12" s="275">
        <v>7</v>
      </c>
      <c r="P12" s="215"/>
      <c r="Q12" s="215"/>
      <c r="R12" s="215"/>
      <c r="S12" s="215"/>
      <c r="T12" s="215"/>
      <c r="U12" s="215"/>
      <c r="V12" s="215"/>
    </row>
    <row r="13" spans="1:22" s="81" customFormat="1" ht="15.75">
      <c r="A13" s="1177" t="s">
        <v>11</v>
      </c>
      <c r="B13" s="1178"/>
      <c r="C13" s="1178"/>
      <c r="D13" s="139">
        <v>74</v>
      </c>
      <c r="E13" s="79" t="s">
        <v>17</v>
      </c>
      <c r="F13" s="79"/>
      <c r="G13" s="79"/>
      <c r="H13" s="1173"/>
      <c r="I13" s="1173"/>
      <c r="J13" s="753"/>
      <c r="K13" s="171"/>
      <c r="L13" s="755"/>
      <c r="M13" s="79"/>
      <c r="N13" s="360"/>
      <c r="O13" s="275">
        <v>8</v>
      </c>
      <c r="P13" s="215"/>
      <c r="Q13" s="215"/>
      <c r="R13" s="215"/>
      <c r="S13" s="215"/>
      <c r="T13" s="215"/>
      <c r="U13" s="215"/>
      <c r="V13" s="215"/>
    </row>
    <row r="14" spans="1:22" ht="15.75">
      <c r="A14" s="1177" t="s">
        <v>13</v>
      </c>
      <c r="B14" s="1178"/>
      <c r="C14" s="1178"/>
      <c r="D14" s="613">
        <f>D12/(D13*D13)*10000</f>
        <v>11.869978086194303</v>
      </c>
      <c r="E14" s="364" t="s">
        <v>14</v>
      </c>
      <c r="F14" s="79"/>
      <c r="G14" s="79"/>
      <c r="H14" s="1173"/>
      <c r="I14" s="1173"/>
      <c r="J14" s="753"/>
      <c r="K14" s="171"/>
      <c r="L14" s="755"/>
      <c r="M14" s="79"/>
      <c r="N14" s="360"/>
      <c r="O14" s="275">
        <v>9</v>
      </c>
      <c r="P14" s="215"/>
      <c r="Q14" s="215"/>
      <c r="R14" s="215"/>
      <c r="S14" s="215"/>
      <c r="T14" s="215"/>
      <c r="U14" s="215"/>
      <c r="V14" s="215"/>
    </row>
    <row r="15" spans="1:22" s="80" customFormat="1" ht="15.75">
      <c r="A15" s="481" t="s">
        <v>419</v>
      </c>
      <c r="B15" s="254"/>
      <c r="C15" s="254"/>
      <c r="D15" s="482">
        <v>2</v>
      </c>
      <c r="E15" s="364" t="s">
        <v>407</v>
      </c>
      <c r="F15" s="79"/>
      <c r="G15" s="79"/>
      <c r="H15" s="753"/>
      <c r="I15" s="753"/>
      <c r="J15" s="753"/>
      <c r="K15" s="171"/>
      <c r="L15" s="79"/>
      <c r="M15" s="79"/>
      <c r="N15" s="360"/>
      <c r="O15" s="215"/>
      <c r="P15" s="215"/>
      <c r="Q15" s="215"/>
      <c r="R15" s="215"/>
      <c r="S15" s="215"/>
      <c r="T15" s="215"/>
      <c r="U15" s="215"/>
      <c r="V15" s="215"/>
    </row>
    <row r="16" spans="1:22" ht="15.75">
      <c r="A16" s="481" t="s">
        <v>420</v>
      </c>
      <c r="B16" s="254"/>
      <c r="C16" s="254"/>
      <c r="D16" s="482">
        <v>6</v>
      </c>
      <c r="E16" s="364" t="s">
        <v>407</v>
      </c>
      <c r="F16" s="79"/>
      <c r="G16" s="79"/>
      <c r="H16" s="753"/>
      <c r="I16" s="753"/>
      <c r="J16" s="753"/>
      <c r="K16" s="171"/>
      <c r="L16" s="79"/>
      <c r="M16" s="79"/>
      <c r="N16" s="360"/>
      <c r="O16" s="215" t="s">
        <v>424</v>
      </c>
      <c r="P16" s="215"/>
      <c r="Q16" s="215"/>
      <c r="R16" s="215"/>
      <c r="S16" s="215"/>
      <c r="T16" s="215"/>
      <c r="U16" s="215"/>
      <c r="V16" s="215"/>
    </row>
    <row r="17" spans="1:22">
      <c r="A17" s="483" t="s">
        <v>421</v>
      </c>
      <c r="B17" s="255"/>
      <c r="C17" s="255"/>
      <c r="D17" s="484">
        <v>3</v>
      </c>
      <c r="E17" s="364" t="s">
        <v>422</v>
      </c>
      <c r="F17" s="79"/>
      <c r="G17" s="79"/>
      <c r="H17" s="753"/>
      <c r="I17" s="753"/>
      <c r="J17" s="753"/>
      <c r="K17" s="169"/>
      <c r="L17" s="79"/>
      <c r="M17" s="79"/>
      <c r="N17" s="360"/>
      <c r="O17" s="215" t="s">
        <v>423</v>
      </c>
      <c r="P17" s="215"/>
      <c r="Q17" s="215"/>
      <c r="R17" s="215"/>
      <c r="S17" s="215"/>
      <c r="T17" s="215"/>
      <c r="U17" s="215"/>
      <c r="V17" s="215"/>
    </row>
    <row r="18" spans="1:22" ht="15.75" customHeight="1">
      <c r="A18" s="751" t="s">
        <v>323</v>
      </c>
      <c r="B18" s="752"/>
      <c r="C18" s="1178"/>
      <c r="D18" s="1178"/>
      <c r="E18" s="364"/>
      <c r="F18" s="79"/>
      <c r="G18" s="79"/>
      <c r="H18" s="753"/>
      <c r="I18" s="753"/>
      <c r="J18" s="753"/>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v>3</v>
      </c>
      <c r="C20" s="238" t="s">
        <v>5</v>
      </c>
      <c r="D20" s="239">
        <v>6</v>
      </c>
      <c r="E20" s="1246" t="s">
        <v>407</v>
      </c>
      <c r="F20" s="1247"/>
      <c r="G20" s="1244"/>
      <c r="H20" s="1245"/>
      <c r="I20" s="1245"/>
      <c r="J20" s="1245"/>
      <c r="K20" s="1245"/>
      <c r="L20" s="1245"/>
      <c r="M20" s="773"/>
      <c r="N20" s="489"/>
      <c r="O20" s="215"/>
      <c r="P20" s="215"/>
      <c r="Q20" s="215"/>
      <c r="R20" s="215"/>
      <c r="S20" s="215"/>
      <c r="T20" s="215"/>
      <c r="U20" s="215"/>
      <c r="V20" s="215"/>
    </row>
    <row r="21" spans="1:22">
      <c r="A21" s="238" t="s">
        <v>4</v>
      </c>
      <c r="B21" s="239">
        <f>(B20*12)+D20</f>
        <v>42</v>
      </c>
      <c r="C21" s="238" t="s">
        <v>407</v>
      </c>
      <c r="D21" s="773"/>
      <c r="E21" s="1248" t="s">
        <v>74</v>
      </c>
      <c r="F21" s="1248"/>
      <c r="G21" s="240">
        <v>6.5</v>
      </c>
      <c r="H21" s="238" t="s">
        <v>409</v>
      </c>
      <c r="I21" s="773"/>
      <c r="J21" s="246" t="s">
        <v>11</v>
      </c>
      <c r="K21" s="239">
        <v>74</v>
      </c>
      <c r="L21" s="238" t="s">
        <v>410</v>
      </c>
      <c r="M21" s="773"/>
      <c r="N21" s="489"/>
      <c r="O21" s="215"/>
      <c r="P21" s="215"/>
      <c r="Q21" s="215"/>
      <c r="R21" s="215"/>
      <c r="S21" s="215"/>
      <c r="T21" s="215"/>
      <c r="U21" s="215"/>
      <c r="V21" s="215"/>
    </row>
    <row r="22" spans="1:22">
      <c r="A22" s="772"/>
      <c r="B22" s="773"/>
      <c r="C22" s="773"/>
      <c r="D22" s="773"/>
      <c r="E22" s="773"/>
      <c r="F22" s="773"/>
      <c r="G22" s="773"/>
      <c r="H22" s="773"/>
      <c r="I22" s="773"/>
      <c r="J22" s="773"/>
      <c r="K22" s="773"/>
      <c r="L22" s="773"/>
      <c r="M22" s="773"/>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773"/>
      <c r="N23" s="489"/>
      <c r="O23" s="215"/>
      <c r="P23" s="215"/>
      <c r="Q23" s="215"/>
      <c r="R23" s="215"/>
      <c r="S23" s="215"/>
      <c r="T23" s="215"/>
      <c r="U23" s="215"/>
      <c r="V23" s="215"/>
    </row>
    <row r="24" spans="1:22">
      <c r="A24" s="772"/>
      <c r="B24" s="773"/>
      <c r="C24" s="773"/>
      <c r="D24" s="773"/>
      <c r="E24" s="773"/>
      <c r="F24" s="238" t="s">
        <v>411</v>
      </c>
      <c r="G24" s="773"/>
      <c r="H24" s="773"/>
      <c r="I24" s="773"/>
      <c r="J24" s="773"/>
      <c r="K24" s="773"/>
      <c r="L24" s="773"/>
      <c r="M24" s="773"/>
      <c r="N24" s="489"/>
      <c r="O24" s="215"/>
      <c r="P24" s="215"/>
      <c r="Q24" s="215"/>
      <c r="R24" s="215"/>
      <c r="S24" s="215"/>
      <c r="T24" s="215"/>
      <c r="U24" s="215"/>
      <c r="V24" s="215"/>
    </row>
    <row r="25" spans="1:22">
      <c r="A25" s="1238" t="s">
        <v>412</v>
      </c>
      <c r="B25" s="1239"/>
      <c r="C25" s="1239"/>
      <c r="D25" s="239">
        <v>2.4</v>
      </c>
      <c r="E25" s="771" t="s">
        <v>409</v>
      </c>
      <c r="F25" s="241">
        <f>(D25-3.2)*(100)/3.2</f>
        <v>-25.000000000000007</v>
      </c>
      <c r="G25" s="247">
        <f>3.2-D25</f>
        <v>0.80000000000000027</v>
      </c>
      <c r="H25" s="242" t="s">
        <v>402</v>
      </c>
      <c r="I25" s="773"/>
      <c r="J25" s="773"/>
      <c r="K25" s="773"/>
      <c r="L25" s="773"/>
      <c r="M25" s="773"/>
      <c r="N25" s="489"/>
      <c r="O25" s="215"/>
      <c r="P25" s="215"/>
      <c r="Q25" s="215"/>
      <c r="R25" s="215"/>
      <c r="S25" s="215"/>
      <c r="T25" s="215"/>
      <c r="U25" s="215"/>
      <c r="V25" s="215"/>
    </row>
    <row r="26" spans="1:22">
      <c r="A26" s="1238" t="s">
        <v>413</v>
      </c>
      <c r="B26" s="1239"/>
      <c r="C26" s="1239"/>
      <c r="D26" s="239">
        <v>48</v>
      </c>
      <c r="E26" s="771" t="s">
        <v>410</v>
      </c>
      <c r="F26" s="241">
        <f>(D26-49)*(100)/49</f>
        <v>-2.0408163265306123</v>
      </c>
      <c r="G26" s="239"/>
      <c r="H26" s="242" t="s">
        <v>414</v>
      </c>
      <c r="I26" s="773"/>
      <c r="J26" s="773"/>
      <c r="K26" s="773"/>
      <c r="L26" s="773"/>
      <c r="M26" s="773"/>
      <c r="N26" s="489"/>
      <c r="O26" s="215"/>
      <c r="P26" s="215">
        <f>50-D26</f>
        <v>2</v>
      </c>
      <c r="Q26" s="215"/>
      <c r="R26" s="215"/>
      <c r="S26" s="215"/>
      <c r="T26" s="215"/>
      <c r="U26" s="215"/>
      <c r="V26" s="215"/>
    </row>
    <row r="27" spans="1:22" ht="15.75">
      <c r="A27" s="1238" t="s">
        <v>415</v>
      </c>
      <c r="B27" s="1239"/>
      <c r="C27" s="1240"/>
      <c r="D27" s="947">
        <f>IF(B21=36,13.9,IF(B21=37,14,IF(B21=38,14.2,IF(B21=39,14.4,IF(B21=40,14.6,IF(B21=41,14.8,IF(B21=42,15,IF(B21=43,15.2,IF(B21=44,15.3,IF(B21=45,15.5,IF(B21=46,15.7,IF(B21=47,15.9,IF(B21=48,16.1,IF(B21=49,16.3,IF(B21=50,16.4,IF(B21=51,16.6,IF(B21=52,16.8,IF(B21=53,17,IF(B21=54,17.2,IF(B21=55,17.3,IF(B21=56,17.5,IF(B21=57,17.7,IF(B21=58,17.9,IF(B21=59,18,IF(B21=60,18.2,IF(B21=61,18.3,IF(B21=62,18.4,IF(B21=63,18.6,IF(B21=64,18.8,IF(B21=65,19,IF(B21=66,19.1,IF(B21=67,19.3,IF(B21=68,19.5,IF(B21=69,19.6,IF(B21=70,19.8,IF(B21=71,20,IF(B21=72,20.2)))))))))))))))))))))))))))))))))))))</f>
        <v>15</v>
      </c>
      <c r="E27" s="238" t="s">
        <v>409</v>
      </c>
      <c r="F27" s="241">
        <f>(G21-D27)*(100)/D27</f>
        <v>-56.666666666666664</v>
      </c>
      <c r="G27" s="250">
        <f>D27-G21</f>
        <v>8.5</v>
      </c>
      <c r="H27" s="243" t="s">
        <v>402</v>
      </c>
      <c r="I27" s="773"/>
      <c r="J27" s="773"/>
      <c r="K27" s="773"/>
      <c r="L27" s="773"/>
      <c r="M27" s="773"/>
      <c r="N27" s="489"/>
      <c r="O27" s="215"/>
      <c r="P27" s="215"/>
      <c r="Q27" s="215"/>
      <c r="R27" s="215"/>
      <c r="S27" s="215"/>
      <c r="T27" s="215"/>
      <c r="U27" s="215"/>
      <c r="V27" s="215"/>
    </row>
    <row r="28" spans="1:22" ht="15.75">
      <c r="A28" s="1238" t="s">
        <v>416</v>
      </c>
      <c r="B28" s="1239"/>
      <c r="C28" s="1240"/>
      <c r="D28" s="948">
        <f>IF(B21=36,95.1,IF(B21=37,95.7,IF(B21=38,96.4,IF(B21=39,97.1,IF(B21=40,97.7,IF(B21=41,98.4,IF(B21=42,99,IF(B21=43,99.7,IF(B21=44,100.3,IF(B21=45,100.9,IF(B21=46,101.5,IF(B21=47,102.1,IF(B21=48,102.7,IF(B21=49,103.3,IF(B21=50,103.9,IF(B21=51,104.5,IF(B21=52,105,IF(B21=53,105.6,IF(B21=54,106.2,IF(B21=55,106.7,IF(B21=56,107.3,IF(B21=57,107.8,IF(B21=58,108.4,IF(B21=59,108.9,IF(B21=60,109.4,IF(B21=61,109.6,IF(B21=62,110.1,IF(B21=63,110.6,IF(B21=64,111.2,IF(B21=65,111.7,IF(B21=66,112.2,IF(B21=67,112.7,IF(B21=68,113.2,IF(B21=69,113.7,IF(B21=70,114.2,IF(B21=71,114.6,IF(B21=72,115.1)))))))))))))))))))))))))))))))))))))</f>
        <v>99</v>
      </c>
      <c r="E28" s="238" t="s">
        <v>410</v>
      </c>
      <c r="F28" s="241">
        <f>(K21-D28)*(100)/D28</f>
        <v>-25.252525252525253</v>
      </c>
      <c r="G28" s="239">
        <f>D28-K21</f>
        <v>25</v>
      </c>
      <c r="H28" s="243" t="s">
        <v>414</v>
      </c>
      <c r="I28" s="773"/>
      <c r="J28" s="773"/>
      <c r="K28" s="773"/>
      <c r="L28" s="773"/>
      <c r="M28" s="773"/>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43.333333333333336</v>
      </c>
      <c r="I30" s="293" t="str">
        <f>IF(H30&gt;110,"EXCESO O SOBREPESO",IF(H30=109.9,"NORMAL",IF(H30&gt;=90,"NORMAL",IF(H30=88.9,"DESNUTRICION LEVE 1ER GRADO",IF(H30&gt;=80,"DESNUTRICION LEVE 1ER GRADO",IF(H30=79.9,"DESNUTRICION MODERADA 2DO GRADO",IF(H30&gt;=70,"DESNUTRICION MODERADA 2DO GRADO",IF(H30&lt;70,"DESNUTRICION SEVERA 3ER GRADO"))))))))</f>
        <v>DESNUTRICION SEVERA 3ER GRADO</v>
      </c>
      <c r="J30" s="293"/>
      <c r="K30" s="293"/>
      <c r="L30" s="293"/>
      <c r="M30" s="293"/>
      <c r="N30" s="490"/>
      <c r="O30" s="215"/>
      <c r="P30" s="215"/>
      <c r="Q30" s="215"/>
      <c r="R30" s="215"/>
      <c r="S30" s="215"/>
      <c r="T30" s="215"/>
      <c r="U30" s="215"/>
      <c r="V30" s="215"/>
    </row>
    <row r="31" spans="1:22">
      <c r="A31" s="772" t="s">
        <v>436</v>
      </c>
      <c r="B31" s="773"/>
      <c r="C31" s="773"/>
      <c r="D31" s="251"/>
      <c r="E31" s="773"/>
      <c r="F31" s="252"/>
      <c r="G31" s="251"/>
      <c r="H31" s="253">
        <f>(G21/D27)*100</f>
        <v>43.333333333333336</v>
      </c>
      <c r="I31" s="773" t="str">
        <f>IF(H31&gt;=90,"NORMAL",IF(H31=89.9,"DESNUTRICION LEVE 1ER GRADO",IF(H31&gt;=75,"DESNUTRICION LEVE 1ER GRADO",IF(H31=74.9,"DESNUTRICION MODERADA 2DO GRADO",IF(H31&gt;=60,"DESNUTRICION MODERADA 2DO GRADO",IF(H31&lt;59.9,"DESNUTRICION SEVERA 3ER GRADO"))))))</f>
        <v>DESNUTRICION SEVERA 3ER GRADO</v>
      </c>
      <c r="J31" s="773"/>
      <c r="K31" s="773"/>
      <c r="L31" s="773"/>
      <c r="M31" s="773"/>
      <c r="N31" s="489"/>
      <c r="O31" s="215"/>
      <c r="P31" s="215"/>
      <c r="Q31" s="215"/>
      <c r="R31" s="215"/>
      <c r="S31" s="215"/>
      <c r="T31" s="215"/>
      <c r="U31" s="215"/>
      <c r="V31" s="215"/>
    </row>
    <row r="32" spans="1:22">
      <c r="A32" s="772" t="s">
        <v>437</v>
      </c>
      <c r="B32" s="773"/>
      <c r="C32" s="773"/>
      <c r="D32" s="251"/>
      <c r="E32" s="773"/>
      <c r="F32" s="252"/>
      <c r="G32" s="251"/>
      <c r="H32" s="253">
        <f>(K21/D28)*100</f>
        <v>74.747474747474755</v>
      </c>
      <c r="I32" s="773" t="str">
        <f>IF(H32&gt;95,"NORMAL",IF(H32=94.9,"DESNUTRICION LEVE 1ER GRADO",IF(H32&gt;=90,"DESNUTRICION LEVE 1ER GRADO",IF(H32=89.9,"DESNUTRICION MODERADA 2DO GRADO",IF(H32&gt;=85,"DESNUTRICION MODERADA 2DO GRADO",IF(H32&lt;84.9,"DESNUTRICION SEVERA 3ER GRADO"))))))</f>
        <v>DESNUTRICION SEVERA 3ER GRADO</v>
      </c>
      <c r="J32" s="773"/>
      <c r="K32" s="773"/>
      <c r="L32" s="773"/>
      <c r="M32" s="773"/>
      <c r="N32" s="489"/>
      <c r="O32" s="215"/>
      <c r="P32" s="215"/>
      <c r="Q32" s="215"/>
      <c r="R32" s="215"/>
      <c r="S32" s="215"/>
      <c r="T32" s="215"/>
      <c r="U32" s="215"/>
      <c r="V32" s="215"/>
    </row>
    <row r="33" spans="1:32">
      <c r="A33" s="772"/>
      <c r="B33" s="773"/>
      <c r="C33" s="773"/>
      <c r="D33" s="251"/>
      <c r="E33" s="773"/>
      <c r="F33" s="252"/>
      <c r="G33" s="251"/>
      <c r="H33" s="253"/>
      <c r="I33" s="773"/>
      <c r="J33" s="773"/>
      <c r="K33" s="773"/>
      <c r="L33" s="773"/>
      <c r="M33" s="773"/>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756"/>
      <c r="D37" s="370" t="s">
        <v>349</v>
      </c>
      <c r="E37" s="370"/>
      <c r="F37" s="370"/>
      <c r="G37" s="756"/>
      <c r="H37" s="370" t="s">
        <v>354</v>
      </c>
      <c r="I37" s="370"/>
      <c r="J37" s="756"/>
      <c r="K37" s="370"/>
      <c r="L37" s="370" t="s">
        <v>358</v>
      </c>
      <c r="M37" s="370"/>
      <c r="N37" s="377"/>
      <c r="O37" s="215"/>
      <c r="P37" s="215"/>
      <c r="Q37" s="215"/>
      <c r="R37" s="215"/>
      <c r="S37" s="215"/>
      <c r="T37" s="215"/>
      <c r="U37" s="215"/>
      <c r="V37" s="215"/>
    </row>
    <row r="38" spans="1:32">
      <c r="A38" s="1074" t="s">
        <v>345</v>
      </c>
      <c r="B38" s="1075"/>
      <c r="C38" s="756"/>
      <c r="D38" s="370" t="s">
        <v>350</v>
      </c>
      <c r="E38" s="370"/>
      <c r="F38" s="370"/>
      <c r="G38" s="756"/>
      <c r="H38" s="370" t="s">
        <v>355</v>
      </c>
      <c r="I38" s="370"/>
      <c r="J38" s="756"/>
      <c r="K38" s="370"/>
      <c r="L38" s="370" t="s">
        <v>359</v>
      </c>
      <c r="M38" s="370"/>
      <c r="N38" s="377"/>
      <c r="O38" s="215"/>
      <c r="P38" s="215"/>
      <c r="Q38" s="215"/>
      <c r="R38" s="215"/>
      <c r="S38" s="215"/>
      <c r="T38" s="215"/>
      <c r="U38" s="215"/>
      <c r="V38" s="215"/>
    </row>
    <row r="39" spans="1:32">
      <c r="A39" s="1074" t="s">
        <v>346</v>
      </c>
      <c r="B39" s="1075"/>
      <c r="C39" s="756" t="s">
        <v>405</v>
      </c>
      <c r="D39" s="370" t="s">
        <v>351</v>
      </c>
      <c r="E39" s="370"/>
      <c r="F39" s="370"/>
      <c r="G39" s="756"/>
      <c r="H39" s="370" t="s">
        <v>356</v>
      </c>
      <c r="I39" s="370"/>
      <c r="J39" s="756"/>
      <c r="K39" s="370"/>
      <c r="L39" s="1076" t="s">
        <v>360</v>
      </c>
      <c r="M39" s="1076"/>
      <c r="N39" s="377" t="s">
        <v>403</v>
      </c>
      <c r="O39" s="215"/>
      <c r="P39" s="215"/>
      <c r="Q39" s="215"/>
      <c r="R39" s="215"/>
      <c r="S39" s="215"/>
      <c r="T39" s="215"/>
      <c r="U39" s="215"/>
      <c r="V39" s="215"/>
      <c r="W39" s="80"/>
      <c r="X39" s="80"/>
      <c r="Y39" s="80"/>
      <c r="Z39" s="80"/>
      <c r="AA39" s="80"/>
      <c r="AB39" s="80"/>
      <c r="AC39" s="80"/>
      <c r="AD39" s="80"/>
      <c r="AE39" s="80"/>
      <c r="AF39" s="80"/>
    </row>
    <row r="40" spans="1:32">
      <c r="A40" s="1074" t="s">
        <v>347</v>
      </c>
      <c r="B40" s="1075"/>
      <c r="C40" s="756"/>
      <c r="D40" s="370" t="s">
        <v>352</v>
      </c>
      <c r="E40" s="370"/>
      <c r="F40" s="370"/>
      <c r="G40" s="756"/>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757"/>
      <c r="B41" s="758"/>
      <c r="C41" s="756"/>
      <c r="D41" s="370"/>
      <c r="E41" s="370"/>
      <c r="F41" s="370"/>
      <c r="G41" s="756"/>
      <c r="H41" s="370"/>
      <c r="I41" s="370"/>
      <c r="J41" s="370"/>
      <c r="K41" s="370"/>
      <c r="L41" s="758"/>
      <c r="M41" s="758"/>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440</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759"/>
      <c r="B50" s="759"/>
      <c r="C50" s="759"/>
      <c r="D50" s="3"/>
      <c r="O50" s="215"/>
      <c r="P50" s="215"/>
      <c r="Q50" s="215"/>
      <c r="R50" s="215"/>
      <c r="S50" s="215"/>
      <c r="T50" s="215"/>
      <c r="U50" s="215"/>
      <c r="V50" s="215"/>
      <c r="W50" s="80"/>
      <c r="X50" s="80"/>
      <c r="Y50" s="80"/>
      <c r="Z50" s="80"/>
      <c r="AA50" s="80"/>
      <c r="AB50" s="80"/>
      <c r="AC50" s="80"/>
      <c r="AD50" s="80"/>
      <c r="AE50" s="80"/>
      <c r="AF50" s="80"/>
    </row>
    <row r="51" spans="1:32" s="62" customFormat="1" ht="15.75">
      <c r="A51" s="759"/>
      <c r="B51" s="759"/>
      <c r="C51" s="759"/>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759"/>
      <c r="B52" s="759"/>
      <c r="C52" s="759"/>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763" t="s">
        <v>211</v>
      </c>
      <c r="D53" s="763"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0</v>
      </c>
      <c r="F60" s="1" t="str">
        <f>IF(E60=0,"ND",IF(E60&lt;12,"BAJO",IF(E60=11.9,"BAJO",IF(E60=12,"NORMAL",IF(E60&lt;=16,"NORMAL",IF(E60&gt;=16.1,"ALTO"))))))</f>
        <v>ND</v>
      </c>
      <c r="G60" s="141"/>
      <c r="H60" s="1" t="str">
        <f>IF(G60=0,"ND",IF(G60&lt;12,"BAJO",IF(G60=11.9,"BAJO",IF(G60=12,"NORMAL",IF(G60&lt;=16,"NORMAL",IF(G60&gt;=16.1,"ALTO"))))))</f>
        <v>ND</v>
      </c>
      <c r="I60" s="141"/>
      <c r="J60" s="1" t="str">
        <f>IF(I60=0,"ND",IF(I60&lt;12,"BAJO",IF(I60=11.9,"BAJO",IF(I60=12,"NORMAL",IF(I60&lt;=16,"NORMAL",IF(I60&gt;=16.1,"ALTO"))))))</f>
        <v>ND</v>
      </c>
      <c r="K60" s="141"/>
      <c r="L60" s="1" t="str">
        <f>IF(K60=0,"ND",IF(K60&lt;12,"BAJO",IF(K60=11.9,"BAJO",IF(K60=12,"NORMAL",IF(K60&lt;=16,"NORMAL",IF(K60&gt;=16.1,"ALTO"))))))</f>
        <v>ND</v>
      </c>
      <c r="M60" s="141"/>
      <c r="N60" s="1" t="str">
        <f>IF(M60=0,"ND",IF(M60&lt;12,"BAJO",IF(M60=11.9,"BAJO",IF(M60=12,"NORMAL",IF(M60&lt;=16,"NORMAL",IF(M60&gt;=16.1,"ALTO"))))))</f>
        <v>ND</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0</v>
      </c>
      <c r="F62" s="1" t="str">
        <f>IF(E62=0,"ND",IF(E62&lt;36,"BAJO",IF(E62=35.9,"BAJO",IF(E62=36,"NORMAL",IF(E62&lt;=47,"NORMAL",IF(E62&gt;=47.1,"ALTO"))))))</f>
        <v>ND</v>
      </c>
      <c r="G62" s="141"/>
      <c r="H62" s="1" t="str">
        <f>IF(G62=0,"ND",IF(G62&lt;36,"BAJO",IF(G62=35.9,"BAJO",IF(G62=36,"NORMAL",IF(G62&lt;=47,"NORMAL",IF(G62&gt;=47.1,"ALTO"))))))</f>
        <v>ND</v>
      </c>
      <c r="I62" s="141"/>
      <c r="J62" s="1" t="str">
        <f>IF(I62=0,"ND",IF(I62&lt;36,"BAJO",IF(I62=35.9,"BAJO",IF(I62=36,"NORMAL",IF(I62&lt;=47,"NORMAL",IF(I62&gt;=47.1,"ALTO"))))))</f>
        <v>ND</v>
      </c>
      <c r="K62" s="141"/>
      <c r="L62" s="1" t="str">
        <f>IF(K62=0,"ND",IF(K62&lt;36,"BAJO",IF(K62=35.9,"BAJO",IF(K62=36,"NORMAL",IF(K62&lt;=47,"NORMAL",IF(K62&gt;=47.1,"ALTO"))))))</f>
        <v>ND</v>
      </c>
      <c r="M62" s="141"/>
      <c r="N62" s="1" t="str">
        <f>IF(M62=0,"ND",IF(M62&lt;36,"BAJO",IF(M62=35.9,"BAJO",IF(M62=36,"NORMAL",IF(M62&lt;=47,"NORMAL",IF(M62&gt;=47.1,"ALTO"))))))</f>
        <v>ND</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141">
        <v>0</v>
      </c>
      <c r="F64" s="1" t="str">
        <f>IF(E64=0,"ND",IF(E64&lt;4000,"BAJO",IF(E64=4000,"NORMAL",IF(E64&lt;=11000,"NORMAL",IF(E64&gt;=11001,"ALTO")))))</f>
        <v>ND</v>
      </c>
      <c r="G64" s="141"/>
      <c r="H64" s="1" t="str">
        <f>IF(G64=0,"ND",IF(G64&lt;4000,"BAJO",IF(G64=4000,"NORMAL",IF(G64&lt;=11000,"NORMAL",IF(G64&gt;=11001,"ALTO")))))</f>
        <v>ND</v>
      </c>
      <c r="I64" s="143"/>
      <c r="J64" s="1" t="str">
        <f>IF(I64=0,"ND",IF(I64&lt;4000,"BAJO",IF(I64=4000,"NORMAL",IF(I64&lt;=11000,"NORMAL",IF(I64&gt;=11001,"ALTO")))))</f>
        <v>ND</v>
      </c>
      <c r="K64" s="143"/>
      <c r="L64" s="1" t="str">
        <f>IF(K64=0,"ND",IF(K64&lt;4000,"BAJO",IF(K64=4000,"NORMAL",IF(K64&lt;=11000,"NORMAL",IF(K64&gt;=11001,"ALTO")))))</f>
        <v>ND</v>
      </c>
      <c r="M64" s="143"/>
      <c r="N64" s="1" t="str">
        <f>IF(M64=0,"ND",IF(M64&lt;4000,"BAJO",IF(M64=4000,"NORMAL",IF(M64&lt;=11000,"NORMAL",IF(M64&gt;=11001,"ALTO")))))</f>
        <v>ND</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0</v>
      </c>
      <c r="F67" s="1" t="str">
        <f>IF(E67=0,"ND",IF(E67&lt;65,"BAJO",IF(E67=64.9,"BAJO",IF(E67=65,"NORMAL",IF(E67&lt;=110,"NORMAL",IF(E67&gt;=110.1,"ALTO"))))))</f>
        <v>ND</v>
      </c>
      <c r="G67" s="144"/>
      <c r="H67" s="1" t="str">
        <f>IF(G67=0,"ND",IF(G67&lt;65,"BAJO",IF(G67=64.9,"BAJO",IF(G67=65,"NORMAL",IF(G67&lt;=110,"NORMAL",IF(G67&gt;=110.1,"ALTO"))))))</f>
        <v>ND</v>
      </c>
      <c r="I67" s="144"/>
      <c r="J67" s="1" t="str">
        <f>IF(I67=0,"ND",IF(I67&lt;65,"BAJO",IF(I67=64.9,"BAJO",IF(I67=65,"NORMAL",IF(I67&lt;=110,"NORMAL",IF(I67&gt;=110.1,"ALTO"))))))</f>
        <v>ND</v>
      </c>
      <c r="K67" s="144"/>
      <c r="L67" s="1" t="str">
        <f>IF(K67=0,"ND",IF(K67&lt;65,"BAJO",IF(K67=64.9,"BAJO",IF(K67=65,"NORMAL",IF(K67&lt;=110,"NORMAL",IF(K67&gt;=110.1,"ALTO"))))))</f>
        <v>ND</v>
      </c>
      <c r="M67" s="144"/>
      <c r="N67" s="1" t="str">
        <f>IF(M67=0,"ND",IF(M67&lt;65,"BAJO",IF(M67=64.9,"BAJO",IF(M67=65,"NORMAL",IF(M67&lt;=110,"NORMAL",IF(M67&gt;=110.1,"ALTO"))))))</f>
        <v>ND</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IF(E69=0,"ND",IF(E69&lt;14,"BAJO",IF(E69=13.9,"BAJO",IF(E69=14,"NORMAL",IF(E69&lt;=44,"NORMAL",IF(E69&gt;=44.1,"ALTO"))))))</f>
        <v>ND</v>
      </c>
      <c r="G69" s="145"/>
      <c r="H69" s="1" t="str">
        <f>IF(G69=0,"ND",IF(G69&lt;14,"BAJO",IF(G69=13.9,"BAJO",IF(G69=14,"NORMAL",IF(G69&lt;=44,"NORMAL",IF(G69&gt;=44.1,"ALTO"))))))</f>
        <v>ND</v>
      </c>
      <c r="I69" s="145"/>
      <c r="J69" s="1" t="str">
        <f>IF(I69=0,"ND",IF(I69&lt;14,"BAJO",IF(I69=13.9,"BAJO",IF(I69=14,"NORMAL",IF(I69&lt;=44,"NORMAL",IF(I69&gt;=44.1,"ALTO"))))))</f>
        <v>ND</v>
      </c>
      <c r="K69" s="145"/>
      <c r="L69" s="1" t="str">
        <f>IF(K69=0,"ND",IF(K69&lt;14,"BAJO",IF(K69=13.9,"BAJO",IF(K69=14,"NORMAL",IF(K69&lt;=44,"NORMAL",IF(K69&gt;=44.1,"ALTO"))))))</f>
        <v>ND</v>
      </c>
      <c r="M69" s="145"/>
      <c r="N69" s="1" t="str">
        <f>IF(M69=0,"ND",IF(M69&lt;14,"BAJO",IF(M69=13.9,"BAJO",IF(M69=14,"NORMAL",IF(M69&lt;=44,"NORMAL",IF(M69&gt;=44.1,"ALTO"))))))</f>
        <v>ND</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IF(E71=0,"ND",IF(E71&lt;3.4,"BAJO",IF(E71&lt;=3.39,"BAJO",IF(E71=3.4,"NORMAL",IF(E71&lt;=7,"NORMAL",IF(E71&gt;=7.1,"ALTO"))))))</f>
        <v>ND</v>
      </c>
      <c r="G71" s="145"/>
      <c r="H71" s="1" t="str">
        <f>IF(G71=0,"ND",IF(G71&lt;3.4,"BAJO",IF(G71&lt;=3.39,"BAJO",IF(G71=3.4,"NORMAL",IF(G71&lt;=7,"NORMAL",IF(G71&gt;=7.1,"ALTO"))))))</f>
        <v>ND</v>
      </c>
      <c r="I71" s="145"/>
      <c r="J71" s="1" t="str">
        <f>IF(I71=0,"ND",IF(I71&lt;3.4,"BAJO",IF(I71&lt;=3.39,"BAJO",IF(I71=3.4,"NORMAL",IF(I71&lt;=7,"NORMAL",IF(I71&gt;=7.1,"ALTO"))))))</f>
        <v>ND</v>
      </c>
      <c r="K71" s="145"/>
      <c r="L71" s="1" t="str">
        <f>IF(K71=0,"ND",IF(K71&lt;3.4,"BAJO",IF(K71&lt;=3.39,"BAJO",IF(K71=3.4,"NORMAL",IF(K71&lt;=7,"NORMAL",IF(K71&gt;=7.1,"ALTO"))))))</f>
        <v>ND</v>
      </c>
      <c r="M71" s="145"/>
      <c r="N71" s="1" t="str">
        <f>IF(M71=0,"ND",IF(M71&lt;3.4,"BAJO",IF(M71&lt;=3.39,"BAJO",IF(M71=3.4,"NORMAL",IF(M71&lt;=7,"NORMAL",IF(M71&gt;=7.1,"ALTO"))))))</f>
        <v>ND</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IF(E73=0,"ND",IF(E73&lt;0.5,"BAJO",IF(E73=0.49,"BAJO",IF(E73=0.5,"NORMAL",IF(E73&lt;=1.6,"NORMAL",IF(E73&gt;=1.61,"ALTO"))))))</f>
        <v>ND</v>
      </c>
      <c r="G73" s="143"/>
      <c r="H73" s="1" t="str">
        <f>IF(G73=0,"ND",IF(G73&lt;0.5,"BAJO",IF(G73=0.49,"BAJO",IF(G73=0.5,"NORMAL",IF(G73&lt;=1.6,"NORMAL",IF(G73&gt;=1.61,"ALTO"))))))</f>
        <v>ND</v>
      </c>
      <c r="I73" s="143"/>
      <c r="J73" s="1" t="str">
        <f>IF(I73=0,"ND",IF(I73&lt;0.5,"BAJO",IF(I73=0.49,"BAJO",IF(I73=0.5,"NORMAL",IF(I73&lt;=1.6,"NORMAL",IF(I73&gt;=1.61,"ALTO"))))))</f>
        <v>ND</v>
      </c>
      <c r="K73" s="143"/>
      <c r="L73" s="1" t="str">
        <f>IF(K73=0,"ND",IF(K73&lt;0.5,"BAJO",IF(K73=0.49,"BAJO",IF(K73=0.5,"NORMAL",IF(K73&lt;=1.6,"NORMAL",IF(K73&gt;=1.61,"ALTO"))))))</f>
        <v>ND</v>
      </c>
      <c r="M73" s="143"/>
      <c r="N73" s="1" t="str">
        <f>IF(M73=0,"ND",IF(M73&lt;0.5,"BAJO",IF(M73=0.49,"BAJO",IF(M73=0.5,"NORMAL",IF(M73&lt;=1.6,"NORMAL",IF(M73&gt;=1.61,"ALTO"))))))</f>
        <v>ND</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763" t="s">
        <v>30</v>
      </c>
      <c r="B76" s="763"/>
      <c r="C76" s="56" t="s">
        <v>224</v>
      </c>
      <c r="D76" s="57" t="s">
        <v>219</v>
      </c>
      <c r="E76" s="144">
        <v>0</v>
      </c>
      <c r="F76" s="1" t="str">
        <f>IF(E76=0,"ND",IF(E76&lt;6.4,"BAJO",IF(E76=6.39,"BAJO",IF(E76=6.4,"NORMAL",IF(E76&lt;=8.3,"NORMAL",IF(E76&gt;=8.31,"ALTO"))))))</f>
        <v>ND</v>
      </c>
      <c r="G76" s="144"/>
      <c r="H76" s="1" t="str">
        <f>IF(G76=0,"ND",IF(G76&lt;6.4,"BAJO",IF(G76=6.39,"BAJO",IF(G76=6.4,"NORMAL",IF(G76&lt;=8.3,"NORMAL",IF(G76&gt;=8.31,"ALTO"))))))</f>
        <v>ND</v>
      </c>
      <c r="I76" s="144"/>
      <c r="J76" s="1" t="str">
        <f>IF(I76=0,"ND",IF(I76&lt;6.4,"BAJO",IF(I76=6.39,"BAJO",IF(I76=6.4,"NORMAL",IF(I76&lt;=8.3,"NORMAL",IF(I76&gt;=8.31,"ALTO"))))))</f>
        <v>ND</v>
      </c>
      <c r="K76" s="144"/>
      <c r="L76" s="1" t="str">
        <f>IF(K76=0,"ND",IF(K76&lt;6.4,"BAJO",IF(K76=6.39,"BAJO",IF(K76=6.4,"NORMAL",IF(K76&lt;=8.3,"NORMAL",IF(K76&gt;=8.31,"ALTO"))))))</f>
        <v>ND</v>
      </c>
      <c r="M76" s="144"/>
      <c r="N76" s="1" t="str">
        <f>IF(M76=0,"ND",IF(M76&lt;6.4,"BAJO",IF(M76=6.39,"BAJO",IF(M76=6.4,"NORMAL",IF(M76&lt;=8.3,"NORMAL",IF(M76&gt;=8.31,"ALTO"))))))</f>
        <v>ND</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v>0</v>
      </c>
      <c r="F78" s="1" t="str">
        <f>IF(E78=0,"ND",IF(E78&lt;3.4,"BAJO",IF(E78=3.39,"BAJO",IF(E78=3.4,"NORMAL",IF(E78&lt;=5,"NORMAL",IF(E78&gt;=5.01,"ALTO"))))))</f>
        <v>ND</v>
      </c>
      <c r="G78" s="143"/>
      <c r="H78" s="1" t="str">
        <f>IF(G78=0,"ND",IF(G78&lt;3.4,"BAJO",IF(G78=3.39,"BAJO",IF(G78=3.4,"NORMAL",IF(G78&lt;=5,"NORMAL",IF(G78&gt;=5.01,"ALTO"))))))</f>
        <v>ND</v>
      </c>
      <c r="I78" s="143"/>
      <c r="J78" s="1" t="str">
        <f>IF(I78=0,"ND",IF(I78&lt;3.4,"BAJO",IF(I78=3.39,"BAJO",IF(I78=3.4,"NORMAL",IF(I78&lt;=5,"NORMAL",IF(I78&gt;=5.01,"ALTO"))))))</f>
        <v>ND</v>
      </c>
      <c r="K78" s="143"/>
      <c r="L78" s="1" t="str">
        <f>IF(K78=0,"ND",IF(K78&lt;3.4,"BAJO",IF(K78=3.39,"BAJO",IF(K78=3.4,"NORMAL",IF(K78&lt;=5,"NORMAL",IF(K78&gt;=5.01,"ALTO"))))))</f>
        <v>ND</v>
      </c>
      <c r="M78" s="143"/>
      <c r="N78" s="1" t="str">
        <f>IF(M78=0,"ND",IF(M78&lt;3.4,"BAJO",IF(M78=3.39,"BAJO",IF(M78=3.4,"NORMAL",IF(M78&lt;=5,"NORMAL",IF(M78&gt;=5.01,"ALTO"))))))</f>
        <v>ND</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760" t="s">
        <v>33</v>
      </c>
      <c r="B81" s="760"/>
      <c r="C81" s="46" t="s">
        <v>232</v>
      </c>
      <c r="D81" s="42" t="s">
        <v>221</v>
      </c>
      <c r="E81" s="141">
        <v>0</v>
      </c>
      <c r="F81" s="1" t="str">
        <f>IF(E81=0,"ND",IF(E81&lt;140,"BAJO",IF(E81=139.9,"BAJO",IF(E81=140,"NORMAL",IF(E81&lt;=200,"NORMAL",IF(E81&gt;=200.1,"ALTO"))))))</f>
        <v>ND</v>
      </c>
      <c r="G81" s="141"/>
      <c r="H81" s="1" t="str">
        <f>IF(G81=0,"ND",IF(G81&lt;140,"BAJO",IF(G81=139.9,"BAJO",IF(G81=140,"NORMAL",IF(G81&lt;=200,"NORMAL",IF(G81&gt;=200.1,"ALTO"))))))</f>
        <v>ND</v>
      </c>
      <c r="I81" s="141"/>
      <c r="J81" s="1" t="str">
        <f>IF(I81=0,"ND",IF(I81&lt;140,"BAJO",IF(I81=139.9,"BAJO",IF(I81=140,"NORMAL",IF(I81&lt;=200,"NORMAL",IF(I81&gt;=200.1,"ALTO"))))))</f>
        <v>ND</v>
      </c>
      <c r="K81" s="141"/>
      <c r="L81" s="1" t="str">
        <f>IF(K81=0,"ND",IF(K81&lt;140,"BAJO",IF(K81=139.9,"BAJO",IF(K81=140,"NORMAL",IF(K81&lt;=200,"NORMAL",IF(K81&gt;=200.1,"ALTO"))))))</f>
        <v>ND</v>
      </c>
      <c r="M81" s="141"/>
      <c r="N81" s="1" t="str">
        <f>IF(M81=0,"ND",IF(M81&lt;140,"BAJO",IF(M81=139.9,"BAJO",IF(M81=140,"NORMAL",IF(M81&lt;=200,"NORMAL",IF(M81&gt;=200.1,"ALTO"))))))</f>
        <v>ND</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IF(E83=0,"ND",IF(E83&lt;40,"BAJO",IF(E83=39.9,"BAJO",IF(E83=40,"NORMAL",IF(E83&lt;=160,"NORMAL",IF(E83&gt;=160.1,"ALTO"))))))</f>
        <v>ND</v>
      </c>
      <c r="G83" s="141"/>
      <c r="H83" s="1" t="str">
        <f>IF(G83=0,"ND",IF(G83&lt;40,"BAJO",IF(G83=39.9,"BAJO",IF(G83=40,"NORMAL",IF(G83&lt;=160,"NORMAL",IF(G83&gt;=160.1,"ALTO"))))))</f>
        <v>ND</v>
      </c>
      <c r="I83" s="141"/>
      <c r="J83" s="1" t="str">
        <f>IF(I83=0,"ND",IF(I83&lt;40,"BAJO",IF(I83=39.9,"BAJO",IF(I83=40,"NORMAL",IF(I83&lt;=160,"NORMAL",IF(I83&gt;=160.1,"ALTO"))))))</f>
        <v>ND</v>
      </c>
      <c r="K83" s="141"/>
      <c r="L83" s="1" t="str">
        <f>IF(K83=0,"ND",IF(K83&lt;40,"BAJO",IF(K83=39.9,"BAJO",IF(K83=40,"NORMAL",IF(K83&lt;=160,"NORMAL",IF(K83&gt;=160.1,"ALTO"))))))</f>
        <v>ND</v>
      </c>
      <c r="M83" s="141"/>
      <c r="N83" s="1" t="str">
        <f>IF(M83=0,"ND",IF(M83&lt;40,"BAJO",IF(M83=39.9,"BAJO",IF(M83=40,"NORMAL",IF(M83&lt;=160,"NORMAL",IF(M83&gt;=160.1,"ALTO"))))))</f>
        <v>ND</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762"/>
      <c r="B86" s="762"/>
      <c r="C86" s="762"/>
      <c r="D86" s="4"/>
      <c r="E86" s="45"/>
      <c r="O86" s="215"/>
      <c r="P86" s="215"/>
      <c r="Q86" s="215"/>
      <c r="R86" s="215"/>
      <c r="S86" s="215"/>
      <c r="T86" s="215"/>
      <c r="U86" s="215"/>
      <c r="V86" s="215"/>
      <c r="W86" s="80"/>
      <c r="X86" s="80"/>
      <c r="Y86" s="80"/>
      <c r="Z86" s="80"/>
      <c r="AA86" s="80"/>
      <c r="AB86" s="80"/>
      <c r="AC86" s="80"/>
      <c r="AD86" s="80"/>
      <c r="AE86" s="80"/>
      <c r="AF86" s="80"/>
    </row>
    <row r="87" spans="1:32">
      <c r="A87" s="762"/>
      <c r="B87" s="762"/>
      <c r="C87" s="762"/>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IF(E88=0,"ND",IF(E88&lt;9,"BAJO",IF(E88=8.9,"BAJO",IF(E88=9,"NORMAL",IF(E88&lt;=20,"NORMAL",IF(E88&gt;=20.1,"ALTO"))))))</f>
        <v>ND</v>
      </c>
      <c r="G88" s="141"/>
      <c r="H88" s="1" t="str">
        <f>IF(G88=0,"ND",IF(G88&lt;9,"BAJO",IF(G88=8.9,"BAJO",IF(G88=9,"NORMAL",IF(G88&lt;=20,"NORMAL",IF(G88&gt;=20.1,"ALTO"))))))</f>
        <v>ND</v>
      </c>
      <c r="I88" s="141"/>
      <c r="J88" s="1" t="str">
        <f>IF(I88=0,"ND",IF(I88&lt;9,"BAJO",IF(I88=8.9,"BAJO",IF(I88=9,"NORMAL",IF(I88&lt;=20,"NORMAL",IF(I88&gt;=20.1,"ALTO"))))))</f>
        <v>ND</v>
      </c>
      <c r="K88" s="141"/>
      <c r="L88" s="1" t="str">
        <f>IF(K88=0,"ND",IF(K88&lt;9,"BAJO",IF(K88=8.9,"BAJO",IF(K88=9,"NORMAL",IF(K88&lt;=20,"NORMAL",IF(K88&gt;=20.1,"ALTO"))))))</f>
        <v>ND</v>
      </c>
      <c r="M88" s="141"/>
      <c r="N88" s="1" t="str">
        <f>IF(M88=0,"ND",IF(M88&lt;9,"BAJO",IF(M88=8.9,"BAJO",IF(M88=9,"NORMAL",IF(M88&lt;=20,"NORMAL",IF(M88&gt;=20.1,"ALTO"))))))</f>
        <v>ND</v>
      </c>
      <c r="O88" s="215"/>
      <c r="P88" s="215"/>
      <c r="Q88" s="215"/>
      <c r="R88" s="215"/>
      <c r="S88" s="215"/>
      <c r="T88" s="215"/>
      <c r="U88" s="215"/>
      <c r="V88" s="215"/>
      <c r="W88" s="80"/>
      <c r="X88" s="80"/>
      <c r="Y88" s="80"/>
      <c r="Z88" s="80"/>
      <c r="AA88" s="80"/>
      <c r="AB88" s="80"/>
      <c r="AC88" s="80"/>
      <c r="AD88" s="80"/>
      <c r="AE88" s="80"/>
      <c r="AF88" s="80"/>
    </row>
    <row r="89" spans="1:32">
      <c r="A89" s="760"/>
      <c r="B89" s="760"/>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760"/>
      <c r="B90" s="760"/>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760"/>
      <c r="B91" s="760"/>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760"/>
      <c r="B92" s="760"/>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1</v>
      </c>
      <c r="C96" s="50">
        <f>B96*12</f>
        <v>12</v>
      </c>
      <c r="D96" s="51">
        <f>B96*9</f>
        <v>9</v>
      </c>
      <c r="E96" s="52">
        <f>B96*5</f>
        <v>5</v>
      </c>
      <c r="F96" s="9">
        <f t="shared" ref="F96:F103" si="0">(C96*4)+(D96*4)+(E96*9)</f>
        <v>129</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2</v>
      </c>
      <c r="C97" s="6">
        <v>0</v>
      </c>
      <c r="D97" s="7">
        <f>B97*7</f>
        <v>14</v>
      </c>
      <c r="E97" s="8">
        <f>B97*4</f>
        <v>8</v>
      </c>
      <c r="F97" s="9">
        <f t="shared" si="0"/>
        <v>128</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1</v>
      </c>
      <c r="C98" s="6">
        <f>B98*15</f>
        <v>15</v>
      </c>
      <c r="D98" s="7">
        <f>B98*0</f>
        <v>0</v>
      </c>
      <c r="E98" s="8">
        <f>B98*0</f>
        <v>0</v>
      </c>
      <c r="F98" s="9">
        <f t="shared" si="0"/>
        <v>60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2</v>
      </c>
      <c r="C99" s="6">
        <f>B99*4</f>
        <v>8</v>
      </c>
      <c r="D99" s="7">
        <f>B99*2</f>
        <v>4</v>
      </c>
      <c r="E99" s="8"/>
      <c r="F99" s="9">
        <f t="shared" si="0"/>
        <v>48</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2</v>
      </c>
      <c r="C100" s="6">
        <f>B100*15</f>
        <v>30</v>
      </c>
      <c r="D100" s="7">
        <f>B100*2</f>
        <v>4</v>
      </c>
      <c r="E100" s="8">
        <f>B100*0</f>
        <v>0</v>
      </c>
      <c r="F100" s="9">
        <f t="shared" si="0"/>
        <v>136</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2</v>
      </c>
      <c r="C102" s="6">
        <f>B102*0</f>
        <v>0</v>
      </c>
      <c r="D102" s="7">
        <f>B102*0</f>
        <v>0</v>
      </c>
      <c r="E102" s="8">
        <f>B102*5</f>
        <v>10</v>
      </c>
      <c r="F102" s="9">
        <f t="shared" si="0"/>
        <v>90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1</v>
      </c>
      <c r="C103" s="6">
        <f>B103*10</f>
        <v>10</v>
      </c>
      <c r="D103" s="7">
        <f>B103*0</f>
        <v>0</v>
      </c>
      <c r="E103" s="10">
        <f>B103*0</f>
        <v>0</v>
      </c>
      <c r="F103" s="11">
        <f t="shared" si="0"/>
        <v>40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75</v>
      </c>
      <c r="D104" s="7">
        <f>SUM(D96:D103)</f>
        <v>31</v>
      </c>
      <c r="E104" s="10">
        <f>SUM(E96:E103)</f>
        <v>23</v>
      </c>
      <c r="F104" s="11">
        <f>SUM(F96:F103)</f>
        <v>631</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f>(D106*100)/F104</f>
        <v>47.543581616481774</v>
      </c>
      <c r="C106" s="1">
        <f>C104</f>
        <v>75</v>
      </c>
      <c r="D106" s="1130">
        <f>C106*4</f>
        <v>300</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f>(D107*100)/F104</f>
        <v>19.6513470681458</v>
      </c>
      <c r="C107" s="1">
        <f>D104</f>
        <v>31</v>
      </c>
      <c r="D107" s="1130">
        <f>C107*4</f>
        <v>124</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f>(D108*100)/F104</f>
        <v>32.805071315372423</v>
      </c>
      <c r="C108" s="1">
        <f>E104</f>
        <v>23</v>
      </c>
      <c r="D108" s="1130">
        <f>C108*9</f>
        <v>207</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2</v>
      </c>
      <c r="C112" s="6">
        <v>0</v>
      </c>
      <c r="D112" s="7">
        <f>B112*7</f>
        <v>14</v>
      </c>
      <c r="E112" s="8">
        <f>B112*4</f>
        <v>8</v>
      </c>
      <c r="F112" s="9">
        <f t="shared" si="1"/>
        <v>128</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2</v>
      </c>
      <c r="C113" s="6">
        <f>B113*15</f>
        <v>30</v>
      </c>
      <c r="D113" s="7">
        <f>B113*0</f>
        <v>0</v>
      </c>
      <c r="E113" s="8">
        <f>B113*0</f>
        <v>0</v>
      </c>
      <c r="F113" s="9">
        <f t="shared" si="1"/>
        <v>120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2</v>
      </c>
      <c r="C114" s="6">
        <f>B114*4</f>
        <v>8</v>
      </c>
      <c r="D114" s="7">
        <f>B114*2</f>
        <v>4</v>
      </c>
      <c r="E114" s="8"/>
      <c r="F114" s="9">
        <f t="shared" si="1"/>
        <v>48</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3</v>
      </c>
      <c r="C115" s="6">
        <f>B115*15</f>
        <v>45</v>
      </c>
      <c r="D115" s="7">
        <f>B115*2</f>
        <v>6</v>
      </c>
      <c r="E115" s="8">
        <f>B115*0</f>
        <v>0</v>
      </c>
      <c r="F115" s="9">
        <f t="shared" si="1"/>
        <v>204</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1</v>
      </c>
      <c r="C116" s="6">
        <f>B116*20</f>
        <v>20</v>
      </c>
      <c r="D116" s="7">
        <f>B116*8</f>
        <v>8</v>
      </c>
      <c r="E116" s="8">
        <f>B116*1</f>
        <v>1</v>
      </c>
      <c r="F116" s="9">
        <f t="shared" si="1"/>
        <v>121</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4</v>
      </c>
      <c r="C117" s="6">
        <f>B117*0</f>
        <v>0</v>
      </c>
      <c r="D117" s="7">
        <f>B117*0</f>
        <v>0</v>
      </c>
      <c r="E117" s="8">
        <f>B117*5</f>
        <v>20</v>
      </c>
      <c r="F117" s="9">
        <f t="shared" si="1"/>
        <v>180</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1</v>
      </c>
      <c r="C118" s="6">
        <f>B118*10</f>
        <v>10</v>
      </c>
      <c r="D118" s="7">
        <f>B118*0</f>
        <v>0</v>
      </c>
      <c r="E118" s="10">
        <f>B118*0</f>
        <v>0</v>
      </c>
      <c r="F118" s="11">
        <f t="shared" si="1"/>
        <v>40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113</v>
      </c>
      <c r="D119" s="7">
        <f>SUM(D111:D118)</f>
        <v>32</v>
      </c>
      <c r="E119" s="10">
        <f>SUM(E111:E118)</f>
        <v>29</v>
      </c>
      <c r="F119" s="11">
        <f>SUM(F111:F118)</f>
        <v>841</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f>(D121*100)/F119</f>
        <v>53.74554102259215</v>
      </c>
      <c r="C121" s="1">
        <f>C119</f>
        <v>113</v>
      </c>
      <c r="D121" s="1130">
        <f>C121*4</f>
        <v>452</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f>(D122*100)/F119</f>
        <v>15.219976218787158</v>
      </c>
      <c r="C122" s="1">
        <f>D119</f>
        <v>32</v>
      </c>
      <c r="D122" s="1130">
        <f>C122*4</f>
        <v>128</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f>(D123*100)/F119</f>
        <v>31.03448275862069</v>
      </c>
      <c r="C123" s="1">
        <f>E119</f>
        <v>29</v>
      </c>
      <c r="D123" s="1130">
        <f>C123*9</f>
        <v>261</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1</v>
      </c>
      <c r="C126" s="50">
        <f>B126*12</f>
        <v>12</v>
      </c>
      <c r="D126" s="51">
        <f>B126*9</f>
        <v>9</v>
      </c>
      <c r="E126" s="52">
        <f>B126*5</f>
        <v>5</v>
      </c>
      <c r="F126" s="9">
        <f t="shared" ref="F126:F133" si="2">(C126*4)+(D126*4)+(E126*9)</f>
        <v>129</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0</v>
      </c>
      <c r="C127" s="6">
        <v>0</v>
      </c>
      <c r="D127" s="7">
        <f>B127*7</f>
        <v>0</v>
      </c>
      <c r="E127" s="8">
        <f>B127*4</f>
        <v>0</v>
      </c>
      <c r="F127" s="9">
        <f t="shared" si="2"/>
        <v>0</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1</v>
      </c>
      <c r="C128" s="6">
        <f>B128*15</f>
        <v>15</v>
      </c>
      <c r="D128" s="7">
        <f>B128*0</f>
        <v>0</v>
      </c>
      <c r="E128" s="8">
        <f>B128*0</f>
        <v>0</v>
      </c>
      <c r="F128" s="9">
        <f t="shared" si="2"/>
        <v>60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1</v>
      </c>
      <c r="C129" s="6">
        <f>B129*4</f>
        <v>4</v>
      </c>
      <c r="D129" s="7">
        <f>B129*2</f>
        <v>2</v>
      </c>
      <c r="E129" s="8"/>
      <c r="F129" s="9">
        <f t="shared" si="2"/>
        <v>24</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1</v>
      </c>
      <c r="C130" s="6">
        <f>B130*15</f>
        <v>15</v>
      </c>
      <c r="D130" s="7">
        <f>B130*2</f>
        <v>2</v>
      </c>
      <c r="E130" s="8">
        <f>B130*0</f>
        <v>0</v>
      </c>
      <c r="F130" s="9">
        <f t="shared" si="2"/>
        <v>68</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1</v>
      </c>
      <c r="C132" s="6">
        <f>B132*0</f>
        <v>0</v>
      </c>
      <c r="D132" s="7">
        <f>B132*0</f>
        <v>0</v>
      </c>
      <c r="E132" s="8">
        <f>B132*5</f>
        <v>5</v>
      </c>
      <c r="F132" s="9">
        <f t="shared" si="2"/>
        <v>45</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1</v>
      </c>
      <c r="C133" s="6">
        <f>B133*10</f>
        <v>10</v>
      </c>
      <c r="D133" s="7">
        <f>B133*0</f>
        <v>0</v>
      </c>
      <c r="E133" s="10">
        <f>B133*0</f>
        <v>0</v>
      </c>
      <c r="F133" s="11">
        <f t="shared" si="2"/>
        <v>40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56</v>
      </c>
      <c r="D134" s="7">
        <f>SUM(D126:D133)</f>
        <v>13</v>
      </c>
      <c r="E134" s="10">
        <f>SUM(E126:E133)</f>
        <v>10</v>
      </c>
      <c r="F134" s="11">
        <f>SUM(F126:F133)</f>
        <v>366</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f>(D136*100)/F134</f>
        <v>61.202185792349724</v>
      </c>
      <c r="C136" s="1">
        <f>C134</f>
        <v>56</v>
      </c>
      <c r="D136" s="1130">
        <f>C136*4</f>
        <v>224</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f>(D137*100)/F134</f>
        <v>14.207650273224044</v>
      </c>
      <c r="C137" s="1">
        <f>D134</f>
        <v>13</v>
      </c>
      <c r="D137" s="1130">
        <f>C137*4</f>
        <v>52</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f>(D138*100)/F134</f>
        <v>24.590163934426229</v>
      </c>
      <c r="C138" s="1">
        <f>E134</f>
        <v>10</v>
      </c>
      <c r="D138" s="1130">
        <f>C138*9</f>
        <v>90</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2</v>
      </c>
      <c r="C142" s="50">
        <f>B142*12</f>
        <v>24</v>
      </c>
      <c r="D142" s="51">
        <f>B142*9</f>
        <v>18</v>
      </c>
      <c r="E142" s="52">
        <f>B142*5</f>
        <v>10</v>
      </c>
      <c r="F142" s="9">
        <f t="shared" ref="F142:F149" si="4">(C142*4)+(D142*4)+(E142*9)</f>
        <v>258</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4</v>
      </c>
      <c r="C143" s="6">
        <v>0</v>
      </c>
      <c r="D143" s="7">
        <f>B143*7</f>
        <v>28</v>
      </c>
      <c r="E143" s="8">
        <f>B143*4</f>
        <v>16</v>
      </c>
      <c r="F143" s="9">
        <f t="shared" si="4"/>
        <v>256</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4</v>
      </c>
      <c r="C144" s="6">
        <f>B144*15</f>
        <v>60</v>
      </c>
      <c r="D144" s="7">
        <f>B144*0</f>
        <v>0</v>
      </c>
      <c r="E144" s="8">
        <f>B144*0</f>
        <v>0</v>
      </c>
      <c r="F144" s="9">
        <f t="shared" si="4"/>
        <v>240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5</v>
      </c>
      <c r="C145" s="6">
        <f>B145*4</f>
        <v>20</v>
      </c>
      <c r="D145" s="7">
        <f>B145*2</f>
        <v>10</v>
      </c>
      <c r="E145" s="8"/>
      <c r="F145" s="9">
        <f t="shared" si="4"/>
        <v>120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6</v>
      </c>
      <c r="C146" s="6">
        <f>B146*15</f>
        <v>90</v>
      </c>
      <c r="D146" s="7">
        <f>B146*2</f>
        <v>12</v>
      </c>
      <c r="E146" s="8">
        <f>B146*0</f>
        <v>0</v>
      </c>
      <c r="F146" s="9">
        <f t="shared" si="4"/>
        <v>408</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1</v>
      </c>
      <c r="C147" s="6">
        <f>B147*20</f>
        <v>20</v>
      </c>
      <c r="D147" s="7">
        <f>B147*8</f>
        <v>8</v>
      </c>
      <c r="E147" s="8">
        <f>B147*1</f>
        <v>1</v>
      </c>
      <c r="F147" s="9">
        <f t="shared" si="4"/>
        <v>121</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7</v>
      </c>
      <c r="C148" s="6">
        <f>B148*0</f>
        <v>0</v>
      </c>
      <c r="D148" s="7">
        <f>B148*0</f>
        <v>0</v>
      </c>
      <c r="E148" s="8">
        <f>B148*5</f>
        <v>35</v>
      </c>
      <c r="F148" s="9">
        <f t="shared" si="4"/>
        <v>315</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3</v>
      </c>
      <c r="C149" s="6">
        <f>B149*10</f>
        <v>30</v>
      </c>
      <c r="D149" s="7">
        <f>B149*0</f>
        <v>0</v>
      </c>
      <c r="E149" s="10">
        <f>B149*0</f>
        <v>0</v>
      </c>
      <c r="F149" s="11">
        <f t="shared" si="4"/>
        <v>120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244</v>
      </c>
      <c r="D150" s="7">
        <f>SUM(D142:D149)</f>
        <v>76</v>
      </c>
      <c r="E150" s="10">
        <f>SUM(E142:E149)</f>
        <v>62</v>
      </c>
      <c r="F150" s="11">
        <f>SUM(F142:F149)</f>
        <v>1838</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244</v>
      </c>
      <c r="D152" s="74">
        <f>C152*4</f>
        <v>976</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76</v>
      </c>
      <c r="D153" s="74">
        <f>C153*4</f>
        <v>304</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62</v>
      </c>
      <c r="D154" s="74">
        <f>C154*9</f>
        <v>558</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1838</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IF(J11&lt;=73,"95"*D27,IF(J11&lt;=96,"90"*D27,IF(J11&lt;=120,"78"*D27,IF(J11&lt;=144,2200))))</f>
        <v>1425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783.75000000000011</v>
      </c>
      <c r="F159" s="257">
        <f>E159/4</f>
        <v>195.93750000000003</v>
      </c>
      <c r="G159" s="258">
        <f>(E159*100)/E158</f>
        <v>55.000000000000007</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60</v>
      </c>
      <c r="F160" s="257">
        <f>IF(J11&lt;=144,"1.0"*D27)</f>
        <v>15</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581.24999999999989</v>
      </c>
      <c r="F161" s="258">
        <f>E161/9</f>
        <v>64.583333333333314</v>
      </c>
      <c r="G161" s="258">
        <f>(E161*100)/E158</f>
        <v>40.789473684210513</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1520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2</v>
      </c>
      <c r="C166" s="22">
        <f>B166*12</f>
        <v>24</v>
      </c>
      <c r="D166" s="27">
        <f>B166*9</f>
        <v>18</v>
      </c>
      <c r="E166" s="23">
        <f>B166*5</f>
        <v>10</v>
      </c>
      <c r="F166" s="150">
        <f t="shared" ref="F166:F173" si="5">(C166*4)+(D166*4)+(E166*9)</f>
        <v>258</v>
      </c>
      <c r="G166" s="24">
        <f t="shared" ref="G166:G173" si="6">B166</f>
        <v>2</v>
      </c>
      <c r="H166" s="148">
        <v>1</v>
      </c>
      <c r="I166" s="148">
        <v>0</v>
      </c>
      <c r="J166" s="148">
        <v>0</v>
      </c>
      <c r="K166" s="148">
        <v>0</v>
      </c>
      <c r="L166" s="149">
        <v>1</v>
      </c>
      <c r="M166" s="4">
        <f t="shared" ref="M166:M175" si="7">SUM(H166:L166)</f>
        <v>2</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4</v>
      </c>
      <c r="C167" s="22">
        <v>0</v>
      </c>
      <c r="D167" s="27">
        <f>B167*7</f>
        <v>28</v>
      </c>
      <c r="E167" s="23">
        <f>B167*4</f>
        <v>16</v>
      </c>
      <c r="F167" s="150">
        <f t="shared" si="5"/>
        <v>256</v>
      </c>
      <c r="G167" s="24">
        <f t="shared" si="6"/>
        <v>4</v>
      </c>
      <c r="H167" s="148">
        <v>1</v>
      </c>
      <c r="I167" s="148">
        <v>0</v>
      </c>
      <c r="J167" s="148">
        <v>2</v>
      </c>
      <c r="K167" s="148">
        <v>0</v>
      </c>
      <c r="L167" s="148">
        <v>1</v>
      </c>
      <c r="M167" s="4">
        <f t="shared" si="7"/>
        <v>4</v>
      </c>
      <c r="N167" s="40" t="str">
        <f>IF(M167&lt;G167, "te falta",IF(M167=G167,"muy bien",IF(M167&gt;G167,"te pasaste")))</f>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5</v>
      </c>
      <c r="C168" s="22">
        <f>B168*15</f>
        <v>75</v>
      </c>
      <c r="D168" s="27">
        <f>B168*0</f>
        <v>0</v>
      </c>
      <c r="E168" s="23">
        <f>B168*0</f>
        <v>0</v>
      </c>
      <c r="F168" s="150">
        <f t="shared" si="5"/>
        <v>300</v>
      </c>
      <c r="G168" s="24">
        <f t="shared" si="6"/>
        <v>5</v>
      </c>
      <c r="H168" s="148">
        <v>1</v>
      </c>
      <c r="I168" s="148">
        <v>1</v>
      </c>
      <c r="J168" s="148">
        <v>1</v>
      </c>
      <c r="K168" s="148">
        <v>1</v>
      </c>
      <c r="L168" s="148">
        <v>1</v>
      </c>
      <c r="M168" s="4">
        <f t="shared" si="7"/>
        <v>5</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7</v>
      </c>
      <c r="C169" s="22">
        <f>B169*4</f>
        <v>28</v>
      </c>
      <c r="D169" s="27">
        <f>B169*2</f>
        <v>14</v>
      </c>
      <c r="E169" s="23"/>
      <c r="F169" s="150">
        <f t="shared" si="5"/>
        <v>168</v>
      </c>
      <c r="G169" s="24">
        <f t="shared" si="6"/>
        <v>7</v>
      </c>
      <c r="H169" s="148">
        <v>2</v>
      </c>
      <c r="I169" s="148">
        <v>1</v>
      </c>
      <c r="J169" s="148">
        <v>2</v>
      </c>
      <c r="K169" s="148">
        <v>1</v>
      </c>
      <c r="L169" s="148">
        <v>1</v>
      </c>
      <c r="M169" s="4">
        <f t="shared" si="7"/>
        <v>7</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6</v>
      </c>
      <c r="C170" s="22">
        <f>B170*15</f>
        <v>90</v>
      </c>
      <c r="D170" s="27">
        <f>B170*2</f>
        <v>12</v>
      </c>
      <c r="E170" s="23">
        <f>B170*0</f>
        <v>0</v>
      </c>
      <c r="F170" s="150">
        <f t="shared" si="5"/>
        <v>408</v>
      </c>
      <c r="G170" s="24">
        <f t="shared" si="6"/>
        <v>6</v>
      </c>
      <c r="H170" s="148">
        <v>1</v>
      </c>
      <c r="I170" s="148">
        <v>1</v>
      </c>
      <c r="J170" s="148">
        <v>2</v>
      </c>
      <c r="K170" s="148">
        <v>1</v>
      </c>
      <c r="L170" s="148">
        <v>1</v>
      </c>
      <c r="M170" s="4">
        <f t="shared" si="7"/>
        <v>6</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1</v>
      </c>
      <c r="C171" s="22">
        <f>B171*20</f>
        <v>20</v>
      </c>
      <c r="D171" s="27">
        <f>B171*8</f>
        <v>8</v>
      </c>
      <c r="E171" s="23">
        <f>B171*1</f>
        <v>1</v>
      </c>
      <c r="F171" s="150">
        <f t="shared" si="5"/>
        <v>121</v>
      </c>
      <c r="G171" s="24">
        <f t="shared" si="6"/>
        <v>1</v>
      </c>
      <c r="H171" s="148">
        <v>0</v>
      </c>
      <c r="I171" s="148">
        <v>0</v>
      </c>
      <c r="J171" s="148">
        <v>1</v>
      </c>
      <c r="K171" s="148">
        <v>0</v>
      </c>
      <c r="L171" s="148">
        <v>0</v>
      </c>
      <c r="M171" s="4">
        <f t="shared" si="7"/>
        <v>1</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3</v>
      </c>
      <c r="C172" s="22">
        <f>B172*0</f>
        <v>0</v>
      </c>
      <c r="D172" s="27">
        <f>B172*0</f>
        <v>0</v>
      </c>
      <c r="E172" s="23">
        <f>B172*5</f>
        <v>15</v>
      </c>
      <c r="F172" s="150">
        <f t="shared" si="5"/>
        <v>135</v>
      </c>
      <c r="G172" s="24">
        <f t="shared" si="6"/>
        <v>3</v>
      </c>
      <c r="H172" s="148">
        <v>1</v>
      </c>
      <c r="I172" s="148">
        <v>0</v>
      </c>
      <c r="J172" s="148">
        <v>1</v>
      </c>
      <c r="K172" s="148">
        <v>0</v>
      </c>
      <c r="L172" s="148">
        <v>1</v>
      </c>
      <c r="M172" s="4">
        <f t="shared" si="7"/>
        <v>3</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3</v>
      </c>
      <c r="C173" s="22">
        <f>B173*10</f>
        <v>30</v>
      </c>
      <c r="D173" s="27">
        <f>B173*0</f>
        <v>0</v>
      </c>
      <c r="E173" s="23">
        <f>B173*0</f>
        <v>0</v>
      </c>
      <c r="F173" s="152">
        <f t="shared" si="5"/>
        <v>120</v>
      </c>
      <c r="G173" s="24">
        <f t="shared" si="6"/>
        <v>3</v>
      </c>
      <c r="H173" s="148">
        <v>1</v>
      </c>
      <c r="I173" s="148">
        <v>0</v>
      </c>
      <c r="J173" s="148">
        <v>1</v>
      </c>
      <c r="K173" s="148">
        <v>0</v>
      </c>
      <c r="L173" s="148">
        <v>1</v>
      </c>
      <c r="M173" s="4">
        <f t="shared" si="7"/>
        <v>3</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267</v>
      </c>
      <c r="D174" s="154">
        <f>SUM(D166:D173)</f>
        <v>80</v>
      </c>
      <c r="E174" s="155">
        <f>SUM(E166:E173)</f>
        <v>42</v>
      </c>
      <c r="F174" s="151">
        <f>SUM(F166:F173)</f>
        <v>1766</v>
      </c>
      <c r="G174" s="4"/>
      <c r="H174" s="4">
        <f>($H$166*129)+($H$167*64)+($H$168*60)+($H$169*24)+($H$170*68)+($H$171*121)+($H$172*45)+($H$173*40)</f>
        <v>454</v>
      </c>
      <c r="I174" s="4">
        <f>(I166*129)+(I167*64)+(I168*60)+(I169*24)+(I170*68)+(I171*121)+(I172*45)+(I173*40)</f>
        <v>152</v>
      </c>
      <c r="J174" s="4">
        <f>(J166*129)+(J167*64)+(J168*60)+(J169*24)+(J170*68)+(J171*121)+(J172*45)+(J173*40)</f>
        <v>578</v>
      </c>
      <c r="K174" s="4">
        <f>(K166*129)+(K167*64)+(K168*60)+(K169*24)+(K170*68)+(K171*121)+(K172*45)+(K173*40)</f>
        <v>152</v>
      </c>
      <c r="L174" s="4">
        <f>(L166*129)+(L167*64)+(L168*60)+(L169*24)+(L170*68)+(L171*121)+(L172*45)+(L173*40)</f>
        <v>430</v>
      </c>
      <c r="M174" s="24">
        <f t="shared" si="7"/>
        <v>1766</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f>(H174*100)/F174</f>
        <v>25.707814269535675</v>
      </c>
      <c r="I175" s="4">
        <f>(I174*100)/F174</f>
        <v>8.6070215175537932</v>
      </c>
      <c r="J175" s="4">
        <f>(J174*100)/F174</f>
        <v>32.729331823329559</v>
      </c>
      <c r="K175" s="4">
        <f>(K174*100)/F174</f>
        <v>8.6070215175537932</v>
      </c>
      <c r="L175" s="4">
        <f>(L174*100)/F174</f>
        <v>24.34881087202718</v>
      </c>
      <c r="M175" s="24">
        <f t="shared" si="7"/>
        <v>100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f>(C177*100)/F174</f>
        <v>60.475651189127973</v>
      </c>
      <c r="C177" s="19">
        <f>D177*4</f>
        <v>1068</v>
      </c>
      <c r="D177" s="156">
        <f>C174</f>
        <v>267</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f>(C178*100)/F174</f>
        <v>18.120045300113251</v>
      </c>
      <c r="C178" s="19">
        <f>D178*4</f>
        <v>320</v>
      </c>
      <c r="D178" s="156">
        <f>D174</f>
        <v>80</v>
      </c>
      <c r="E178" s="28" t="s">
        <v>68</v>
      </c>
      <c r="F178" s="28">
        <f>D166+D167</f>
        <v>46</v>
      </c>
      <c r="G178" s="477" t="s">
        <v>69</v>
      </c>
      <c r="H178" s="29">
        <f>(F178*100)/D174</f>
        <v>57.5</v>
      </c>
      <c r="I178" s="11" t="s">
        <v>52</v>
      </c>
      <c r="J178" s="138" t="s">
        <v>70</v>
      </c>
      <c r="K178" s="29">
        <f>D169+D170+D171</f>
        <v>34</v>
      </c>
      <c r="L178" s="11" t="s">
        <v>69</v>
      </c>
      <c r="M178" s="30">
        <f>(K178*100)/D174</f>
        <v>42.5</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f>(C179*100)/F174</f>
        <v>21.404303510758776</v>
      </c>
      <c r="C179" s="19">
        <f>D179*9</f>
        <v>378</v>
      </c>
      <c r="D179" s="156">
        <f>E174</f>
        <v>42</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5.333333333333333</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765"/>
      <c r="B182" s="766"/>
      <c r="C182" s="766"/>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f>B4</f>
        <v>0</v>
      </c>
      <c r="C186" s="1088"/>
      <c r="D186" s="1088"/>
      <c r="E186" s="1088"/>
      <c r="F186" s="1088"/>
      <c r="G186" s="1088"/>
      <c r="H186" s="173" t="s">
        <v>4</v>
      </c>
      <c r="I186" s="174">
        <f>D11</f>
        <v>3</v>
      </c>
      <c r="J186" s="175" t="s">
        <v>72</v>
      </c>
      <c r="K186" s="176"/>
      <c r="L186" s="177" t="s">
        <v>291</v>
      </c>
      <c r="M186" s="1223">
        <f>M4</f>
        <v>0</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41501</v>
      </c>
      <c r="C187" s="1090"/>
      <c r="D187" s="768"/>
      <c r="E187" s="768" t="s">
        <v>4</v>
      </c>
      <c r="F187" s="178">
        <f>D11</f>
        <v>3</v>
      </c>
      <c r="G187" s="768" t="s">
        <v>72</v>
      </c>
      <c r="H187" s="179"/>
      <c r="I187" s="180" t="s">
        <v>73</v>
      </c>
      <c r="J187" s="175" t="s">
        <v>208</v>
      </c>
      <c r="K187" s="1229" t="s">
        <v>74</v>
      </c>
      <c r="L187" s="1229"/>
      <c r="M187" s="181">
        <f>D12</f>
        <v>6.5</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74</v>
      </c>
      <c r="D188" s="175" t="s">
        <v>432</v>
      </c>
      <c r="E188" s="1111" t="s">
        <v>433</v>
      </c>
      <c r="F188" s="1111"/>
      <c r="G188" s="180">
        <f>D27</f>
        <v>15</v>
      </c>
      <c r="H188" s="175" t="s">
        <v>75</v>
      </c>
      <c r="I188" s="1111" t="s">
        <v>13</v>
      </c>
      <c r="J188" s="1111"/>
      <c r="K188" s="183">
        <f>D14</f>
        <v>11.869978086194303</v>
      </c>
      <c r="L188" s="774" t="s">
        <v>434</v>
      </c>
      <c r="M188" s="774"/>
      <c r="N188" s="271">
        <f>D28</f>
        <v>99</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c r="D189" s="1114"/>
      <c r="E189" s="1114"/>
      <c r="F189" s="1114"/>
      <c r="G189" s="1114"/>
      <c r="H189" s="1114"/>
      <c r="I189" s="1115" t="s">
        <v>79</v>
      </c>
      <c r="J189" s="1115"/>
      <c r="K189" s="1115"/>
      <c r="L189" s="180">
        <f>M174</f>
        <v>1766</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1</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1</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1</v>
      </c>
      <c r="D193" s="186" t="s">
        <v>59</v>
      </c>
      <c r="E193" s="185">
        <f t="shared" si="10"/>
        <v>0</v>
      </c>
      <c r="F193" s="187" t="s">
        <v>59</v>
      </c>
      <c r="G193" s="185">
        <f t="shared" si="11"/>
        <v>2</v>
      </c>
      <c r="H193" s="187" t="s">
        <v>59</v>
      </c>
      <c r="I193" s="185">
        <f t="shared" si="12"/>
        <v>0</v>
      </c>
      <c r="J193" s="1107" t="s">
        <v>59</v>
      </c>
      <c r="K193" s="1107"/>
      <c r="L193" s="185">
        <f t="shared" si="13"/>
        <v>1</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1</v>
      </c>
      <c r="D194" s="186" t="s">
        <v>59</v>
      </c>
      <c r="E194" s="185">
        <f t="shared" si="10"/>
        <v>1</v>
      </c>
      <c r="F194" s="187" t="s">
        <v>59</v>
      </c>
      <c r="G194" s="185">
        <f t="shared" si="11"/>
        <v>1</v>
      </c>
      <c r="H194" s="187" t="s">
        <v>59</v>
      </c>
      <c r="I194" s="185">
        <f t="shared" si="12"/>
        <v>1</v>
      </c>
      <c r="J194" s="1107" t="s">
        <v>59</v>
      </c>
      <c r="K194" s="1107"/>
      <c r="L194" s="185">
        <f t="shared" si="13"/>
        <v>1</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767" t="s">
        <v>90</v>
      </c>
      <c r="B195" s="767"/>
      <c r="C195" s="185">
        <f t="shared" si="9"/>
        <v>2</v>
      </c>
      <c r="D195" s="186" t="s">
        <v>59</v>
      </c>
      <c r="E195" s="185">
        <f t="shared" si="10"/>
        <v>1</v>
      </c>
      <c r="F195" s="187" t="s">
        <v>59</v>
      </c>
      <c r="G195" s="185">
        <f t="shared" si="11"/>
        <v>2</v>
      </c>
      <c r="H195" s="187" t="s">
        <v>59</v>
      </c>
      <c r="I195" s="185">
        <f t="shared" si="12"/>
        <v>1</v>
      </c>
      <c r="J195" s="1107" t="s">
        <v>59</v>
      </c>
      <c r="K195" s="1107"/>
      <c r="L195" s="185">
        <f t="shared" si="13"/>
        <v>1</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1</v>
      </c>
      <c r="D196" s="186" t="s">
        <v>59</v>
      </c>
      <c r="E196" s="185">
        <f t="shared" si="10"/>
        <v>1</v>
      </c>
      <c r="F196" s="187" t="s">
        <v>59</v>
      </c>
      <c r="G196" s="185">
        <f t="shared" si="11"/>
        <v>2</v>
      </c>
      <c r="H196" s="187" t="s">
        <v>59</v>
      </c>
      <c r="I196" s="185">
        <f t="shared" si="12"/>
        <v>1</v>
      </c>
      <c r="J196" s="1107" t="s">
        <v>59</v>
      </c>
      <c r="K196" s="1107"/>
      <c r="L196" s="185">
        <f t="shared" si="13"/>
        <v>1</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1</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1</v>
      </c>
      <c r="D198" s="186" t="s">
        <v>59</v>
      </c>
      <c r="E198" s="188">
        <f t="shared" si="10"/>
        <v>0</v>
      </c>
      <c r="F198" s="189" t="s">
        <v>59</v>
      </c>
      <c r="G198" s="185">
        <f t="shared" si="11"/>
        <v>1</v>
      </c>
      <c r="H198" s="187" t="s">
        <v>59</v>
      </c>
      <c r="I198" s="185">
        <f t="shared" si="12"/>
        <v>0</v>
      </c>
      <c r="J198" s="1107" t="s">
        <v>59</v>
      </c>
      <c r="K198" s="1107"/>
      <c r="L198" s="185">
        <f t="shared" si="13"/>
        <v>1</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1</v>
      </c>
      <c r="D199" s="191" t="s">
        <v>59</v>
      </c>
      <c r="E199" s="185">
        <f t="shared" si="10"/>
        <v>0</v>
      </c>
      <c r="F199" s="187" t="s">
        <v>59</v>
      </c>
      <c r="G199" s="190">
        <f t="shared" si="11"/>
        <v>1</v>
      </c>
      <c r="H199" s="192" t="s">
        <v>59</v>
      </c>
      <c r="I199" s="190">
        <f t="shared" si="12"/>
        <v>0</v>
      </c>
      <c r="J199" s="1106" t="s">
        <v>59</v>
      </c>
      <c r="K199" s="1106"/>
      <c r="L199" s="190">
        <f t="shared" si="13"/>
        <v>1</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777"/>
      <c r="I201" s="1215" t="s">
        <v>254</v>
      </c>
      <c r="J201" s="1215"/>
      <c r="K201" s="777"/>
      <c r="L201" s="175"/>
      <c r="M201" s="776"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775"/>
      <c r="I202" s="775" t="s">
        <v>256</v>
      </c>
      <c r="J202" s="775"/>
      <c r="K202" s="775"/>
      <c r="L202" s="175"/>
      <c r="M202" s="776"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775" t="s">
        <v>242</v>
      </c>
      <c r="F203" s="175"/>
      <c r="G203" s="777"/>
      <c r="H203" s="775"/>
      <c r="I203" s="775" t="s">
        <v>258</v>
      </c>
      <c r="J203" s="775"/>
      <c r="K203" s="775"/>
      <c r="L203" s="777"/>
      <c r="M203" s="776"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777"/>
      <c r="H204" s="775"/>
      <c r="I204" s="775" t="s">
        <v>260</v>
      </c>
      <c r="J204" s="775"/>
      <c r="K204" s="775"/>
      <c r="L204" s="777"/>
      <c r="M204" s="776"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775"/>
      <c r="I205" s="775" t="s">
        <v>261</v>
      </c>
      <c r="J205" s="775"/>
      <c r="K205" s="775"/>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777"/>
      <c r="H206" s="775"/>
      <c r="I206" s="775" t="s">
        <v>262</v>
      </c>
      <c r="J206" s="775"/>
      <c r="K206" s="775"/>
      <c r="L206" s="777"/>
      <c r="M206" s="776" t="s">
        <v>263</v>
      </c>
      <c r="N206" s="764"/>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776"/>
      <c r="G207" s="777"/>
      <c r="H207" s="775"/>
      <c r="I207" s="775" t="s">
        <v>264</v>
      </c>
      <c r="J207" s="775"/>
      <c r="K207" s="775"/>
      <c r="L207" s="777"/>
      <c r="M207" s="776"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776"/>
      <c r="G208" s="777"/>
      <c r="H208" s="775"/>
      <c r="I208" s="775" t="s">
        <v>265</v>
      </c>
      <c r="J208" s="775"/>
      <c r="K208" s="775"/>
      <c r="L208" s="777"/>
      <c r="M208" s="776"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776"/>
      <c r="G209" s="175"/>
      <c r="H209" s="775"/>
      <c r="I209" s="775" t="s">
        <v>266</v>
      </c>
      <c r="J209" s="775"/>
      <c r="K209" s="775"/>
      <c r="L209" s="175"/>
      <c r="M209" s="776"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776"/>
      <c r="G210" s="175"/>
      <c r="H210" s="775"/>
      <c r="I210" s="775" t="s">
        <v>267</v>
      </c>
      <c r="J210" s="775"/>
      <c r="K210" s="775"/>
      <c r="L210" s="175"/>
      <c r="M210" s="776"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776"/>
      <c r="G211" s="175"/>
      <c r="H211" s="775"/>
      <c r="I211" s="775" t="s">
        <v>269</v>
      </c>
      <c r="J211" s="775"/>
      <c r="K211" s="775"/>
      <c r="L211" s="175"/>
      <c r="M211" s="776"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776"/>
      <c r="G212" s="175"/>
      <c r="H212" s="775"/>
      <c r="I212" s="775" t="s">
        <v>272</v>
      </c>
      <c r="J212" s="775"/>
      <c r="K212" s="775"/>
      <c r="L212" s="175"/>
      <c r="M212" s="776"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775"/>
      <c r="I213" s="775" t="s">
        <v>273</v>
      </c>
      <c r="J213" s="775"/>
      <c r="K213" s="775"/>
      <c r="L213" s="175"/>
      <c r="M213" s="776"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775"/>
      <c r="I214" s="775" t="s">
        <v>275</v>
      </c>
      <c r="J214" s="775"/>
      <c r="K214" s="775"/>
      <c r="L214" s="175"/>
      <c r="M214" s="776"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775"/>
      <c r="I215" s="775" t="s">
        <v>276</v>
      </c>
      <c r="J215" s="775"/>
      <c r="K215" s="775"/>
      <c r="L215" s="175"/>
      <c r="M215" s="776"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775"/>
      <c r="I216" s="775" t="s">
        <v>278</v>
      </c>
      <c r="J216" s="775"/>
      <c r="K216" s="775"/>
      <c r="L216" s="175"/>
      <c r="M216" s="776"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775"/>
      <c r="I217" s="775" t="s">
        <v>279</v>
      </c>
      <c r="J217" s="775"/>
      <c r="K217" s="775"/>
      <c r="L217" s="175"/>
      <c r="M217" s="776"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775"/>
      <c r="I218" s="775" t="s">
        <v>280</v>
      </c>
      <c r="J218" s="775"/>
      <c r="K218" s="775"/>
      <c r="L218" s="175"/>
      <c r="M218" s="776"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776" t="s">
        <v>247</v>
      </c>
      <c r="F219" s="776"/>
      <c r="G219" s="776"/>
      <c r="H219" s="775"/>
      <c r="I219" s="775" t="s">
        <v>281</v>
      </c>
      <c r="J219" s="775"/>
      <c r="K219" s="775"/>
      <c r="L219" s="175"/>
      <c r="M219" s="776"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776"/>
      <c r="H220" s="775"/>
      <c r="I220" s="775" t="s">
        <v>282</v>
      </c>
      <c r="J220" s="775"/>
      <c r="K220" s="775"/>
      <c r="L220" s="175"/>
      <c r="M220" s="776"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776"/>
      <c r="H221" s="775"/>
      <c r="I221" s="775" t="s">
        <v>283</v>
      </c>
      <c r="J221" s="775"/>
      <c r="K221" s="775"/>
      <c r="L221" s="175"/>
      <c r="M221" s="776"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776"/>
      <c r="H222" s="775"/>
      <c r="I222" s="775" t="s">
        <v>284</v>
      </c>
      <c r="J222" s="775"/>
      <c r="K222" s="775"/>
      <c r="L222" s="175"/>
      <c r="M222" s="776"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776"/>
      <c r="H223" s="775"/>
      <c r="I223" s="775" t="s">
        <v>285</v>
      </c>
      <c r="J223" s="775"/>
      <c r="K223" s="775"/>
      <c r="L223" s="175"/>
      <c r="M223" s="776"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776"/>
      <c r="H224" s="775"/>
      <c r="I224" s="775" t="s">
        <v>286</v>
      </c>
      <c r="J224" s="775"/>
      <c r="K224" s="775"/>
      <c r="L224" s="175"/>
      <c r="M224" s="776"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776"/>
      <c r="H225" s="775"/>
      <c r="I225" s="775" t="s">
        <v>287</v>
      </c>
      <c r="J225" s="775"/>
      <c r="K225" s="775"/>
      <c r="L225" s="175"/>
      <c r="M225" s="776"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776"/>
      <c r="H226" s="775"/>
      <c r="I226" s="775" t="s">
        <v>288</v>
      </c>
      <c r="J226" s="775"/>
      <c r="K226" s="775"/>
      <c r="L226" s="175"/>
      <c r="M226" s="776"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776"/>
      <c r="H227" s="775"/>
      <c r="I227" s="775" t="s">
        <v>289</v>
      </c>
      <c r="J227" s="775"/>
      <c r="K227" s="775"/>
      <c r="L227" s="175"/>
      <c r="M227" s="776"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776"/>
      <c r="H228" s="775"/>
      <c r="I228" s="1215" t="s">
        <v>290</v>
      </c>
      <c r="J228" s="1215"/>
      <c r="K228" s="1215"/>
      <c r="L228" s="175"/>
      <c r="M228" s="776"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776"/>
      <c r="H229" s="775"/>
      <c r="I229" s="1215"/>
      <c r="J229" s="1215"/>
      <c r="K229" s="1215"/>
      <c r="L229" s="175"/>
      <c r="M229" s="775"/>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776"/>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776"/>
      <c r="H231" s="175"/>
      <c r="I231" s="175" t="s">
        <v>105</v>
      </c>
      <c r="J231" s="175"/>
      <c r="K231" s="175"/>
      <c r="L231" s="175"/>
      <c r="M231" s="201">
        <v>0.5</v>
      </c>
      <c r="N231" s="776"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776"/>
      <c r="H232" s="175"/>
      <c r="I232" s="175" t="s">
        <v>107</v>
      </c>
      <c r="J232" s="175"/>
      <c r="K232" s="175"/>
      <c r="L232" s="175"/>
      <c r="M232" s="200">
        <v>1</v>
      </c>
      <c r="N232" s="776"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776"/>
      <c r="H233" s="175"/>
      <c r="I233" s="175" t="s">
        <v>109</v>
      </c>
      <c r="J233" s="175"/>
      <c r="K233" s="175"/>
      <c r="L233" s="175"/>
      <c r="M233" s="200">
        <v>1</v>
      </c>
      <c r="N233" s="776"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776"/>
      <c r="H234" s="175"/>
      <c r="I234" s="175" t="s">
        <v>111</v>
      </c>
      <c r="J234" s="175"/>
      <c r="K234" s="175"/>
      <c r="L234" s="175"/>
      <c r="M234" s="200"/>
      <c r="N234" s="776"/>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776"/>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776" t="s">
        <v>248</v>
      </c>
      <c r="F236" s="776"/>
      <c r="G236" s="776"/>
      <c r="H236" s="175"/>
      <c r="I236" s="175" t="s">
        <v>115</v>
      </c>
      <c r="J236" s="205" t="s">
        <v>251</v>
      </c>
      <c r="K236" s="205"/>
      <c r="L236" s="175"/>
      <c r="M236" s="201">
        <v>0.33333333333333331</v>
      </c>
      <c r="N236" s="776"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776"/>
      <c r="H237" s="175"/>
      <c r="I237" s="175" t="s">
        <v>116</v>
      </c>
      <c r="J237" s="175"/>
      <c r="K237" s="175"/>
      <c r="L237" s="175"/>
      <c r="M237" s="200">
        <v>5</v>
      </c>
      <c r="N237" s="776"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776"/>
      <c r="H238" s="175"/>
      <c r="I238" s="175" t="s">
        <v>118</v>
      </c>
      <c r="J238" s="175"/>
      <c r="K238" s="175"/>
      <c r="L238" s="175"/>
      <c r="M238" s="201">
        <v>0.75</v>
      </c>
      <c r="N238" s="776"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776"/>
      <c r="H239" s="175"/>
      <c r="I239" s="175" t="s">
        <v>120</v>
      </c>
      <c r="J239" s="175"/>
      <c r="K239" s="175"/>
      <c r="L239" s="175"/>
      <c r="M239" s="200">
        <v>5</v>
      </c>
      <c r="N239" s="776"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776"/>
      <c r="H240" s="175"/>
      <c r="I240" s="175" t="s">
        <v>122</v>
      </c>
      <c r="J240" s="175"/>
      <c r="K240" s="175"/>
      <c r="L240" s="175"/>
      <c r="M240" s="200">
        <v>1</v>
      </c>
      <c r="N240" s="776"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776"/>
      <c r="H241" s="175"/>
      <c r="I241" s="175" t="s">
        <v>124</v>
      </c>
      <c r="J241" s="175"/>
      <c r="K241" s="175"/>
      <c r="L241" s="175"/>
      <c r="M241" s="200">
        <v>6</v>
      </c>
      <c r="N241" s="776"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776"/>
      <c r="H242" s="175"/>
      <c r="I242" s="175" t="s">
        <v>126</v>
      </c>
      <c r="J242" s="1217" t="s">
        <v>252</v>
      </c>
      <c r="K242" s="1217"/>
      <c r="L242" s="175"/>
      <c r="M242" s="201">
        <v>0.5</v>
      </c>
      <c r="N242" s="776"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776"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776"/>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776"/>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776" t="s">
        <v>248</v>
      </c>
      <c r="G246" s="195"/>
      <c r="H246" s="175"/>
      <c r="I246" s="299" t="s">
        <v>458</v>
      </c>
      <c r="J246" s="299"/>
      <c r="K246" s="299"/>
      <c r="L246" s="299"/>
      <c r="M246" s="198">
        <v>2</v>
      </c>
      <c r="N246" s="776"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776" t="s">
        <v>248</v>
      </c>
      <c r="G247" s="195"/>
      <c r="H247" s="175"/>
      <c r="I247" s="299" t="s">
        <v>460</v>
      </c>
      <c r="J247" s="299"/>
      <c r="K247" s="299"/>
      <c r="L247" s="299"/>
      <c r="M247" s="198">
        <v>15</v>
      </c>
      <c r="N247" s="776"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776" t="s">
        <v>248</v>
      </c>
      <c r="G248" s="195"/>
      <c r="H248" s="175"/>
      <c r="I248" s="299" t="s">
        <v>461</v>
      </c>
      <c r="J248" s="299"/>
      <c r="K248" s="299"/>
      <c r="L248" s="299"/>
      <c r="M248" s="198">
        <v>2</v>
      </c>
      <c r="N248" s="776"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776" t="s">
        <v>248</v>
      </c>
      <c r="G249" s="195"/>
      <c r="H249" s="175"/>
      <c r="I249" s="299" t="s">
        <v>462</v>
      </c>
      <c r="J249" s="299"/>
      <c r="K249" s="299"/>
      <c r="L249" s="299"/>
      <c r="M249" s="300">
        <v>8</v>
      </c>
      <c r="N249" s="776"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776" t="s">
        <v>248</v>
      </c>
      <c r="G250" s="195"/>
      <c r="H250" s="175"/>
      <c r="I250" s="299" t="s">
        <v>463</v>
      </c>
      <c r="J250" s="299"/>
      <c r="K250" s="299"/>
      <c r="L250" s="299"/>
      <c r="M250" s="198">
        <v>2</v>
      </c>
      <c r="N250" s="776"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776" t="s">
        <v>235</v>
      </c>
      <c r="G251" s="195"/>
      <c r="H251" s="175"/>
      <c r="I251" s="1226" t="s">
        <v>464</v>
      </c>
      <c r="J251" s="1226"/>
      <c r="K251" s="1226"/>
      <c r="L251" s="1226"/>
      <c r="M251" s="198">
        <v>2</v>
      </c>
      <c r="N251" s="778"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776"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776"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f>B4</f>
        <v>0</v>
      </c>
      <c r="C280" s="1088"/>
      <c r="D280" s="1088"/>
      <c r="E280" s="1088"/>
      <c r="F280" s="1088"/>
      <c r="G280" s="1088"/>
      <c r="H280" s="173" t="s">
        <v>396</v>
      </c>
      <c r="I280" s="1221">
        <f>B5</f>
        <v>41501</v>
      </c>
      <c r="J280" s="1222"/>
      <c r="K280" s="176"/>
      <c r="L280" s="177" t="s">
        <v>291</v>
      </c>
      <c r="M280" s="1223">
        <f>M4</f>
        <v>0</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3</v>
      </c>
      <c r="C282" s="175" t="s">
        <v>72</v>
      </c>
      <c r="D282" s="1224" t="s">
        <v>323</v>
      </c>
      <c r="E282" s="1224"/>
      <c r="F282" s="1225" t="s">
        <v>397</v>
      </c>
      <c r="G282" s="1225"/>
      <c r="H282" s="175"/>
      <c r="I282" s="1224" t="s">
        <v>328</v>
      </c>
      <c r="J282" s="1224"/>
      <c r="K282" s="1217" t="s">
        <v>470</v>
      </c>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778">
        <v>3</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778">
        <f>C37</f>
        <v>0</v>
      </c>
      <c r="D291" s="175" t="s">
        <v>349</v>
      </c>
      <c r="E291" s="175"/>
      <c r="F291" s="175"/>
      <c r="G291" s="776">
        <f>G37</f>
        <v>0</v>
      </c>
      <c r="H291" s="175" t="s">
        <v>354</v>
      </c>
      <c r="I291" s="175"/>
      <c r="J291" s="778">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778">
        <f>C38</f>
        <v>0</v>
      </c>
      <c r="D292" s="175" t="s">
        <v>350</v>
      </c>
      <c r="E292" s="175"/>
      <c r="F292" s="175"/>
      <c r="G292" s="776">
        <f>G38</f>
        <v>0</v>
      </c>
      <c r="H292" s="175" t="s">
        <v>355</v>
      </c>
      <c r="I292" s="175"/>
      <c r="J292" s="778">
        <f>J38</f>
        <v>0</v>
      </c>
      <c r="K292" s="175"/>
      <c r="L292" s="175" t="s">
        <v>359</v>
      </c>
      <c r="M292" s="175"/>
      <c r="N292" s="776">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778" t="str">
        <f>C39</f>
        <v>X</v>
      </c>
      <c r="D293" s="175" t="s">
        <v>351</v>
      </c>
      <c r="E293" s="175"/>
      <c r="F293" s="175"/>
      <c r="G293" s="776">
        <f>G39</f>
        <v>0</v>
      </c>
      <c r="H293" s="175" t="s">
        <v>356</v>
      </c>
      <c r="I293" s="175"/>
      <c r="J293" s="778">
        <f>J39</f>
        <v>0</v>
      </c>
      <c r="K293" s="175"/>
      <c r="L293" s="1216" t="s">
        <v>360</v>
      </c>
      <c r="M293" s="1216"/>
      <c r="N293" s="775" t="str">
        <f>N39</f>
        <v>x</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778">
        <f>C40</f>
        <v>0</v>
      </c>
      <c r="D294" s="175" t="s">
        <v>352</v>
      </c>
      <c r="E294" s="175"/>
      <c r="F294" s="175"/>
      <c r="G294" s="776">
        <f>G40</f>
        <v>0</v>
      </c>
      <c r="H294" s="175"/>
      <c r="I294" s="175"/>
      <c r="J294" s="175"/>
      <c r="K294" s="175"/>
      <c r="L294" s="1215" t="s">
        <v>362</v>
      </c>
      <c r="M294" s="1215"/>
      <c r="N294" s="775">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2</v>
      </c>
      <c r="D298" s="106">
        <f>B96</f>
        <v>1</v>
      </c>
      <c r="E298" s="106">
        <f>B98</f>
        <v>1</v>
      </c>
      <c r="F298" s="106">
        <f>B99</f>
        <v>2</v>
      </c>
      <c r="G298" s="106">
        <f>B100</f>
        <v>2</v>
      </c>
      <c r="H298" s="106">
        <f>B101</f>
        <v>0</v>
      </c>
      <c r="I298" s="106">
        <f>B103</f>
        <v>1</v>
      </c>
      <c r="J298" s="106">
        <f>B102</f>
        <v>2</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2</v>
      </c>
      <c r="D299" s="106">
        <f>B111</f>
        <v>0</v>
      </c>
      <c r="E299" s="106">
        <f>B113</f>
        <v>2</v>
      </c>
      <c r="F299" s="106">
        <f>B114</f>
        <v>2</v>
      </c>
      <c r="G299" s="106">
        <f>B115</f>
        <v>3</v>
      </c>
      <c r="H299" s="106">
        <f>B116</f>
        <v>1</v>
      </c>
      <c r="I299" s="106">
        <f>B118</f>
        <v>1</v>
      </c>
      <c r="J299" s="106">
        <f>B117</f>
        <v>4</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0</v>
      </c>
      <c r="D300" s="106">
        <f>B126</f>
        <v>1</v>
      </c>
      <c r="E300" s="106">
        <f>B128</f>
        <v>1</v>
      </c>
      <c r="F300" s="106">
        <f>B129</f>
        <v>1</v>
      </c>
      <c r="G300" s="106">
        <f>B130</f>
        <v>1</v>
      </c>
      <c r="H300" s="106">
        <f>B131</f>
        <v>0</v>
      </c>
      <c r="I300" s="106">
        <f>B133</f>
        <v>1</v>
      </c>
      <c r="J300" s="106">
        <f>B132</f>
        <v>1</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4</v>
      </c>
      <c r="D302" s="106">
        <f t="shared" ref="D302:J302" si="14">SUM(D298:D301)</f>
        <v>2</v>
      </c>
      <c r="E302" s="106">
        <f t="shared" si="14"/>
        <v>4</v>
      </c>
      <c r="F302" s="106">
        <f t="shared" si="14"/>
        <v>5</v>
      </c>
      <c r="G302" s="106">
        <f t="shared" si="14"/>
        <v>6</v>
      </c>
      <c r="H302" s="106">
        <f t="shared" si="14"/>
        <v>1</v>
      </c>
      <c r="I302" s="106">
        <f t="shared" si="14"/>
        <v>3</v>
      </c>
      <c r="J302" s="106">
        <f t="shared" si="14"/>
        <v>7</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781"/>
      <c r="H304" s="1077" t="s">
        <v>378</v>
      </c>
      <c r="I304" s="1077"/>
      <c r="J304" s="781"/>
      <c r="K304" s="1077" t="s">
        <v>377</v>
      </c>
      <c r="L304" s="1077"/>
      <c r="M304" s="1077"/>
      <c r="N304" s="781"/>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244</v>
      </c>
      <c r="F305" s="86"/>
      <c r="G305" s="86"/>
      <c r="H305" s="89">
        <f>B152</f>
        <v>54</v>
      </c>
      <c r="I305" s="86"/>
      <c r="J305" s="86"/>
      <c r="K305" s="1060">
        <f>D152</f>
        <v>976</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76</v>
      </c>
      <c r="F306" s="87"/>
      <c r="G306" s="87"/>
      <c r="H306" s="90">
        <f>B153</f>
        <v>18</v>
      </c>
      <c r="I306" s="87"/>
      <c r="J306" s="87"/>
      <c r="K306" s="1072">
        <f>D153</f>
        <v>304</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62</v>
      </c>
      <c r="F307" s="87"/>
      <c r="G307" s="87"/>
      <c r="H307" s="90">
        <f>B154</f>
        <v>28</v>
      </c>
      <c r="I307" s="87"/>
      <c r="J307" s="87"/>
      <c r="K307" s="1072">
        <f>D154</f>
        <v>558</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1838</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764"/>
      <c r="B310" s="764"/>
      <c r="C310" s="1063" t="s">
        <v>388</v>
      </c>
      <c r="D310" s="1063"/>
      <c r="E310" s="780"/>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764"/>
      <c r="B311" s="764"/>
      <c r="C311" s="764"/>
      <c r="D311" s="764"/>
      <c r="E311" s="780"/>
      <c r="F311" s="780"/>
      <c r="G311" s="780"/>
      <c r="H311" s="780"/>
      <c r="I311" s="780"/>
      <c r="J311" s="780"/>
      <c r="K311" s="780"/>
      <c r="L311" s="780"/>
      <c r="M311" s="780"/>
      <c r="N311" s="780"/>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6.5</v>
      </c>
      <c r="D312" s="86"/>
      <c r="E312" s="99"/>
      <c r="F312" s="780"/>
      <c r="G312" s="99"/>
      <c r="H312" s="780"/>
      <c r="I312" s="99"/>
      <c r="J312" s="780"/>
      <c r="K312" s="99"/>
      <c r="L312" s="780"/>
      <c r="M312" s="99"/>
      <c r="N312" s="780"/>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769"/>
      <c r="C314" s="106"/>
      <c r="D314" s="769"/>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74</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11.869978086194303</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769"/>
      <c r="C317" s="106">
        <f>E54</f>
        <v>0</v>
      </c>
      <c r="D317" s="769"/>
      <c r="E317" s="99"/>
      <c r="F317" s="780"/>
      <c r="G317" s="99"/>
      <c r="H317" s="780"/>
      <c r="I317" s="99"/>
      <c r="J317" s="780"/>
      <c r="K317" s="99"/>
      <c r="L317" s="780"/>
      <c r="M317" s="99"/>
      <c r="N317" s="780"/>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780"/>
      <c r="G318" s="99"/>
      <c r="H318" s="780"/>
      <c r="I318" s="99"/>
      <c r="J318" s="780"/>
      <c r="K318" s="99"/>
      <c r="L318" s="780"/>
      <c r="M318" s="99"/>
      <c r="N318" s="780"/>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576"/>
      <c r="C320" s="102">
        <v>0</v>
      </c>
      <c r="D320" s="576"/>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764"/>
      <c r="C322" s="108"/>
      <c r="D322" s="764"/>
      <c r="E322" s="101"/>
      <c r="F322" s="781"/>
      <c r="G322" s="101"/>
      <c r="H322" s="781"/>
      <c r="I322" s="101"/>
      <c r="J322" s="781"/>
      <c r="K322" s="101"/>
      <c r="L322" s="781"/>
      <c r="M322" s="101"/>
      <c r="N322" s="781"/>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781"/>
      <c r="G323" s="101"/>
      <c r="H323" s="781"/>
      <c r="I323" s="101"/>
      <c r="J323" s="781"/>
      <c r="K323" s="101"/>
      <c r="L323" s="781"/>
      <c r="M323" s="101"/>
      <c r="N323" s="781"/>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781"/>
      <c r="F324" s="781"/>
      <c r="G324" s="781"/>
      <c r="H324" s="781"/>
      <c r="I324" s="781"/>
      <c r="J324" s="781"/>
      <c r="K324" s="781"/>
      <c r="L324" s="781"/>
      <c r="M324" s="781"/>
      <c r="N324" s="781"/>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781"/>
      <c r="H325" s="111"/>
      <c r="I325" s="781"/>
      <c r="J325" s="781"/>
      <c r="K325" s="781"/>
      <c r="L325" s="781"/>
      <c r="M325" s="781"/>
      <c r="N325" s="781"/>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781"/>
      <c r="F326" s="116">
        <f>E60</f>
        <v>0</v>
      </c>
      <c r="G326" s="781"/>
      <c r="H326" s="116">
        <f>G60</f>
        <v>0</v>
      </c>
      <c r="I326" s="781"/>
      <c r="J326" s="116">
        <f>I60</f>
        <v>0</v>
      </c>
      <c r="K326" s="781"/>
      <c r="L326" s="116">
        <f>K60</f>
        <v>0</v>
      </c>
      <c r="M326" s="283" t="str">
        <f>L60</f>
        <v>ND</v>
      </c>
      <c r="N326" s="781"/>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0</v>
      </c>
      <c r="G327" s="86"/>
      <c r="H327" s="95">
        <f>G62</f>
        <v>0</v>
      </c>
      <c r="I327" s="86"/>
      <c r="J327" s="95">
        <f>I62</f>
        <v>0</v>
      </c>
      <c r="K327" s="86"/>
      <c r="L327" s="95">
        <f>K62</f>
        <v>0</v>
      </c>
      <c r="M327" s="284" t="str">
        <f>L62</f>
        <v>ND</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0</v>
      </c>
      <c r="G328" s="86"/>
      <c r="H328" s="95">
        <f>G64</f>
        <v>0</v>
      </c>
      <c r="I328" s="86"/>
      <c r="J328" s="95">
        <f>I64</f>
        <v>0</v>
      </c>
      <c r="K328" s="86"/>
      <c r="L328" s="95">
        <f>K64</f>
        <v>0</v>
      </c>
      <c r="M328" s="284" t="str">
        <f>L64</f>
        <v>ND</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780"/>
      <c r="F329" s="157">
        <f>E67</f>
        <v>0</v>
      </c>
      <c r="G329" s="780"/>
      <c r="H329" s="157">
        <f>G67</f>
        <v>0</v>
      </c>
      <c r="I329" s="780"/>
      <c r="J329" s="157">
        <f>I67</f>
        <v>0</v>
      </c>
      <c r="K329" s="780"/>
      <c r="L329" s="157">
        <f>K67</f>
        <v>0</v>
      </c>
      <c r="M329" s="285" t="str">
        <f>L67</f>
        <v>ND</v>
      </c>
      <c r="N329" s="780"/>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780"/>
      <c r="F330" s="157">
        <f>E69</f>
        <v>0</v>
      </c>
      <c r="G330" s="780"/>
      <c r="H330" s="157">
        <f>G69</f>
        <v>0</v>
      </c>
      <c r="I330" s="780"/>
      <c r="J330" s="157">
        <f>I69</f>
        <v>0</v>
      </c>
      <c r="K330" s="780"/>
      <c r="L330" s="157">
        <f>K69</f>
        <v>0</v>
      </c>
      <c r="M330" s="285" t="str">
        <f>L69</f>
        <v>ND</v>
      </c>
      <c r="N330" s="780"/>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780"/>
      <c r="F331" s="157">
        <f>E71</f>
        <v>0</v>
      </c>
      <c r="G331" s="780"/>
      <c r="H331" s="157">
        <f>G71</f>
        <v>0</v>
      </c>
      <c r="I331" s="780"/>
      <c r="J331" s="157">
        <f>I71</f>
        <v>0</v>
      </c>
      <c r="K331" s="780"/>
      <c r="L331" s="157">
        <f>K71</f>
        <v>0</v>
      </c>
      <c r="M331" s="285" t="str">
        <f>L71</f>
        <v>ND</v>
      </c>
      <c r="N331" s="780"/>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780"/>
      <c r="F332" s="157">
        <f>E73</f>
        <v>0</v>
      </c>
      <c r="G332" s="780"/>
      <c r="H332" s="157">
        <f>G73</f>
        <v>0</v>
      </c>
      <c r="I332" s="780"/>
      <c r="J332" s="157">
        <f>I73</f>
        <v>0</v>
      </c>
      <c r="K332" s="780"/>
      <c r="L332" s="157">
        <f>K73</f>
        <v>0</v>
      </c>
      <c r="M332" s="285" t="str">
        <f>L73</f>
        <v>ND</v>
      </c>
      <c r="N332" s="780"/>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780"/>
      <c r="F333" s="157">
        <f>E76</f>
        <v>0</v>
      </c>
      <c r="G333" s="780"/>
      <c r="H333" s="157">
        <f>G76</f>
        <v>0</v>
      </c>
      <c r="I333" s="780"/>
      <c r="J333" s="157">
        <f>I76</f>
        <v>0</v>
      </c>
      <c r="K333" s="780"/>
      <c r="L333" s="157">
        <f>K76</f>
        <v>0</v>
      </c>
      <c r="M333" s="285" t="str">
        <f>L76</f>
        <v>ND</v>
      </c>
      <c r="N333" s="780"/>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780"/>
      <c r="F334" s="157">
        <f>E78</f>
        <v>0</v>
      </c>
      <c r="G334" s="780"/>
      <c r="H334" s="157">
        <f>G78</f>
        <v>0</v>
      </c>
      <c r="I334" s="780"/>
      <c r="J334" s="157">
        <f>I78</f>
        <v>0</v>
      </c>
      <c r="K334" s="780"/>
      <c r="L334" s="157">
        <f>K78</f>
        <v>0</v>
      </c>
      <c r="M334" s="285" t="str">
        <f>L78</f>
        <v>ND</v>
      </c>
      <c r="N334" s="780"/>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780"/>
      <c r="F335" s="157"/>
      <c r="G335" s="780"/>
      <c r="H335" s="157"/>
      <c r="I335" s="780"/>
      <c r="J335" s="157"/>
      <c r="K335" s="780"/>
      <c r="L335" s="157"/>
      <c r="M335" s="285"/>
      <c r="N335" s="780"/>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780"/>
      <c r="F336" s="157"/>
      <c r="G336" s="780"/>
      <c r="H336" s="157"/>
      <c r="I336" s="780"/>
      <c r="J336" s="157"/>
      <c r="K336" s="780"/>
      <c r="L336" s="157"/>
      <c r="M336" s="285"/>
      <c r="N336" s="780"/>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0</v>
      </c>
      <c r="G337" s="86"/>
      <c r="H337" s="95">
        <f>G81</f>
        <v>0</v>
      </c>
      <c r="I337" s="86"/>
      <c r="J337" s="95">
        <f>I81</f>
        <v>0</v>
      </c>
      <c r="K337" s="86"/>
      <c r="L337" s="95">
        <f>K81</f>
        <v>0</v>
      </c>
      <c r="M337" s="284" t="str">
        <f>L81</f>
        <v>ND</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781"/>
      <c r="F338" s="116">
        <f>E83</f>
        <v>0</v>
      </c>
      <c r="G338" s="781"/>
      <c r="H338" s="116">
        <f>G83</f>
        <v>0</v>
      </c>
      <c r="I338" s="781"/>
      <c r="J338" s="116">
        <f>I83</f>
        <v>0</v>
      </c>
      <c r="K338" s="781"/>
      <c r="L338" s="116">
        <f>K83</f>
        <v>0</v>
      </c>
      <c r="M338" s="283" t="str">
        <f>L83</f>
        <v>ND</v>
      </c>
      <c r="N338" s="781"/>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781"/>
      <c r="F339" s="116"/>
      <c r="G339" s="781"/>
      <c r="H339" s="116"/>
      <c r="I339" s="781"/>
      <c r="J339" s="116"/>
      <c r="K339" s="781"/>
      <c r="L339" s="116"/>
      <c r="M339" s="283"/>
      <c r="N339" s="781"/>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781"/>
      <c r="F340" s="116"/>
      <c r="G340" s="781"/>
      <c r="H340" s="116"/>
      <c r="I340" s="781"/>
      <c r="J340" s="116"/>
      <c r="K340" s="781"/>
      <c r="L340" s="116"/>
      <c r="M340" s="158"/>
      <c r="N340" s="781"/>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770"/>
      <c r="F341" s="770"/>
      <c r="G341" s="770"/>
      <c r="H341" s="770"/>
      <c r="I341" s="770"/>
      <c r="J341" s="770"/>
      <c r="K341" s="770"/>
      <c r="L341" s="770"/>
      <c r="M341" s="770"/>
      <c r="N341" s="770"/>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43.333333333333336</v>
      </c>
      <c r="I343" s="293" t="str">
        <f t="shared" si="15"/>
        <v>DESNUTRICION SEVERA 3ER GRADO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773" t="s">
        <v>436</v>
      </c>
      <c r="B344" s="773"/>
      <c r="C344" s="773"/>
      <c r="D344" s="251"/>
      <c r="E344" s="773"/>
      <c r="F344" s="252"/>
      <c r="G344" s="251"/>
      <c r="H344" s="288">
        <f t="shared" si="15"/>
        <v>43.333333333333336</v>
      </c>
      <c r="I344" s="773" t="str">
        <f t="shared" si="15"/>
        <v>DESNUTRICION SEVERA 3ER GRADO</v>
      </c>
      <c r="J344" s="773"/>
      <c r="K344" s="773"/>
      <c r="L344" s="773"/>
      <c r="M344" s="773"/>
      <c r="N344" s="773"/>
      <c r="O344" s="215"/>
      <c r="P344" s="215"/>
      <c r="Q344" s="215"/>
      <c r="R344" s="215"/>
      <c r="S344" s="215"/>
      <c r="T344" s="215"/>
      <c r="U344" s="215"/>
      <c r="V344" s="215"/>
      <c r="W344" s="80"/>
      <c r="X344" s="80"/>
      <c r="Y344" s="80"/>
      <c r="Z344" s="80"/>
      <c r="AA344" s="80"/>
      <c r="AB344" s="80"/>
      <c r="AC344" s="80"/>
      <c r="AD344" s="80"/>
      <c r="AE344" s="80"/>
      <c r="AF344" s="80"/>
    </row>
    <row r="345" spans="1:32">
      <c r="A345" s="773" t="s">
        <v>437</v>
      </c>
      <c r="B345" s="773"/>
      <c r="C345" s="773"/>
      <c r="D345" s="251"/>
      <c r="E345" s="773"/>
      <c r="F345" s="252"/>
      <c r="G345" s="251"/>
      <c r="H345" s="288">
        <f t="shared" si="15"/>
        <v>74.747474747474755</v>
      </c>
      <c r="I345" s="773" t="str">
        <f t="shared" si="15"/>
        <v>DESNUTRICION SEVERA 3ER GRADO</v>
      </c>
      <c r="J345" s="773"/>
      <c r="K345" s="773"/>
      <c r="L345" s="773"/>
      <c r="M345" s="773"/>
      <c r="N345" s="773"/>
      <c r="O345" s="215"/>
      <c r="P345" s="215"/>
      <c r="Q345" s="215"/>
      <c r="R345" s="215"/>
      <c r="S345" s="215"/>
      <c r="T345" s="215"/>
      <c r="U345" s="215"/>
      <c r="V345" s="215"/>
      <c r="W345" s="80"/>
      <c r="X345" s="80"/>
      <c r="Y345" s="80"/>
      <c r="Z345" s="80"/>
      <c r="AA345" s="80"/>
      <c r="AB345" s="80"/>
      <c r="AC345" s="80"/>
      <c r="AD345" s="80"/>
      <c r="AE345" s="80"/>
      <c r="AF345" s="80"/>
    </row>
    <row r="346" spans="1:32">
      <c r="A346" s="773"/>
      <c r="B346" s="773"/>
      <c r="C346" s="773"/>
      <c r="D346" s="251"/>
      <c r="E346" s="773"/>
      <c r="F346" s="252"/>
      <c r="G346" s="251"/>
      <c r="H346" s="288"/>
      <c r="I346" s="773"/>
      <c r="J346" s="773"/>
      <c r="K346" s="773"/>
      <c r="L346" s="773"/>
      <c r="M346" s="773"/>
      <c r="N346" s="773"/>
      <c r="O346" s="215"/>
      <c r="P346" s="215"/>
      <c r="Q346" s="215"/>
      <c r="R346" s="215"/>
      <c r="S346" s="215"/>
      <c r="T346" s="215"/>
      <c r="U346" s="215"/>
      <c r="V346" s="215"/>
      <c r="W346" s="80"/>
      <c r="X346" s="80"/>
      <c r="Y346" s="80"/>
      <c r="Z346" s="80"/>
      <c r="AA346" s="80"/>
      <c r="AB346" s="80"/>
      <c r="AC346" s="80"/>
      <c r="AD346" s="80"/>
      <c r="AE346" s="80"/>
      <c r="AF346" s="80"/>
    </row>
    <row r="347" spans="1:32">
      <c r="A347" s="1211" t="s">
        <v>448</v>
      </c>
      <c r="B347" s="1211"/>
      <c r="C347" s="1211"/>
      <c r="D347" s="1211"/>
      <c r="E347" s="1211"/>
      <c r="F347" s="1211"/>
      <c r="G347" s="1211"/>
      <c r="H347" s="1211"/>
      <c r="I347" s="1211"/>
      <c r="J347" s="1211"/>
      <c r="K347" s="1211"/>
      <c r="L347" s="1211"/>
      <c r="M347" s="1211"/>
      <c r="N347" s="1211"/>
      <c r="O347" s="215"/>
      <c r="P347" s="215"/>
      <c r="Q347" s="215"/>
      <c r="R347" s="215"/>
      <c r="S347" s="215"/>
      <c r="T347" s="215"/>
      <c r="U347" s="215"/>
      <c r="V347" s="215"/>
      <c r="W347" s="80"/>
      <c r="X347" s="80"/>
      <c r="Y347" s="80"/>
      <c r="Z347" s="80"/>
      <c r="AA347" s="80"/>
      <c r="AB347" s="80"/>
      <c r="AC347" s="80"/>
      <c r="AD347" s="80"/>
      <c r="AE347" s="80"/>
      <c r="AF347" s="80"/>
    </row>
    <row r="348" spans="1:32">
      <c r="A348" s="1211" t="s">
        <v>449</v>
      </c>
      <c r="B348" s="1211"/>
      <c r="C348" s="1211"/>
      <c r="D348" s="1211"/>
      <c r="E348" s="1211"/>
      <c r="F348" s="1211"/>
      <c r="G348" s="1211"/>
      <c r="H348" s="1211"/>
      <c r="I348" s="1211"/>
      <c r="J348" s="1211"/>
      <c r="K348" s="1211"/>
      <c r="L348" s="1211"/>
      <c r="M348" s="1211"/>
      <c r="N348" s="1211"/>
      <c r="O348" s="215"/>
      <c r="P348" s="215"/>
      <c r="Q348" s="215"/>
      <c r="R348" s="215"/>
      <c r="S348" s="215"/>
      <c r="T348" s="215"/>
      <c r="U348" s="215"/>
      <c r="V348" s="215"/>
      <c r="W348" s="80"/>
      <c r="X348" s="80"/>
      <c r="Y348" s="80"/>
      <c r="Z348" s="80"/>
      <c r="AA348" s="80"/>
      <c r="AB348" s="80"/>
      <c r="AC348" s="80"/>
      <c r="AD348" s="80"/>
      <c r="AE348" s="80"/>
      <c r="AF348" s="80"/>
    </row>
    <row r="349" spans="1:32">
      <c r="A349" s="1211" t="s">
        <v>450</v>
      </c>
      <c r="B349" s="1211"/>
      <c r="C349" s="1211"/>
      <c r="D349" s="1211"/>
      <c r="E349" s="1211"/>
      <c r="F349" s="1211"/>
      <c r="G349" s="1211"/>
      <c r="H349" s="1211"/>
      <c r="I349" s="1211"/>
      <c r="J349" s="1211"/>
      <c r="K349" s="1211"/>
      <c r="L349" s="1211"/>
      <c r="M349" s="1211"/>
      <c r="N349" s="1211"/>
      <c r="O349" s="215"/>
      <c r="P349" s="215"/>
      <c r="Q349" s="215"/>
      <c r="R349" s="215"/>
      <c r="S349" s="215"/>
      <c r="T349" s="215"/>
      <c r="U349" s="215"/>
      <c r="V349" s="215"/>
      <c r="W349" s="80"/>
      <c r="X349" s="80"/>
      <c r="Y349" s="80"/>
      <c r="Z349" s="80"/>
      <c r="AA349" s="80"/>
      <c r="AB349" s="80"/>
      <c r="AC349" s="80"/>
      <c r="AD349" s="80"/>
      <c r="AE349" s="80"/>
      <c r="AF349" s="80"/>
    </row>
    <row r="350" spans="1:32" ht="17.100000000000001" customHeight="1">
      <c r="A350" s="1211" t="s">
        <v>451</v>
      </c>
      <c r="B350" s="1211"/>
      <c r="C350" s="1211"/>
      <c r="D350" s="1211"/>
      <c r="E350" s="1211"/>
      <c r="F350" s="1211"/>
      <c r="G350" s="1211"/>
      <c r="H350" s="1211"/>
      <c r="I350" s="1211"/>
      <c r="J350" s="1211"/>
      <c r="K350" s="1211"/>
      <c r="L350" s="1211"/>
      <c r="M350" s="1211"/>
      <c r="N350" s="1211"/>
      <c r="O350" s="215"/>
      <c r="P350" s="215"/>
      <c r="Q350" s="215"/>
      <c r="R350" s="215"/>
      <c r="S350" s="215"/>
      <c r="T350" s="215"/>
      <c r="U350" s="215"/>
      <c r="V350" s="215"/>
      <c r="W350" s="80"/>
      <c r="X350" s="80"/>
      <c r="Y350" s="80"/>
      <c r="Z350" s="80"/>
      <c r="AA350" s="80"/>
      <c r="AB350" s="80"/>
      <c r="AC350" s="80"/>
      <c r="AD350" s="80"/>
      <c r="AE350" s="80"/>
      <c r="AF350" s="80"/>
    </row>
    <row r="351" spans="1:32" ht="15" customHeight="1">
      <c r="A351" s="1211" t="s">
        <v>455</v>
      </c>
      <c r="B351" s="1211"/>
      <c r="C351" s="1211"/>
      <c r="D351" s="1211"/>
      <c r="E351" s="1211"/>
      <c r="F351" s="1211"/>
      <c r="G351" s="1211"/>
      <c r="H351" s="1211"/>
      <c r="I351" s="1211"/>
      <c r="J351" s="1211"/>
      <c r="K351" s="1211"/>
      <c r="L351" s="1211"/>
      <c r="M351" s="1211"/>
      <c r="N351" s="1211"/>
      <c r="O351" s="215"/>
      <c r="P351" s="215"/>
      <c r="Q351" s="215"/>
      <c r="R351" s="215"/>
      <c r="S351" s="215"/>
      <c r="T351" s="215"/>
      <c r="U351" s="215"/>
      <c r="V351" s="215"/>
      <c r="W351" s="80"/>
      <c r="X351" s="80"/>
      <c r="Y351" s="80"/>
      <c r="Z351" s="80"/>
      <c r="AA351" s="80"/>
      <c r="AB351" s="80"/>
      <c r="AC351" s="80"/>
      <c r="AD351" s="80"/>
      <c r="AE351" s="80"/>
      <c r="AF351" s="80"/>
    </row>
    <row r="352" spans="1:32" ht="15.75" customHeight="1">
      <c r="A352" s="1211" t="s">
        <v>456</v>
      </c>
      <c r="B352" s="1211"/>
      <c r="C352" s="1211"/>
      <c r="D352" s="1211"/>
      <c r="E352" s="1211"/>
      <c r="F352" s="1211"/>
      <c r="G352" s="1211"/>
      <c r="H352" s="1211"/>
      <c r="I352" s="1211"/>
      <c r="J352" s="1211"/>
      <c r="K352" s="1211"/>
      <c r="L352" s="1211"/>
      <c r="M352" s="1211"/>
      <c r="N352" s="1211"/>
      <c r="O352" s="215"/>
      <c r="P352" s="215"/>
      <c r="Q352" s="215"/>
      <c r="R352" s="215"/>
      <c r="S352" s="215"/>
      <c r="T352" s="215"/>
      <c r="U352" s="215"/>
      <c r="V352" s="215"/>
      <c r="W352" s="80"/>
      <c r="X352" s="80"/>
      <c r="Y352" s="80"/>
      <c r="Z352" s="80"/>
      <c r="AA352" s="80"/>
      <c r="AB352" s="80"/>
      <c r="AC352" s="80"/>
      <c r="AD352" s="80"/>
      <c r="AE352" s="80"/>
      <c r="AF352" s="80"/>
    </row>
    <row r="353" spans="1:32">
      <c r="A353" s="1211" t="s">
        <v>452</v>
      </c>
      <c r="B353" s="1211"/>
      <c r="C353" s="1211"/>
      <c r="D353" s="1211"/>
      <c r="E353" s="1211"/>
      <c r="F353" s="1211"/>
      <c r="G353" s="1211"/>
      <c r="H353" s="1211"/>
      <c r="I353" s="1211"/>
      <c r="J353" s="1211"/>
      <c r="K353" s="1211"/>
      <c r="L353" s="1211"/>
      <c r="M353" s="1211"/>
      <c r="N353" s="1211"/>
      <c r="O353" s="215"/>
      <c r="P353" s="215"/>
      <c r="Q353" s="215"/>
      <c r="R353" s="215"/>
      <c r="S353" s="215"/>
      <c r="T353" s="215"/>
      <c r="U353" s="215"/>
      <c r="V353" s="215"/>
      <c r="W353" s="80"/>
      <c r="X353" s="80"/>
      <c r="Y353" s="80"/>
      <c r="Z353" s="80"/>
      <c r="AA353" s="80"/>
      <c r="AB353" s="80"/>
      <c r="AC353" s="80"/>
      <c r="AD353" s="80"/>
      <c r="AE353" s="80"/>
      <c r="AF353" s="80"/>
    </row>
    <row r="354" spans="1:32">
      <c r="A354" s="1211" t="s">
        <v>453</v>
      </c>
      <c r="B354" s="1211"/>
      <c r="C354" s="1211"/>
      <c r="D354" s="1211"/>
      <c r="E354" s="1211"/>
      <c r="F354" s="1211"/>
      <c r="G354" s="1211"/>
      <c r="H354" s="1211"/>
      <c r="I354" s="1211"/>
      <c r="J354" s="1211"/>
      <c r="K354" s="1211"/>
      <c r="L354" s="1211"/>
      <c r="M354" s="1211"/>
      <c r="N354" s="1211"/>
      <c r="O354" s="215"/>
      <c r="P354" s="215"/>
      <c r="Q354" s="215"/>
      <c r="R354" s="215"/>
      <c r="S354" s="215"/>
      <c r="T354" s="215"/>
      <c r="U354" s="215"/>
      <c r="V354" s="215"/>
      <c r="W354" s="80"/>
      <c r="X354" s="80"/>
      <c r="Y354" s="80"/>
      <c r="Z354" s="80"/>
      <c r="AA354" s="80"/>
      <c r="AB354" s="80"/>
      <c r="AC354" s="80"/>
      <c r="AD354" s="80"/>
      <c r="AE354" s="80"/>
      <c r="AF354" s="80"/>
    </row>
    <row r="355" spans="1:32">
      <c r="A355" s="1076" t="s">
        <v>454</v>
      </c>
      <c r="B355" s="1076"/>
      <c r="C355" s="1076"/>
      <c r="D355" s="1076"/>
      <c r="E355" s="1076"/>
      <c r="F355" s="1076"/>
      <c r="G355" s="1076"/>
      <c r="H355" s="1076"/>
      <c r="I355" s="1076"/>
      <c r="J355" s="1076"/>
      <c r="K355" s="1076"/>
      <c r="L355" s="1076"/>
      <c r="M355" s="1076"/>
      <c r="N355" s="1076"/>
      <c r="O355" s="215"/>
      <c r="P355" s="215"/>
      <c r="Q355" s="215"/>
      <c r="R355" s="215"/>
      <c r="S355" s="215"/>
      <c r="T355" s="215"/>
      <c r="U355" s="215"/>
      <c r="V355" s="215"/>
      <c r="W355" s="80"/>
      <c r="X355" s="80"/>
      <c r="Y355" s="80"/>
      <c r="Z355" s="80"/>
      <c r="AA355" s="80"/>
      <c r="AB355" s="80"/>
      <c r="AC355" s="80"/>
      <c r="AD355" s="80"/>
      <c r="AE355" s="80"/>
      <c r="AF355" s="80"/>
    </row>
    <row r="356" spans="1:32">
      <c r="A356" s="1047"/>
      <c r="B356" s="1047"/>
      <c r="C356" s="1047"/>
      <c r="D356" s="1047"/>
      <c r="E356" s="1047"/>
      <c r="F356" s="1047"/>
      <c r="G356" s="1047"/>
      <c r="H356" s="1047"/>
      <c r="I356" s="1047"/>
      <c r="J356" s="1047"/>
      <c r="K356" s="1047"/>
      <c r="L356" s="1047"/>
      <c r="M356" s="1047"/>
      <c r="N356" s="1047"/>
      <c r="O356" s="215"/>
      <c r="P356" s="215"/>
      <c r="Q356" s="215"/>
      <c r="R356" s="215"/>
      <c r="S356" s="215"/>
      <c r="T356" s="215"/>
      <c r="U356" s="215"/>
      <c r="V356" s="215"/>
      <c r="W356" s="80"/>
      <c r="X356" s="80"/>
      <c r="Y356" s="80"/>
      <c r="Z356" s="80"/>
      <c r="AA356" s="80"/>
      <c r="AB356" s="80"/>
      <c r="AC356" s="80"/>
      <c r="AD356" s="80"/>
      <c r="AE356" s="80"/>
      <c r="AF356" s="80"/>
    </row>
    <row r="357" spans="1:32">
      <c r="A357" s="779"/>
      <c r="B357" s="779"/>
      <c r="C357" s="779"/>
      <c r="D357" s="779"/>
      <c r="E357" s="779"/>
      <c r="F357" s="113"/>
      <c r="G357" s="113"/>
      <c r="H357" s="113"/>
      <c r="I357" s="113"/>
      <c r="J357" s="113"/>
      <c r="K357" s="113"/>
      <c r="L357" s="113"/>
      <c r="M357" s="113"/>
      <c r="N357" s="113"/>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761" t="s">
        <v>52</v>
      </c>
      <c r="C359" s="86" t="s">
        <v>43</v>
      </c>
      <c r="D359" s="761"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f t="shared" ref="B360:D362" si="16">B177</f>
        <v>60.475651189127973</v>
      </c>
      <c r="C360" s="104">
        <f t="shared" si="16"/>
        <v>1068</v>
      </c>
      <c r="D360" s="120">
        <f t="shared" si="16"/>
        <v>267</v>
      </c>
      <c r="E360" s="781"/>
      <c r="F360" s="781"/>
      <c r="G360" s="781"/>
      <c r="H360" s="781"/>
      <c r="I360" s="781"/>
      <c r="J360" s="781"/>
      <c r="K360" s="781"/>
      <c r="L360" s="781"/>
      <c r="M360" s="781"/>
      <c r="N360" s="781"/>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f t="shared" si="16"/>
        <v>18.120045300113251</v>
      </c>
      <c r="C361" s="628">
        <f t="shared" si="16"/>
        <v>320</v>
      </c>
      <c r="D361" s="122">
        <f t="shared" si="16"/>
        <v>80</v>
      </c>
      <c r="E361" s="114" t="s">
        <v>68</v>
      </c>
      <c r="F361" s="133">
        <f>F178</f>
        <v>46</v>
      </c>
      <c r="G361" s="101" t="s">
        <v>69</v>
      </c>
      <c r="H361" s="133">
        <f>H178</f>
        <v>57.5</v>
      </c>
      <c r="I361" s="286" t="s">
        <v>444</v>
      </c>
      <c r="J361" s="115" t="s">
        <v>70</v>
      </c>
      <c r="K361" s="133">
        <f>K178</f>
        <v>34</v>
      </c>
      <c r="L361" s="101" t="s">
        <v>69</v>
      </c>
      <c r="M361" s="134">
        <f>M178</f>
        <v>42.5</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f t="shared" si="16"/>
        <v>21.404303510758776</v>
      </c>
      <c r="C362" s="129">
        <f t="shared" si="16"/>
        <v>378</v>
      </c>
      <c r="D362" s="122">
        <f t="shared" si="16"/>
        <v>42</v>
      </c>
      <c r="E362" s="781"/>
      <c r="F362" s="781"/>
      <c r="G362" s="781"/>
      <c r="H362" s="781"/>
      <c r="I362" s="781"/>
      <c r="J362" s="781"/>
      <c r="K362" s="781"/>
      <c r="L362" s="781"/>
      <c r="M362" s="781"/>
      <c r="N362" s="781"/>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f>SUM(B360:B362)</f>
        <v>100</v>
      </c>
      <c r="C363" s="132">
        <f>SUM(C360:C362)</f>
        <v>1766</v>
      </c>
      <c r="D363" s="86"/>
      <c r="E363" s="781"/>
      <c r="F363" s="1206" t="str">
        <f>A181</f>
        <v>GRAMOS PROT/KG P.I</v>
      </c>
      <c r="G363" s="1206"/>
      <c r="H363" s="1206"/>
      <c r="I363" s="1206"/>
      <c r="J363" s="168">
        <f>D181</f>
        <v>5.333333333333333</v>
      </c>
      <c r="K363" s="781" t="s">
        <v>69</v>
      </c>
      <c r="L363" s="781"/>
      <c r="M363" s="781"/>
      <c r="N363" s="781"/>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781"/>
      <c r="F364" s="781"/>
      <c r="G364" s="781"/>
      <c r="H364" s="781"/>
      <c r="I364" s="781"/>
      <c r="J364" s="781"/>
      <c r="K364" s="781"/>
      <c r="L364" s="781"/>
      <c r="M364" s="781"/>
      <c r="N364" s="781"/>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NTTA DTTA VICTOR HUGO HERNANDEZ MARTINEZ</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761"/>
      <c r="B370" s="761"/>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773"/>
      <c r="X371" s="773"/>
      <c r="Y371" s="773"/>
      <c r="Z371" s="773"/>
      <c r="AA371" s="773"/>
      <c r="AB371" s="773"/>
      <c r="AC371" s="773"/>
      <c r="AD371" s="773"/>
      <c r="AE371" s="773"/>
      <c r="AF371" s="773"/>
      <c r="AG371" s="773"/>
      <c r="AH371" s="773"/>
      <c r="AI371" s="773"/>
      <c r="AJ371" s="773"/>
      <c r="AK371" s="773"/>
      <c r="AL371" s="773"/>
      <c r="AM371" s="773"/>
      <c r="AN371" s="773"/>
      <c r="AO371" s="773"/>
      <c r="AP371" s="773"/>
      <c r="AQ371" s="773"/>
      <c r="AR371" s="773"/>
      <c r="AS371" s="773"/>
      <c r="AT371" s="773"/>
      <c r="AU371" s="773"/>
      <c r="AV371" s="773"/>
      <c r="AW371" s="773"/>
      <c r="AX371" s="773"/>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773"/>
      <c r="X372" s="773"/>
      <c r="Y372" s="773"/>
      <c r="Z372" s="773"/>
      <c r="AA372" s="773"/>
      <c r="AB372" s="773"/>
      <c r="AC372" s="773"/>
      <c r="AD372" s="773"/>
      <c r="AE372" s="773"/>
      <c r="AF372" s="773"/>
      <c r="AG372" s="773"/>
      <c r="AH372" s="773"/>
      <c r="AI372" s="773"/>
      <c r="AJ372" s="773"/>
      <c r="AK372" s="773"/>
      <c r="AL372" s="773"/>
      <c r="AM372" s="773"/>
      <c r="AN372" s="773"/>
      <c r="AO372" s="773"/>
      <c r="AP372" s="773"/>
      <c r="AQ372" s="773"/>
      <c r="AR372" s="773"/>
      <c r="AS372" s="773"/>
      <c r="AT372" s="773"/>
      <c r="AU372" s="773"/>
      <c r="AV372" s="773"/>
      <c r="AW372" s="773"/>
      <c r="AX372" s="773"/>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773"/>
      <c r="X373" s="773"/>
      <c r="Y373" s="773"/>
      <c r="Z373" s="773"/>
      <c r="AA373" s="773"/>
      <c r="AB373" s="773"/>
      <c r="AC373" s="773"/>
      <c r="AD373" s="773"/>
      <c r="AE373" s="773"/>
      <c r="AF373" s="773"/>
      <c r="AG373" s="773"/>
      <c r="AH373" s="773"/>
      <c r="AI373" s="773"/>
      <c r="AJ373" s="773"/>
      <c r="AK373" s="773"/>
      <c r="AL373" s="773"/>
      <c r="AM373" s="773"/>
      <c r="AN373" s="773"/>
      <c r="AO373" s="773"/>
      <c r="AP373" s="773"/>
      <c r="AQ373" s="773"/>
      <c r="AR373" s="773"/>
      <c r="AS373" s="773"/>
      <c r="AT373" s="773"/>
      <c r="AU373" s="773"/>
      <c r="AV373" s="773"/>
      <c r="AW373" s="773"/>
      <c r="AX373" s="773"/>
    </row>
    <row r="374" spans="1:50">
      <c r="A374" s="86" t="s">
        <v>2</v>
      </c>
      <c r="B374" s="1209">
        <f>B4</f>
        <v>0</v>
      </c>
      <c r="C374" s="1209"/>
      <c r="D374" s="1209"/>
      <c r="E374" s="1209"/>
      <c r="F374" s="1209"/>
      <c r="G374" s="1209"/>
      <c r="H374" s="1209"/>
      <c r="I374" s="1209"/>
      <c r="J374" s="221"/>
      <c r="K374" s="221" t="s">
        <v>291</v>
      </c>
      <c r="L374" s="1210">
        <f>M4</f>
        <v>0</v>
      </c>
      <c r="M374" s="1210"/>
      <c r="N374" s="1210"/>
      <c r="O374" s="280"/>
      <c r="P374" s="280"/>
      <c r="Q374" s="280"/>
      <c r="R374" s="280"/>
      <c r="S374" s="280"/>
      <c r="T374" s="280"/>
      <c r="U374" s="280"/>
      <c r="V374" s="280"/>
      <c r="W374" s="773"/>
      <c r="X374" s="773"/>
      <c r="Y374" s="773"/>
      <c r="Z374" s="773"/>
      <c r="AA374" s="773"/>
      <c r="AB374" s="773"/>
      <c r="AC374" s="773"/>
      <c r="AD374" s="773"/>
      <c r="AE374" s="773"/>
      <c r="AF374" s="773"/>
      <c r="AG374" s="773"/>
      <c r="AH374" s="773"/>
      <c r="AI374" s="773"/>
      <c r="AJ374" s="773"/>
      <c r="AK374" s="773"/>
      <c r="AL374" s="773"/>
      <c r="AM374" s="773"/>
      <c r="AN374" s="773"/>
      <c r="AO374" s="773"/>
      <c r="AP374" s="773"/>
      <c r="AQ374" s="773"/>
      <c r="AR374" s="773"/>
      <c r="AS374" s="773"/>
      <c r="AT374" s="773"/>
      <c r="AU374" s="773"/>
      <c r="AV374" s="773"/>
      <c r="AW374" s="773"/>
      <c r="AX374" s="773"/>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773"/>
      <c r="X375" s="773"/>
      <c r="Y375" s="773"/>
      <c r="Z375" s="773"/>
      <c r="AA375" s="773"/>
      <c r="AB375" s="773"/>
      <c r="AC375" s="773"/>
      <c r="AD375" s="773"/>
      <c r="AE375" s="773"/>
      <c r="AF375" s="773"/>
      <c r="AG375" s="773"/>
      <c r="AH375" s="773"/>
      <c r="AI375" s="773"/>
      <c r="AJ375" s="773"/>
      <c r="AK375" s="773"/>
      <c r="AL375" s="773"/>
      <c r="AM375" s="773"/>
      <c r="AN375" s="773"/>
      <c r="AO375" s="773"/>
      <c r="AP375" s="773"/>
      <c r="AQ375" s="773"/>
      <c r="AR375" s="773"/>
      <c r="AS375" s="773"/>
      <c r="AT375" s="773"/>
      <c r="AU375" s="773"/>
      <c r="AV375" s="773"/>
      <c r="AW375" s="773"/>
      <c r="AX375" s="773"/>
    </row>
    <row r="376" spans="1:50">
      <c r="A376" s="238" t="s">
        <v>4</v>
      </c>
      <c r="B376" s="267">
        <v>7.916666666666667</v>
      </c>
      <c r="C376" s="264"/>
      <c r="D376" s="264"/>
      <c r="E376" s="264"/>
      <c r="F376" s="264"/>
      <c r="G376" s="264"/>
      <c r="H376" s="238"/>
      <c r="I376" s="238"/>
      <c r="J376" s="238"/>
      <c r="K376" s="773"/>
      <c r="L376" s="773"/>
      <c r="M376" s="773"/>
      <c r="N376" s="773"/>
      <c r="O376" s="280"/>
      <c r="P376" s="280"/>
      <c r="Q376" s="280"/>
      <c r="R376" s="280"/>
      <c r="S376" s="280"/>
      <c r="T376" s="280"/>
      <c r="U376" s="280"/>
      <c r="V376" s="280"/>
      <c r="W376" s="773"/>
      <c r="X376" s="773"/>
      <c r="Y376" s="773"/>
      <c r="Z376" s="773"/>
      <c r="AA376" s="773"/>
      <c r="AB376" s="773"/>
      <c r="AC376" s="773"/>
      <c r="AD376" s="773"/>
      <c r="AE376" s="773"/>
      <c r="AF376" s="773"/>
      <c r="AG376" s="773"/>
      <c r="AH376" s="773"/>
      <c r="AI376" s="773"/>
      <c r="AJ376" s="773"/>
      <c r="AK376" s="773"/>
      <c r="AL376" s="773"/>
      <c r="AM376" s="773"/>
      <c r="AN376" s="773"/>
      <c r="AO376" s="773"/>
      <c r="AP376" s="773"/>
      <c r="AQ376" s="773"/>
      <c r="AR376" s="773"/>
      <c r="AS376" s="773"/>
      <c r="AT376" s="773"/>
      <c r="AU376" s="773"/>
      <c r="AV376" s="773"/>
      <c r="AW376" s="773"/>
      <c r="AX376" s="773"/>
    </row>
    <row r="377" spans="1:50">
      <c r="A377" s="238" t="s">
        <v>430</v>
      </c>
      <c r="B377" s="264">
        <f>D12</f>
        <v>6.5</v>
      </c>
      <c r="C377" s="264">
        <v>17.7</v>
      </c>
      <c r="D377" s="264"/>
      <c r="E377" s="264"/>
      <c r="F377" s="264"/>
      <c r="G377" s="264"/>
      <c r="H377" s="238"/>
      <c r="I377" s="238"/>
      <c r="J377" s="238"/>
      <c r="K377" s="773"/>
      <c r="L377" s="773"/>
      <c r="M377" s="773"/>
      <c r="N377" s="773"/>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74</v>
      </c>
      <c r="C378" s="264">
        <v>117</v>
      </c>
      <c r="D378" s="264"/>
      <c r="E378" s="264"/>
      <c r="F378" s="264"/>
      <c r="G378" s="264"/>
      <c r="H378" s="238"/>
      <c r="I378" s="238"/>
      <c r="J378" s="238"/>
      <c r="K378" s="773"/>
      <c r="L378" s="773"/>
      <c r="M378" s="773"/>
      <c r="N378" s="773"/>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1.1869978086194303E-3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773"/>
      <c r="L379" s="773"/>
      <c r="M379" s="773"/>
      <c r="N379" s="773"/>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1"/>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1"/>
      <c r="P387" s="215"/>
      <c r="Q387" s="215"/>
      <c r="R387" s="215"/>
      <c r="S387" s="215"/>
      <c r="T387" s="215"/>
      <c r="U387" s="215"/>
      <c r="V387" s="215"/>
      <c r="W387" s="80"/>
      <c r="X387" s="80"/>
      <c r="Y387" s="80"/>
      <c r="Z387" s="80"/>
      <c r="AA387" s="80"/>
      <c r="AB387" s="80"/>
      <c r="AC387" s="80"/>
      <c r="AD387" s="80"/>
      <c r="AE387" s="80"/>
      <c r="AF387" s="80"/>
    </row>
    <row r="388" spans="1:32">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ht="15" customHeight="1">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82"/>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82"/>
      <c r="P393" s="215"/>
      <c r="Q393" s="215"/>
      <c r="R393" s="215"/>
      <c r="S393" s="215"/>
      <c r="T393" s="215"/>
      <c r="U393" s="215"/>
      <c r="V393" s="215"/>
      <c r="W393" s="80"/>
      <c r="X393" s="80"/>
      <c r="Y393" s="80"/>
      <c r="Z393" s="80"/>
      <c r="AA393" s="80"/>
      <c r="AB393" s="80"/>
      <c r="AC393" s="80"/>
      <c r="AD393" s="80"/>
      <c r="AE393" s="80"/>
      <c r="AF393" s="80"/>
    </row>
    <row r="394" spans="1:32">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ht="15" customHeight="1">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86"/>
      <c r="B415" s="86"/>
      <c r="C415" s="86"/>
      <c r="D415" s="86"/>
      <c r="E415" s="86"/>
      <c r="F415" s="86"/>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6"/>
      <c r="B416" s="86"/>
      <c r="C416" s="86"/>
      <c r="D416" s="86"/>
      <c r="E416" s="86"/>
      <c r="F416" s="86"/>
      <c r="G416" s="86"/>
      <c r="H416" s="86"/>
      <c r="I416" s="86"/>
      <c r="J416" s="86"/>
      <c r="K416" s="86"/>
      <c r="L416" s="86"/>
      <c r="M416" s="86"/>
      <c r="N416" s="86"/>
      <c r="O416" s="215"/>
      <c r="P416" s="215"/>
      <c r="Q416" s="215"/>
      <c r="R416" s="215"/>
      <c r="S416" s="215"/>
      <c r="T416" s="215"/>
      <c r="U416" s="215"/>
      <c r="V416" s="215"/>
      <c r="W416" s="80"/>
      <c r="X416" s="80"/>
      <c r="Y416" s="80"/>
      <c r="Z416" s="80"/>
      <c r="AA416" s="80"/>
      <c r="AB416" s="80"/>
      <c r="AC416" s="80"/>
      <c r="AD416" s="80"/>
      <c r="AE416" s="80"/>
      <c r="AF416" s="80"/>
    </row>
    <row r="417" spans="1:32">
      <c r="A417" s="1047" t="s">
        <v>404</v>
      </c>
      <c r="B417" s="1047"/>
      <c r="C417" s="1047"/>
      <c r="D417" s="1047"/>
      <c r="E417" s="1047"/>
      <c r="F417" s="86" t="str">
        <f>C43</f>
        <v>NTTA DTTA VICTOR HUGO HERNANDEZ MARTINEZ</v>
      </c>
      <c r="G417" s="86"/>
      <c r="H417" s="86"/>
      <c r="I417" s="86"/>
      <c r="J417" s="86"/>
      <c r="K417" s="86"/>
      <c r="L417" s="86"/>
      <c r="M417" s="86"/>
      <c r="N417" s="86"/>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85"/>
      <c r="B445" s="85"/>
      <c r="C445" s="85"/>
      <c r="D445" s="85"/>
      <c r="E445" s="85"/>
      <c r="F445" s="85"/>
      <c r="G445" s="85"/>
      <c r="H445" s="85"/>
      <c r="I445" s="85"/>
      <c r="J445" s="85"/>
      <c r="K445" s="85"/>
      <c r="L445" s="85"/>
      <c r="M445" s="85"/>
      <c r="N445" s="85"/>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85"/>
      <c r="G446" s="85"/>
      <c r="H446" s="85"/>
      <c r="I446" s="85"/>
      <c r="J446" s="85"/>
      <c r="K446" s="85"/>
      <c r="L446" s="85"/>
      <c r="M446" s="85"/>
      <c r="N446" s="85"/>
      <c r="O446" s="215"/>
      <c r="P446" s="215"/>
      <c r="Q446" s="215"/>
      <c r="R446" s="215"/>
      <c r="S446" s="215"/>
      <c r="T446" s="215"/>
      <c r="U446" s="215"/>
      <c r="V446" s="215"/>
      <c r="W446" s="80"/>
      <c r="X446" s="80"/>
      <c r="Y446" s="80"/>
      <c r="Z446" s="80"/>
      <c r="AA446" s="80"/>
      <c r="AB446" s="80"/>
      <c r="AC446" s="80"/>
      <c r="AD446" s="80"/>
      <c r="AE446" s="80"/>
      <c r="AF446" s="80"/>
    </row>
    <row r="447" spans="1:32">
      <c r="A447" s="1207"/>
      <c r="B447" s="1207"/>
      <c r="C447" s="1207"/>
      <c r="D447" s="1207"/>
      <c r="E447" s="1207"/>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1208"/>
      <c r="G451" s="1208"/>
      <c r="H451" s="1208"/>
      <c r="I451" s="1208"/>
      <c r="J451" s="1208"/>
      <c r="K451" s="1208"/>
      <c r="L451" s="1208"/>
      <c r="M451" s="1208"/>
      <c r="N451" s="1208"/>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1208"/>
      <c r="G452" s="1208"/>
      <c r="H452" s="1208"/>
      <c r="I452" s="1208"/>
      <c r="J452" s="1208"/>
      <c r="K452" s="1208"/>
      <c r="L452" s="1208"/>
      <c r="M452" s="1208"/>
      <c r="N452" s="1208"/>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A468" s="85"/>
      <c r="B468" s="85"/>
      <c r="C468" s="85"/>
      <c r="D468" s="85"/>
      <c r="E468" s="85"/>
      <c r="F468" s="85"/>
      <c r="G468" s="85"/>
      <c r="H468" s="85"/>
      <c r="I468" s="85"/>
      <c r="J468" s="85"/>
      <c r="K468" s="85"/>
      <c r="L468" s="85"/>
      <c r="M468" s="85"/>
      <c r="N468" s="85"/>
      <c r="O468" s="215"/>
      <c r="P468" s="215"/>
      <c r="Q468" s="215"/>
      <c r="R468" s="215"/>
      <c r="S468" s="215"/>
      <c r="T468" s="215"/>
      <c r="U468" s="215"/>
      <c r="V468" s="215"/>
      <c r="W468" s="80"/>
      <c r="X468" s="80"/>
      <c r="Y468" s="80"/>
      <c r="Z468" s="80"/>
      <c r="AA468" s="80"/>
      <c r="AB468" s="80"/>
      <c r="AC468" s="80"/>
      <c r="AD468" s="80"/>
      <c r="AE468" s="80"/>
      <c r="AF468" s="80"/>
    </row>
    <row r="469" spans="1:32">
      <c r="A469" s="85"/>
      <c r="B469" s="85"/>
      <c r="C469" s="85"/>
      <c r="D469" s="85"/>
      <c r="E469" s="85"/>
      <c r="F469" s="85"/>
      <c r="G469" s="85"/>
      <c r="H469" s="85"/>
      <c r="I469" s="85"/>
      <c r="J469" s="85"/>
      <c r="K469" s="85"/>
      <c r="L469" s="85"/>
      <c r="M469" s="85"/>
      <c r="N469" s="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6" t="s">
        <v>171</v>
      </c>
      <c r="B471" s="986"/>
      <c r="C471" s="986"/>
      <c r="D471" s="986"/>
      <c r="E471" s="985" t="s">
        <v>172</v>
      </c>
      <c r="F471" s="985"/>
      <c r="G471" s="985"/>
      <c r="H471" s="985"/>
      <c r="I471" s="985"/>
      <c r="J471" s="985"/>
      <c r="K471" s="985"/>
      <c r="L471" s="985"/>
      <c r="M471" s="985"/>
      <c r="N471" s="985"/>
      <c r="O471" s="215"/>
      <c r="P471" s="215"/>
      <c r="Q471" s="215"/>
      <c r="R471" s="215"/>
      <c r="S471" s="215"/>
      <c r="T471" s="215"/>
      <c r="U471" s="215"/>
      <c r="V471" s="215"/>
      <c r="W471" s="80"/>
      <c r="X471" s="80"/>
      <c r="Y471" s="80"/>
      <c r="Z471" s="80"/>
      <c r="AA471" s="80"/>
      <c r="AB471" s="80"/>
      <c r="AC471" s="80"/>
      <c r="AD471" s="80"/>
      <c r="AE471" s="80"/>
      <c r="AF471" s="80"/>
    </row>
    <row r="472" spans="1:32">
      <c r="O472" s="215"/>
      <c r="P472" s="215"/>
      <c r="Q472" s="215"/>
      <c r="R472" s="215"/>
      <c r="S472" s="215"/>
      <c r="T472" s="215"/>
      <c r="U472" s="215"/>
      <c r="V472" s="215"/>
      <c r="W472" s="80"/>
      <c r="X472" s="80"/>
      <c r="Y472" s="80"/>
      <c r="Z472" s="80"/>
      <c r="AA472" s="80"/>
      <c r="AB472" s="80"/>
      <c r="AC472" s="80"/>
      <c r="AD472" s="80"/>
      <c r="AE472" s="80"/>
      <c r="AF472" s="80"/>
    </row>
    <row r="473" spans="1:32">
      <c r="A473" s="981" t="s">
        <v>173</v>
      </c>
      <c r="B473" s="981"/>
      <c r="C473" s="981"/>
      <c r="D473" s="981"/>
      <c r="E473" s="1026" t="s">
        <v>174</v>
      </c>
      <c r="F473" s="1026"/>
      <c r="G473" s="1026"/>
      <c r="H473" s="1026"/>
      <c r="I473" s="1026"/>
      <c r="J473" s="1026"/>
      <c r="K473" s="1026"/>
      <c r="L473" s="1026"/>
      <c r="M473" s="1026"/>
      <c r="N473" s="1026"/>
      <c r="O473" s="215"/>
      <c r="P473" s="215"/>
      <c r="Q473" s="215"/>
      <c r="R473" s="215"/>
      <c r="S473" s="215"/>
      <c r="T473" s="215"/>
      <c r="U473" s="215"/>
      <c r="V473" s="215"/>
      <c r="W473" s="80"/>
      <c r="X473" s="80"/>
      <c r="Y473" s="80"/>
      <c r="Z473" s="80"/>
      <c r="AA473" s="80"/>
      <c r="AB473" s="80"/>
      <c r="AC473" s="80"/>
      <c r="AD473" s="80"/>
      <c r="AE473" s="80"/>
      <c r="AF473" s="80"/>
    </row>
    <row r="474" spans="1:32">
      <c r="E474" s="1026"/>
      <c r="F474" s="1026"/>
      <c r="G474" s="1026"/>
      <c r="H474" s="1026"/>
      <c r="I474" s="1026"/>
      <c r="J474" s="1026"/>
      <c r="K474" s="1026"/>
      <c r="L474" s="1026"/>
      <c r="M474" s="1026"/>
      <c r="N474" s="1026"/>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6" t="s">
        <v>175</v>
      </c>
      <c r="B476" s="996"/>
      <c r="C476" s="996"/>
      <c r="D476" s="996"/>
      <c r="E476" s="997" t="s">
        <v>176</v>
      </c>
      <c r="F476" s="997"/>
      <c r="G476" s="997"/>
      <c r="H476" s="997"/>
      <c r="I476" s="997"/>
      <c r="J476" s="997"/>
      <c r="K476" s="997"/>
      <c r="L476" s="997"/>
      <c r="M476" s="997"/>
      <c r="N476" s="997"/>
      <c r="O476" s="215"/>
      <c r="P476" s="215"/>
      <c r="Q476" s="215"/>
      <c r="R476" s="215"/>
      <c r="S476" s="215"/>
      <c r="T476" s="215"/>
      <c r="U476" s="215"/>
      <c r="V476" s="215"/>
      <c r="W476" s="80"/>
      <c r="X476" s="80"/>
      <c r="Y476" s="80"/>
      <c r="Z476" s="80"/>
      <c r="AA476" s="80"/>
      <c r="AB476" s="80"/>
      <c r="AC476" s="80"/>
      <c r="AD476" s="80"/>
      <c r="AE476" s="80"/>
      <c r="AF476" s="80"/>
    </row>
    <row r="477" spans="1:32">
      <c r="O477" s="215"/>
      <c r="P477" s="215"/>
      <c r="Q477" s="215"/>
      <c r="R477" s="215"/>
      <c r="S477" s="215"/>
      <c r="T477" s="215"/>
      <c r="U477" s="215"/>
      <c r="V477" s="215"/>
      <c r="W477" s="80"/>
      <c r="X477" s="80"/>
      <c r="Y477" s="80"/>
      <c r="Z477" s="80"/>
      <c r="AA477" s="80"/>
      <c r="AB477" s="80"/>
      <c r="AC477" s="80"/>
      <c r="AD477" s="80"/>
      <c r="AE477" s="80"/>
      <c r="AF477" s="80"/>
    </row>
    <row r="478" spans="1:32">
      <c r="A478" s="995" t="s">
        <v>177</v>
      </c>
      <c r="B478" s="995"/>
      <c r="C478" s="995"/>
      <c r="D478" s="995"/>
      <c r="E478" s="992" t="s">
        <v>178</v>
      </c>
      <c r="F478" s="992"/>
      <c r="G478" s="992"/>
      <c r="H478" s="992"/>
      <c r="I478" s="992"/>
      <c r="J478" s="992"/>
      <c r="K478" s="992"/>
      <c r="L478" s="992"/>
      <c r="M478" s="992"/>
      <c r="N478" s="992"/>
      <c r="O478" s="215"/>
      <c r="P478" s="215"/>
      <c r="Q478" s="215"/>
      <c r="R478" s="215"/>
      <c r="S478" s="215"/>
      <c r="T478" s="215"/>
      <c r="U478" s="215"/>
      <c r="V478" s="215"/>
      <c r="W478" s="80"/>
      <c r="X478" s="80"/>
      <c r="Y478" s="80"/>
      <c r="Z478" s="80"/>
      <c r="AA478" s="80"/>
      <c r="AB478" s="80"/>
      <c r="AC478" s="80"/>
      <c r="AD478" s="80"/>
      <c r="AE478" s="80"/>
      <c r="AF478" s="80"/>
    </row>
    <row r="479" spans="1:32">
      <c r="E479" s="992"/>
      <c r="F479" s="992"/>
      <c r="G479" s="992"/>
      <c r="H479" s="992"/>
      <c r="I479" s="992"/>
      <c r="J479" s="992"/>
      <c r="K479" s="992"/>
      <c r="L479" s="992"/>
      <c r="M479" s="992"/>
      <c r="N479" s="992"/>
      <c r="O479" s="215"/>
      <c r="P479" s="215"/>
      <c r="Q479" s="215"/>
      <c r="R479" s="215"/>
      <c r="S479" s="215"/>
      <c r="T479" s="215"/>
      <c r="U479" s="215"/>
      <c r="V479" s="215"/>
      <c r="W479" s="80"/>
      <c r="X479" s="80"/>
      <c r="Y479" s="80"/>
      <c r="Z479" s="80"/>
      <c r="AA479" s="80"/>
      <c r="AB479" s="80"/>
      <c r="AC479" s="80"/>
      <c r="AD479" s="80"/>
      <c r="AE479" s="80"/>
      <c r="AF479" s="80"/>
    </row>
    <row r="480" spans="1:32">
      <c r="O480" s="215"/>
      <c r="P480" s="215"/>
      <c r="Q480" s="215"/>
      <c r="R480" s="215"/>
      <c r="S480" s="215"/>
      <c r="T480" s="215"/>
      <c r="U480" s="215"/>
      <c r="V480" s="215"/>
      <c r="W480" s="80"/>
      <c r="X480" s="80"/>
      <c r="Y480" s="80"/>
      <c r="Z480" s="80"/>
      <c r="AA480" s="80"/>
      <c r="AB480" s="80"/>
      <c r="AC480" s="80"/>
      <c r="AD480" s="80"/>
      <c r="AE480" s="80"/>
      <c r="AF480" s="80"/>
    </row>
    <row r="481" spans="1:32">
      <c r="A481" s="981" t="s">
        <v>179</v>
      </c>
      <c r="B481" s="981"/>
      <c r="C481" s="981"/>
      <c r="D481" s="981"/>
      <c r="E481" s="998" t="s">
        <v>180</v>
      </c>
      <c r="F481" s="998"/>
      <c r="G481" s="998"/>
      <c r="H481" s="998"/>
      <c r="I481" s="998"/>
      <c r="J481" s="998"/>
      <c r="K481" s="998"/>
      <c r="L481" s="998"/>
      <c r="M481" s="998"/>
      <c r="N481" s="998"/>
      <c r="O481" s="215"/>
      <c r="P481" s="215"/>
      <c r="Q481" s="215"/>
      <c r="R481" s="215"/>
      <c r="S481" s="215"/>
      <c r="T481" s="215"/>
      <c r="U481" s="215"/>
      <c r="V481" s="215"/>
      <c r="W481" s="80"/>
      <c r="X481" s="80"/>
      <c r="Y481" s="80"/>
      <c r="Z481" s="80"/>
      <c r="AA481" s="80"/>
      <c r="AB481" s="80"/>
      <c r="AC481" s="80"/>
      <c r="AD481" s="80"/>
      <c r="AE481" s="80"/>
      <c r="AF481" s="80"/>
    </row>
    <row r="482" spans="1:32">
      <c r="E482" s="998"/>
      <c r="F482" s="998"/>
      <c r="G482" s="998"/>
      <c r="H482" s="998"/>
      <c r="I482" s="998"/>
      <c r="J482" s="998"/>
      <c r="K482" s="998"/>
      <c r="L482" s="998"/>
      <c r="M482" s="998"/>
      <c r="N482" s="998"/>
      <c r="O482" s="215"/>
      <c r="P482" s="215"/>
      <c r="Q482" s="215"/>
      <c r="R482" s="215"/>
      <c r="S482" s="215"/>
      <c r="T482" s="215"/>
      <c r="U482" s="215"/>
      <c r="V482" s="215"/>
      <c r="W482" s="80"/>
      <c r="X482" s="80"/>
      <c r="Y482" s="80"/>
      <c r="Z482" s="80"/>
      <c r="AA482" s="80"/>
      <c r="AB482" s="80"/>
      <c r="AC482" s="80"/>
      <c r="AD482" s="80"/>
      <c r="AE482" s="80"/>
      <c r="AF482" s="80"/>
    </row>
    <row r="483" spans="1:32">
      <c r="O483" s="215"/>
      <c r="P483" s="215"/>
      <c r="Q483" s="215"/>
      <c r="R483" s="215"/>
      <c r="S483" s="215"/>
      <c r="T483" s="215"/>
      <c r="U483" s="215"/>
      <c r="V483" s="215"/>
      <c r="W483" s="80"/>
      <c r="X483" s="80"/>
      <c r="Y483" s="80"/>
      <c r="Z483" s="80"/>
      <c r="AA483" s="80"/>
      <c r="AB483" s="80"/>
      <c r="AC483" s="80"/>
      <c r="AD483" s="80"/>
      <c r="AE483" s="80"/>
      <c r="AF483" s="80"/>
    </row>
    <row r="484" spans="1:32">
      <c r="A484" s="981" t="s">
        <v>181</v>
      </c>
      <c r="B484" s="981"/>
      <c r="C484" s="981"/>
      <c r="D484" s="981"/>
      <c r="E484" s="992" t="s">
        <v>182</v>
      </c>
      <c r="F484" s="992"/>
      <c r="G484" s="992"/>
      <c r="H484" s="992"/>
      <c r="I484" s="992"/>
      <c r="J484" s="992"/>
      <c r="K484" s="992"/>
      <c r="L484" s="992"/>
      <c r="M484" s="992"/>
      <c r="N484" s="992"/>
      <c r="O484" s="215"/>
      <c r="P484" s="215"/>
      <c r="Q484" s="215"/>
      <c r="R484" s="215"/>
      <c r="S484" s="215"/>
      <c r="T484" s="215"/>
      <c r="U484" s="215"/>
      <c r="V484" s="215"/>
      <c r="W484" s="80"/>
      <c r="X484" s="80"/>
      <c r="Y484" s="80"/>
      <c r="Z484" s="80"/>
      <c r="AA484" s="80"/>
      <c r="AB484" s="80"/>
      <c r="AC484" s="80"/>
      <c r="AD484" s="80"/>
      <c r="AE484" s="80"/>
      <c r="AF484" s="80"/>
    </row>
    <row r="485" spans="1:32">
      <c r="E485" s="992"/>
      <c r="F485" s="992"/>
      <c r="G485" s="992"/>
      <c r="H485" s="992"/>
      <c r="I485" s="992"/>
      <c r="J485" s="992"/>
      <c r="K485" s="992"/>
      <c r="L485" s="992"/>
      <c r="M485" s="992"/>
      <c r="N485" s="992"/>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4" t="s">
        <v>20</v>
      </c>
      <c r="B487" s="994"/>
      <c r="C487" s="994"/>
      <c r="D487" s="994"/>
      <c r="O487" s="215"/>
      <c r="P487" s="215"/>
      <c r="Q487" s="215"/>
      <c r="R487" s="215"/>
      <c r="S487" s="215"/>
      <c r="T487" s="215"/>
      <c r="U487" s="215"/>
      <c r="V487" s="215"/>
      <c r="W487" s="80"/>
      <c r="X487" s="80"/>
      <c r="Y487" s="80"/>
      <c r="Z487" s="80"/>
      <c r="AA487" s="80"/>
      <c r="AB487" s="80"/>
      <c r="AC487" s="80"/>
      <c r="AD487" s="80"/>
      <c r="AE487" s="80"/>
      <c r="AF487" s="80"/>
    </row>
    <row r="488" spans="1:32">
      <c r="O488" s="215"/>
      <c r="P488" s="215"/>
      <c r="Q488" s="215"/>
      <c r="R488" s="215"/>
      <c r="S488" s="215"/>
      <c r="T488" s="215"/>
      <c r="U488" s="215"/>
      <c r="V488" s="215"/>
      <c r="W488" s="80"/>
      <c r="X488" s="80"/>
      <c r="Y488" s="80"/>
      <c r="Z488" s="80"/>
      <c r="AA488" s="80"/>
      <c r="AB488" s="80"/>
      <c r="AC488" s="80"/>
      <c r="AD488" s="80"/>
      <c r="AE488" s="80"/>
      <c r="AF488" s="80"/>
    </row>
    <row r="489" spans="1:32">
      <c r="A489" s="995" t="s">
        <v>183</v>
      </c>
      <c r="B489" s="995"/>
      <c r="C489" s="995"/>
      <c r="D489" s="995"/>
      <c r="E489" s="985" t="s">
        <v>184</v>
      </c>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E493" s="985"/>
      <c r="F493" s="985"/>
      <c r="G493" s="985"/>
      <c r="H493" s="985"/>
      <c r="I493" s="985"/>
      <c r="J493" s="985"/>
      <c r="K493" s="985"/>
      <c r="L493" s="985"/>
      <c r="M493" s="985"/>
      <c r="N493" s="985"/>
      <c r="O493" s="215"/>
      <c r="P493" s="215"/>
      <c r="Q493" s="215"/>
      <c r="R493" s="215"/>
      <c r="S493" s="215"/>
      <c r="T493" s="215"/>
      <c r="U493" s="215"/>
      <c r="V493" s="215"/>
      <c r="W493" s="80"/>
      <c r="X493" s="80"/>
      <c r="Y493" s="80"/>
      <c r="Z493" s="80"/>
      <c r="AA493" s="80"/>
      <c r="AB493" s="80"/>
      <c r="AC493" s="80"/>
      <c r="AD493" s="80"/>
      <c r="AE493" s="80"/>
      <c r="AF493" s="80"/>
    </row>
    <row r="494" spans="1:32">
      <c r="E494" s="985"/>
      <c r="F494" s="985"/>
      <c r="G494" s="985"/>
      <c r="H494" s="985"/>
      <c r="I494" s="985"/>
      <c r="J494" s="985"/>
      <c r="K494" s="985"/>
      <c r="L494" s="985"/>
      <c r="M494" s="985"/>
      <c r="N494" s="985"/>
      <c r="O494" s="215"/>
      <c r="P494" s="215"/>
      <c r="Q494" s="215"/>
      <c r="R494" s="215"/>
      <c r="S494" s="215"/>
      <c r="T494" s="215"/>
      <c r="U494" s="215"/>
      <c r="V494" s="215"/>
      <c r="W494" s="80"/>
      <c r="X494" s="80"/>
      <c r="Y494" s="80"/>
      <c r="Z494" s="80"/>
      <c r="AA494" s="80"/>
      <c r="AB494" s="80"/>
      <c r="AC494" s="80"/>
      <c r="AD494" s="80"/>
      <c r="AE494" s="80"/>
      <c r="AF494" s="80"/>
    </row>
    <row r="495" spans="1:32">
      <c r="O495" s="215"/>
      <c r="P495" s="215"/>
      <c r="Q495" s="215"/>
      <c r="R495" s="215"/>
      <c r="S495" s="215"/>
      <c r="T495" s="215"/>
      <c r="U495" s="215"/>
      <c r="V495" s="215"/>
      <c r="W495" s="80"/>
      <c r="X495" s="80"/>
      <c r="Y495" s="80"/>
      <c r="Z495" s="80"/>
      <c r="AA495" s="80"/>
      <c r="AB495" s="80"/>
      <c r="AC495" s="80"/>
      <c r="AD495" s="80"/>
      <c r="AE495" s="80"/>
      <c r="AF495" s="80"/>
    </row>
    <row r="496" spans="1:32">
      <c r="O496" s="215"/>
      <c r="P496" s="215"/>
      <c r="Q496" s="215"/>
      <c r="R496" s="215"/>
      <c r="S496" s="215"/>
      <c r="T496" s="215"/>
      <c r="U496" s="215"/>
      <c r="V496" s="215"/>
      <c r="W496" s="80"/>
      <c r="X496" s="80"/>
      <c r="Y496" s="80"/>
      <c r="Z496" s="80"/>
      <c r="AA496" s="80"/>
      <c r="AB496" s="80"/>
      <c r="AC496" s="80"/>
      <c r="AD496" s="80"/>
      <c r="AE496" s="80"/>
      <c r="AF496" s="80"/>
    </row>
    <row r="497" spans="1:32">
      <c r="A497" s="995" t="s">
        <v>185</v>
      </c>
      <c r="B497" s="995"/>
      <c r="C497" s="995"/>
      <c r="D497" s="995"/>
      <c r="E497" s="992" t="s">
        <v>186</v>
      </c>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c r="E503" s="992"/>
      <c r="F503" s="992"/>
      <c r="G503" s="992"/>
      <c r="H503" s="992"/>
      <c r="I503" s="992"/>
      <c r="J503" s="992"/>
      <c r="K503" s="992"/>
      <c r="L503" s="992"/>
      <c r="M503" s="992"/>
      <c r="N503" s="992"/>
      <c r="O503" s="215"/>
      <c r="P503" s="215"/>
      <c r="Q503" s="215"/>
      <c r="R503" s="215"/>
      <c r="S503" s="215"/>
      <c r="T503" s="215"/>
      <c r="U503" s="215"/>
      <c r="V503" s="215"/>
      <c r="W503" s="80"/>
      <c r="X503" s="80"/>
      <c r="Y503" s="80"/>
      <c r="Z503" s="80"/>
      <c r="AA503" s="80"/>
      <c r="AB503" s="80"/>
      <c r="AC503" s="80"/>
      <c r="AD503" s="80"/>
      <c r="AE503" s="80"/>
      <c r="AF503" s="80"/>
    </row>
    <row r="504" spans="1:32">
      <c r="E504" s="992"/>
      <c r="F504" s="992"/>
      <c r="G504" s="992"/>
      <c r="H504" s="992"/>
      <c r="I504" s="992"/>
      <c r="J504" s="992"/>
      <c r="K504" s="992"/>
      <c r="L504" s="992"/>
      <c r="M504" s="992"/>
      <c r="N504" s="992"/>
      <c r="O504" s="215"/>
      <c r="P504" s="215"/>
      <c r="Q504" s="215"/>
      <c r="R504" s="215"/>
      <c r="S504" s="215"/>
      <c r="T504" s="215"/>
      <c r="U504" s="215"/>
      <c r="V504" s="215"/>
      <c r="W504" s="80"/>
      <c r="X504" s="80"/>
      <c r="Y504" s="80"/>
      <c r="Z504" s="80"/>
      <c r="AA504" s="80"/>
      <c r="AB504" s="80"/>
      <c r="AC504" s="80"/>
      <c r="AD504" s="80"/>
      <c r="AE504" s="80"/>
      <c r="AF504" s="80"/>
    </row>
    <row r="505" spans="1:32" ht="15.75" thickBot="1">
      <c r="O505" s="215"/>
      <c r="P505" s="215"/>
      <c r="Q505" s="215"/>
      <c r="R505" s="215"/>
      <c r="S505" s="215"/>
      <c r="T505" s="215"/>
      <c r="U505" s="215"/>
      <c r="V505" s="215"/>
      <c r="W505" s="80"/>
      <c r="X505" s="80"/>
      <c r="Y505" s="80"/>
      <c r="Z505" s="80"/>
      <c r="AA505" s="80"/>
      <c r="AB505" s="80"/>
      <c r="AC505" s="80"/>
      <c r="AD505" s="80"/>
      <c r="AE505" s="80"/>
      <c r="AF505" s="80"/>
    </row>
    <row r="506" spans="1:32" ht="15.75" thickBot="1">
      <c r="A506" s="986" t="s">
        <v>187</v>
      </c>
      <c r="B506" s="986"/>
      <c r="C506" s="986"/>
      <c r="D506" s="986"/>
      <c r="E506" s="990" t="s">
        <v>188</v>
      </c>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ht="15.75" thickBot="1">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ht="15.75" thickBot="1">
      <c r="E508" s="990"/>
      <c r="F508" s="990"/>
      <c r="G508" s="990"/>
      <c r="H508" s="990"/>
      <c r="I508" s="990"/>
      <c r="J508" s="990"/>
      <c r="K508" s="990"/>
      <c r="L508" s="990"/>
      <c r="M508" s="990"/>
      <c r="N508" s="990"/>
      <c r="O508" s="215"/>
      <c r="P508" s="215"/>
      <c r="Q508" s="215"/>
      <c r="R508" s="215"/>
      <c r="S508" s="215"/>
      <c r="T508" s="215"/>
      <c r="U508" s="215"/>
      <c r="V508" s="215"/>
      <c r="W508" s="80"/>
      <c r="X508" s="80"/>
      <c r="Y508" s="80"/>
      <c r="Z508" s="80"/>
      <c r="AA508" s="80"/>
      <c r="AB508" s="80"/>
      <c r="AC508" s="80"/>
      <c r="AD508" s="80"/>
      <c r="AE508" s="80"/>
      <c r="AF508" s="80"/>
    </row>
    <row r="509" spans="1:32">
      <c r="E509" s="990"/>
      <c r="F509" s="990"/>
      <c r="G509" s="990"/>
      <c r="H509" s="990"/>
      <c r="I509" s="990"/>
      <c r="J509" s="990"/>
      <c r="K509" s="990"/>
      <c r="L509" s="990"/>
      <c r="M509" s="990"/>
      <c r="N509" s="990"/>
      <c r="O509" s="215"/>
      <c r="P509" s="215"/>
      <c r="Q509" s="215"/>
      <c r="R509" s="215"/>
      <c r="S509" s="215"/>
      <c r="T509" s="215"/>
      <c r="U509" s="215"/>
      <c r="V509" s="215"/>
      <c r="W509" s="80"/>
      <c r="X509" s="80"/>
      <c r="Y509" s="80"/>
      <c r="Z509" s="80"/>
      <c r="AA509" s="80"/>
      <c r="AB509" s="80"/>
      <c r="AC509" s="80"/>
      <c r="AD509" s="80"/>
      <c r="AE509" s="80"/>
      <c r="AF509" s="80"/>
    </row>
    <row r="510" spans="1:32">
      <c r="E510" s="32"/>
      <c r="F510" s="32"/>
      <c r="G510" s="32"/>
      <c r="H510" s="32"/>
      <c r="I510" s="32"/>
      <c r="J510" s="32"/>
      <c r="K510" s="32"/>
      <c r="L510" s="32"/>
      <c r="M510" s="32"/>
      <c r="N510" s="32"/>
      <c r="O510" s="215"/>
      <c r="P510" s="215"/>
      <c r="Q510" s="215"/>
      <c r="R510" s="215"/>
      <c r="S510" s="215"/>
      <c r="T510" s="215"/>
      <c r="U510" s="215"/>
      <c r="V510" s="215"/>
      <c r="W510" s="80"/>
      <c r="X510" s="80"/>
      <c r="Y510" s="80"/>
      <c r="Z510" s="80"/>
      <c r="AA510" s="80"/>
      <c r="AB510" s="80"/>
      <c r="AC510" s="80"/>
      <c r="AD510" s="80"/>
      <c r="AE510" s="80"/>
      <c r="AF510" s="80"/>
    </row>
    <row r="511" spans="1:32">
      <c r="A511" s="991" t="s">
        <v>189</v>
      </c>
      <c r="B511" s="991"/>
      <c r="C511" s="991"/>
      <c r="D511" s="991"/>
      <c r="E511" s="992" t="s">
        <v>190</v>
      </c>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A512" s="33"/>
      <c r="B512" s="33"/>
      <c r="C512" s="33"/>
      <c r="D512" s="33"/>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c r="E513" s="992"/>
      <c r="F513" s="992"/>
      <c r="G513" s="992"/>
      <c r="H513" s="992"/>
      <c r="I513" s="992"/>
      <c r="J513" s="992"/>
      <c r="K513" s="992"/>
      <c r="L513" s="992"/>
      <c r="M513" s="992"/>
      <c r="N513" s="992"/>
      <c r="O513" s="215"/>
      <c r="P513" s="215"/>
      <c r="Q513" s="215"/>
      <c r="R513" s="215"/>
      <c r="S513" s="215"/>
      <c r="T513" s="215"/>
      <c r="U513" s="215"/>
      <c r="V513" s="215"/>
      <c r="W513" s="80"/>
      <c r="X513" s="80"/>
      <c r="Y513" s="80"/>
      <c r="Z513" s="80"/>
      <c r="AA513" s="80"/>
      <c r="AB513" s="80"/>
      <c r="AC513" s="80"/>
      <c r="AD513" s="80"/>
      <c r="AE513" s="80"/>
      <c r="AF513" s="80"/>
    </row>
    <row r="514" spans="1:32">
      <c r="E514" s="992"/>
      <c r="F514" s="992"/>
      <c r="G514" s="992"/>
      <c r="H514" s="992"/>
      <c r="I514" s="992"/>
      <c r="J514" s="992"/>
      <c r="K514" s="992"/>
      <c r="L514" s="992"/>
      <c r="M514" s="992"/>
      <c r="N514" s="992"/>
      <c r="O514" s="215"/>
      <c r="P514" s="215"/>
      <c r="Q514" s="215"/>
      <c r="R514" s="215"/>
      <c r="S514" s="215"/>
      <c r="T514" s="215"/>
      <c r="U514" s="215"/>
      <c r="V514" s="215"/>
      <c r="W514" s="80"/>
      <c r="X514" s="80"/>
      <c r="Y514" s="80"/>
      <c r="Z514" s="80"/>
      <c r="AA514" s="80"/>
      <c r="AB514" s="80"/>
      <c r="AC514" s="80"/>
      <c r="AD514" s="80"/>
      <c r="AE514" s="80"/>
      <c r="AF514" s="80"/>
    </row>
    <row r="515" spans="1:32" ht="15.75" thickBot="1">
      <c r="O515" s="215"/>
      <c r="P515" s="215"/>
      <c r="Q515" s="215"/>
      <c r="R515" s="215"/>
      <c r="S515" s="215"/>
      <c r="T515" s="215"/>
      <c r="U515" s="215"/>
      <c r="V515" s="215"/>
      <c r="W515" s="80"/>
      <c r="X515" s="80"/>
      <c r="Y515" s="80"/>
      <c r="Z515" s="80"/>
      <c r="AA515" s="80"/>
      <c r="AB515" s="80"/>
      <c r="AC515" s="80"/>
      <c r="AD515" s="80"/>
      <c r="AE515" s="80"/>
      <c r="AF515" s="80"/>
    </row>
    <row r="516" spans="1:32" ht="15.75" thickBot="1">
      <c r="A516" s="986" t="s">
        <v>191</v>
      </c>
      <c r="B516" s="986"/>
      <c r="C516" s="986"/>
      <c r="D516" s="986"/>
      <c r="E516" s="993" t="s">
        <v>192</v>
      </c>
      <c r="F516" s="993"/>
      <c r="G516" s="993"/>
      <c r="H516" s="993"/>
      <c r="I516" s="993"/>
      <c r="J516" s="993"/>
      <c r="K516" s="993"/>
      <c r="L516" s="993"/>
      <c r="M516" s="993"/>
      <c r="N516" s="993"/>
      <c r="O516" s="215"/>
      <c r="P516" s="215"/>
      <c r="Q516" s="215"/>
      <c r="R516" s="215"/>
      <c r="S516" s="215"/>
      <c r="T516" s="215"/>
      <c r="U516" s="215"/>
      <c r="V516" s="215"/>
      <c r="W516" s="80"/>
      <c r="X516" s="80"/>
      <c r="Y516" s="80"/>
      <c r="Z516" s="80"/>
      <c r="AA516" s="80"/>
      <c r="AB516" s="80"/>
      <c r="AC516" s="80"/>
      <c r="AD516" s="80"/>
      <c r="AE516" s="80"/>
      <c r="AF516" s="80"/>
    </row>
    <row r="517" spans="1:32">
      <c r="O517" s="215"/>
      <c r="P517" s="215"/>
      <c r="Q517" s="215"/>
      <c r="R517" s="215"/>
      <c r="S517" s="215"/>
      <c r="T517" s="215"/>
      <c r="U517" s="215"/>
      <c r="V517" s="215"/>
      <c r="W517" s="80"/>
      <c r="X517" s="80"/>
      <c r="Y517" s="80"/>
      <c r="Z517" s="80"/>
      <c r="AA517" s="80"/>
      <c r="AB517" s="80"/>
      <c r="AC517" s="80"/>
      <c r="AD517" s="80"/>
      <c r="AE517" s="80"/>
      <c r="AF517" s="80"/>
    </row>
    <row r="518" spans="1:32">
      <c r="A518" s="981" t="s">
        <v>193</v>
      </c>
      <c r="B518" s="981"/>
      <c r="C518" s="981"/>
      <c r="D518" s="981"/>
      <c r="E518" s="985" t="s">
        <v>194</v>
      </c>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c r="C525" s="4"/>
      <c r="E525" s="985"/>
      <c r="F525" s="985"/>
      <c r="G525" s="985"/>
      <c r="H525" s="985"/>
      <c r="I525" s="985"/>
      <c r="J525" s="985"/>
      <c r="K525" s="985"/>
      <c r="L525" s="985"/>
      <c r="M525" s="985"/>
      <c r="N525" s="985"/>
      <c r="O525" s="215"/>
      <c r="P525" s="215"/>
      <c r="Q525" s="215"/>
      <c r="R525" s="215"/>
      <c r="S525" s="215"/>
      <c r="T525" s="215"/>
      <c r="U525" s="215"/>
      <c r="V525" s="215"/>
      <c r="W525" s="80"/>
      <c r="X525" s="80"/>
      <c r="Y525" s="80"/>
      <c r="Z525" s="80"/>
      <c r="AA525" s="80"/>
      <c r="AB525" s="80"/>
      <c r="AC525" s="80"/>
      <c r="AD525" s="80"/>
      <c r="AE525" s="80"/>
      <c r="AF525" s="80"/>
    </row>
    <row r="526" spans="1:32">
      <c r="E526" s="985"/>
      <c r="F526" s="985"/>
      <c r="G526" s="985"/>
      <c r="H526" s="985"/>
      <c r="I526" s="985"/>
      <c r="J526" s="985"/>
      <c r="K526" s="985"/>
      <c r="L526" s="985"/>
      <c r="M526" s="985"/>
      <c r="N526" s="985"/>
      <c r="O526" s="215"/>
      <c r="P526" s="215"/>
      <c r="Q526" s="215"/>
      <c r="R526" s="215"/>
      <c r="S526" s="215"/>
      <c r="T526" s="215"/>
      <c r="U526" s="215"/>
      <c r="V526" s="215"/>
      <c r="W526" s="80"/>
      <c r="X526" s="80"/>
      <c r="Y526" s="80"/>
      <c r="Z526" s="80"/>
      <c r="AA526" s="80"/>
      <c r="AB526" s="80"/>
      <c r="AC526" s="80"/>
      <c r="AD526" s="80"/>
      <c r="AE526" s="80"/>
      <c r="AF526" s="80"/>
    </row>
    <row r="527" spans="1:32" ht="15.75" thickBot="1">
      <c r="E527" s="32"/>
      <c r="F527" s="32"/>
      <c r="G527" s="32"/>
      <c r="H527" s="32"/>
      <c r="I527" s="32"/>
      <c r="J527" s="32"/>
      <c r="K527" s="32"/>
      <c r="L527" s="32"/>
      <c r="M527" s="32"/>
      <c r="N527" s="32"/>
      <c r="O527" s="215"/>
      <c r="P527" s="215"/>
      <c r="Q527" s="215"/>
      <c r="R527" s="215"/>
      <c r="S527" s="215"/>
      <c r="T527" s="215"/>
      <c r="U527" s="215"/>
      <c r="V527" s="215"/>
      <c r="W527" s="80"/>
      <c r="X527" s="80"/>
      <c r="Y527" s="80"/>
      <c r="Z527" s="80"/>
      <c r="AA527" s="80"/>
      <c r="AB527" s="80"/>
      <c r="AC527" s="80"/>
      <c r="AD527" s="80"/>
      <c r="AE527" s="80"/>
      <c r="AF527" s="80"/>
    </row>
    <row r="528" spans="1:32" ht="15.75" thickBot="1">
      <c r="A528" s="986" t="s">
        <v>195</v>
      </c>
      <c r="B528" s="986"/>
      <c r="C528" s="986"/>
      <c r="D528" s="986"/>
      <c r="E528" s="987" t="s">
        <v>196</v>
      </c>
      <c r="F528" s="987"/>
      <c r="G528" s="987"/>
      <c r="H528" s="987"/>
      <c r="I528" s="987"/>
      <c r="J528" s="987"/>
      <c r="K528" s="987"/>
      <c r="L528" s="987"/>
      <c r="M528" s="987"/>
      <c r="N528" s="987"/>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c r="O530" s="215"/>
      <c r="P530" s="215"/>
      <c r="Q530" s="215"/>
      <c r="R530" s="215"/>
      <c r="S530" s="215"/>
      <c r="T530" s="215"/>
      <c r="U530" s="215"/>
      <c r="V530" s="215"/>
      <c r="W530" s="80"/>
      <c r="X530" s="80"/>
      <c r="Y530" s="80"/>
      <c r="Z530" s="80"/>
      <c r="AA530" s="80"/>
      <c r="AB530" s="80"/>
      <c r="AC530" s="80"/>
      <c r="AD530" s="80"/>
      <c r="AE530" s="80"/>
      <c r="AF530" s="80"/>
    </row>
    <row r="531" spans="1:32">
      <c r="O531" s="215"/>
      <c r="P531" s="215"/>
      <c r="Q531" s="215"/>
      <c r="R531" s="215"/>
      <c r="S531" s="215"/>
      <c r="T531" s="215"/>
      <c r="U531" s="215"/>
      <c r="V531" s="215"/>
      <c r="W531" s="80"/>
      <c r="X531" s="80"/>
      <c r="Y531" s="80"/>
      <c r="Z531" s="80"/>
      <c r="AA531" s="80"/>
      <c r="AB531" s="80"/>
      <c r="AC531" s="80"/>
      <c r="AD531" s="80"/>
      <c r="AE531" s="80"/>
      <c r="AF531" s="80"/>
    </row>
    <row r="532" spans="1:32" ht="15.75">
      <c r="A532" s="988" t="s">
        <v>29</v>
      </c>
      <c r="B532" s="988"/>
      <c r="O532" s="215"/>
      <c r="P532" s="215"/>
      <c r="Q532" s="215"/>
      <c r="R532" s="215"/>
      <c r="S532" s="215"/>
      <c r="T532" s="215"/>
      <c r="U532" s="215"/>
      <c r="V532" s="215"/>
      <c r="W532" s="80"/>
      <c r="X532" s="80"/>
      <c r="Y532" s="80"/>
      <c r="Z532" s="80"/>
      <c r="AA532" s="80"/>
      <c r="AB532" s="80"/>
      <c r="AC532" s="80"/>
      <c r="AD532" s="80"/>
      <c r="AE532" s="80"/>
      <c r="AF532" s="80"/>
    </row>
    <row r="533" spans="1:32" ht="15.75" thickBot="1">
      <c r="O533" s="215"/>
      <c r="P533" s="215"/>
      <c r="Q533" s="215"/>
      <c r="R533" s="215"/>
      <c r="S533" s="215"/>
      <c r="T533" s="215"/>
      <c r="U533" s="215"/>
      <c r="V533" s="215"/>
      <c r="W533" s="80"/>
      <c r="X533" s="80"/>
      <c r="Y533" s="80"/>
      <c r="Z533" s="80"/>
      <c r="AA533" s="80"/>
      <c r="AB533" s="80"/>
      <c r="AC533" s="80"/>
      <c r="AD533" s="80"/>
      <c r="AE533" s="80"/>
      <c r="AF533" s="80"/>
    </row>
    <row r="534" spans="1:32" ht="15.75" thickBot="1">
      <c r="A534" s="989" t="s">
        <v>197</v>
      </c>
      <c r="B534" s="989"/>
      <c r="C534" s="989"/>
      <c r="D534" s="989"/>
      <c r="E534" s="989"/>
      <c r="F534" s="34" t="s">
        <v>198</v>
      </c>
      <c r="G534" s="35"/>
      <c r="H534" s="35"/>
      <c r="I534" s="35"/>
      <c r="J534" s="35"/>
      <c r="K534" s="35"/>
      <c r="L534" s="35"/>
      <c r="M534" s="35"/>
      <c r="N534" s="35"/>
      <c r="O534" s="215"/>
      <c r="P534" s="215"/>
      <c r="Q534" s="215"/>
      <c r="R534" s="215"/>
      <c r="S534" s="215"/>
      <c r="T534" s="215"/>
      <c r="U534" s="215"/>
      <c r="V534" s="215"/>
      <c r="W534" s="80"/>
      <c r="X534" s="80"/>
      <c r="Y534" s="80"/>
      <c r="Z534" s="80"/>
      <c r="AA534" s="80"/>
      <c r="AB534" s="80"/>
      <c r="AC534" s="80"/>
      <c r="AD534" s="80"/>
      <c r="AE534" s="80"/>
      <c r="AF534" s="80"/>
    </row>
    <row r="535" spans="1:32">
      <c r="O535" s="215"/>
      <c r="P535" s="215"/>
      <c r="Q535" s="215"/>
      <c r="R535" s="215"/>
      <c r="S535" s="215"/>
      <c r="T535" s="215"/>
      <c r="U535" s="215"/>
      <c r="V535" s="215"/>
      <c r="W535" s="80"/>
      <c r="X535" s="80"/>
      <c r="Y535" s="80"/>
      <c r="Z535" s="80"/>
      <c r="AA535" s="80"/>
      <c r="AB535" s="80"/>
      <c r="AC535" s="80"/>
      <c r="AD535" s="80"/>
      <c r="AE535" s="80"/>
      <c r="AF535" s="80"/>
    </row>
    <row r="536" spans="1:32">
      <c r="A536" s="981" t="s">
        <v>199</v>
      </c>
      <c r="B536" s="981"/>
      <c r="C536" s="981"/>
      <c r="D536" s="981"/>
      <c r="E536" s="981"/>
      <c r="F536" s="982" t="s">
        <v>200</v>
      </c>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F537" s="982"/>
      <c r="G537" s="982"/>
      <c r="H537" s="982"/>
      <c r="I537" s="982"/>
      <c r="J537" s="982"/>
      <c r="K537" s="982"/>
      <c r="L537" s="982"/>
      <c r="M537" s="982"/>
      <c r="N537" s="982"/>
      <c r="O537" s="215"/>
      <c r="P537" s="215"/>
      <c r="Q537" s="215"/>
      <c r="R537" s="215"/>
      <c r="S537" s="215"/>
      <c r="T537" s="215"/>
      <c r="U537" s="215"/>
      <c r="V537" s="215"/>
      <c r="W537" s="80"/>
      <c r="X537" s="80"/>
      <c r="Y537" s="80"/>
      <c r="Z537" s="80"/>
      <c r="AA537" s="80"/>
      <c r="AB537" s="80"/>
      <c r="AC537" s="80"/>
      <c r="AD537" s="80"/>
      <c r="AE537" s="80"/>
      <c r="AF537" s="80"/>
    </row>
    <row r="538" spans="1:32">
      <c r="F538" s="982"/>
      <c r="G538" s="982"/>
      <c r="H538" s="982"/>
      <c r="I538" s="982"/>
      <c r="J538" s="982"/>
      <c r="K538" s="982"/>
      <c r="L538" s="982"/>
      <c r="M538" s="982"/>
      <c r="N538" s="982"/>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A540" s="983" t="s">
        <v>31</v>
      </c>
      <c r="B540" s="983"/>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O542" s="215"/>
      <c r="P542" s="215"/>
      <c r="Q542" s="215"/>
      <c r="R542" s="215"/>
      <c r="S542" s="215"/>
      <c r="T542" s="215"/>
      <c r="U542" s="215"/>
      <c r="V542" s="215"/>
      <c r="W542" s="80"/>
      <c r="X542" s="80"/>
      <c r="Y542" s="80"/>
      <c r="Z542" s="80"/>
      <c r="AA542" s="80"/>
      <c r="AB542" s="80"/>
      <c r="AC542" s="80"/>
      <c r="AD542" s="80"/>
      <c r="AE542" s="80"/>
      <c r="AF542" s="80"/>
    </row>
    <row r="543" spans="1:32">
      <c r="O543" s="215"/>
      <c r="P543" s="215"/>
      <c r="Q543" s="215"/>
      <c r="R543" s="215"/>
      <c r="S543" s="215"/>
      <c r="T543" s="215"/>
      <c r="U543" s="215"/>
      <c r="V543" s="215"/>
      <c r="W543" s="80"/>
      <c r="X543" s="80"/>
      <c r="Y543" s="80"/>
      <c r="Z543" s="80"/>
      <c r="AA543" s="80"/>
      <c r="AB543" s="80"/>
      <c r="AC543" s="80"/>
      <c r="AD543" s="80"/>
      <c r="AE543" s="80"/>
      <c r="AF543" s="80"/>
    </row>
    <row r="544" spans="1:32">
      <c r="A544" s="984" t="s">
        <v>32</v>
      </c>
      <c r="B544" s="984"/>
      <c r="C544" s="984"/>
      <c r="D544" s="984"/>
      <c r="E544" s="984"/>
      <c r="O544" s="215"/>
      <c r="P544" s="215"/>
      <c r="Q544" s="215"/>
      <c r="R544" s="215"/>
      <c r="S544" s="215"/>
      <c r="T544" s="215"/>
      <c r="U544" s="215"/>
      <c r="V544" s="215"/>
      <c r="W544" s="80"/>
      <c r="X544" s="80"/>
      <c r="Y544" s="80"/>
      <c r="Z544" s="80"/>
      <c r="AA544" s="80"/>
      <c r="AB544" s="80"/>
      <c r="AC544" s="80"/>
      <c r="AD544" s="80"/>
      <c r="AE544" s="80"/>
      <c r="AF544" s="80"/>
    </row>
    <row r="545" spans="1:32">
      <c r="I545" s="4"/>
      <c r="O545" s="215"/>
      <c r="P545" s="215"/>
      <c r="Q545" s="215"/>
      <c r="R545" s="215"/>
      <c r="S545" s="215"/>
      <c r="T545" s="215"/>
      <c r="U545" s="215"/>
      <c r="V545" s="215"/>
      <c r="W545" s="80"/>
      <c r="X545" s="80"/>
      <c r="Y545" s="80"/>
      <c r="Z545" s="80"/>
      <c r="AA545" s="80"/>
      <c r="AB545" s="80"/>
      <c r="AC545" s="80"/>
      <c r="AD545" s="80"/>
      <c r="AE545" s="80"/>
      <c r="AF545" s="80"/>
    </row>
    <row r="546" spans="1:32">
      <c r="O546" s="215"/>
      <c r="P546" s="215"/>
      <c r="Q546" s="215"/>
      <c r="R546" s="215"/>
      <c r="S546" s="215"/>
      <c r="T546" s="215"/>
      <c r="U546" s="215"/>
      <c r="V546" s="215"/>
      <c r="W546" s="80"/>
      <c r="X546" s="80"/>
      <c r="Y546" s="80"/>
      <c r="Z546" s="80"/>
      <c r="AA546" s="80"/>
      <c r="AB546" s="80"/>
      <c r="AC546" s="80"/>
      <c r="AD546" s="80"/>
      <c r="AE546" s="80"/>
      <c r="AF546" s="80"/>
    </row>
    <row r="547" spans="1:32">
      <c r="A547" s="981" t="s">
        <v>201</v>
      </c>
      <c r="B547" s="981"/>
      <c r="C547" s="981"/>
      <c r="D547" s="981"/>
      <c r="E547" s="981"/>
      <c r="F547" s="985" t="s">
        <v>202</v>
      </c>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985"/>
      <c r="G553" s="985"/>
      <c r="H553" s="985"/>
      <c r="I553" s="985"/>
      <c r="J553" s="985"/>
      <c r="K553" s="985"/>
      <c r="L553" s="985"/>
      <c r="M553" s="985"/>
      <c r="N553" s="985"/>
      <c r="O553" s="215"/>
      <c r="P553" s="215"/>
      <c r="Q553" s="215"/>
      <c r="R553" s="215"/>
      <c r="S553" s="215"/>
      <c r="T553" s="215"/>
      <c r="U553" s="215"/>
      <c r="V553" s="215"/>
      <c r="W553" s="80"/>
      <c r="X553" s="80"/>
      <c r="Y553" s="80"/>
      <c r="Z553" s="80"/>
      <c r="AA553" s="80"/>
      <c r="AB553" s="80"/>
      <c r="AC553" s="80"/>
      <c r="AD553" s="80"/>
      <c r="AE553" s="80"/>
      <c r="AF553" s="80"/>
    </row>
    <row r="554" spans="1:32">
      <c r="F554" s="985"/>
      <c r="G554" s="985"/>
      <c r="H554" s="985"/>
      <c r="I554" s="985"/>
      <c r="J554" s="985"/>
      <c r="K554" s="985"/>
      <c r="L554" s="985"/>
      <c r="M554" s="985"/>
      <c r="N554" s="985"/>
      <c r="O554" s="215"/>
      <c r="P554" s="215"/>
      <c r="Q554" s="215"/>
      <c r="R554" s="215"/>
      <c r="S554" s="215"/>
      <c r="T554" s="215"/>
      <c r="U554" s="215"/>
      <c r="V554" s="215"/>
      <c r="W554" s="80"/>
      <c r="X554" s="80"/>
      <c r="Y554" s="80"/>
      <c r="Z554" s="80"/>
      <c r="AA554" s="80"/>
      <c r="AB554" s="80"/>
      <c r="AC554" s="80"/>
      <c r="AD554" s="80"/>
      <c r="AE554" s="80"/>
      <c r="AF554" s="80"/>
    </row>
    <row r="555" spans="1:32">
      <c r="F555" s="32"/>
      <c r="G555" s="32"/>
      <c r="H555" s="32"/>
      <c r="I555" s="32"/>
      <c r="J555" s="32"/>
      <c r="K555" s="32"/>
      <c r="L555" s="32"/>
      <c r="M555" s="32"/>
      <c r="N555" s="32"/>
      <c r="O555" s="215"/>
      <c r="P555" s="215"/>
      <c r="Q555" s="215"/>
      <c r="R555" s="215"/>
      <c r="S555" s="215"/>
      <c r="T555" s="215"/>
      <c r="U555" s="215"/>
      <c r="V555" s="215"/>
      <c r="W555" s="80"/>
      <c r="X555" s="80"/>
      <c r="Y555" s="80"/>
      <c r="Z555" s="80"/>
      <c r="AA555" s="80"/>
      <c r="AB555" s="80"/>
      <c r="AC555" s="80"/>
      <c r="AD555" s="80"/>
      <c r="AE555" s="80"/>
      <c r="AF555" s="80"/>
    </row>
    <row r="556" spans="1:32">
      <c r="A556" s="981" t="s">
        <v>203</v>
      </c>
      <c r="B556" s="981"/>
      <c r="C556" s="981"/>
      <c r="D556" s="981"/>
      <c r="E556" s="981"/>
      <c r="F556" s="982" t="s">
        <v>204</v>
      </c>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O558" s="215"/>
      <c r="P558" s="215"/>
      <c r="Q558" s="215"/>
      <c r="R558" s="215"/>
      <c r="S558" s="215"/>
      <c r="T558" s="215"/>
      <c r="U558" s="215"/>
      <c r="V558" s="215"/>
      <c r="W558" s="80"/>
      <c r="X558" s="80"/>
      <c r="Y558" s="80"/>
      <c r="Z558" s="80"/>
      <c r="AA558" s="80"/>
      <c r="AB558" s="80"/>
      <c r="AC558" s="80"/>
      <c r="AD558" s="80"/>
      <c r="AE558" s="80"/>
      <c r="AF558" s="80"/>
    </row>
    <row r="559" spans="1:32">
      <c r="F559" s="982"/>
      <c r="G559" s="982"/>
      <c r="H559" s="982"/>
      <c r="I559" s="982"/>
      <c r="J559" s="982"/>
      <c r="K559" s="982"/>
      <c r="L559" s="982"/>
      <c r="M559" s="982"/>
      <c r="N559" s="982"/>
      <c r="O559" s="215"/>
      <c r="P559" s="215"/>
      <c r="Q559" s="215"/>
      <c r="R559" s="215"/>
      <c r="S559" s="215"/>
      <c r="T559" s="215"/>
      <c r="U559" s="215"/>
      <c r="V559" s="215"/>
      <c r="W559" s="80"/>
      <c r="X559" s="80"/>
      <c r="Y559" s="80"/>
      <c r="Z559" s="80"/>
      <c r="AA559" s="80"/>
      <c r="AB559" s="80"/>
      <c r="AC559" s="80"/>
      <c r="AD559" s="80"/>
      <c r="AE559" s="80"/>
      <c r="AF559" s="80"/>
    </row>
    <row r="560" spans="1:32">
      <c r="F560" s="982"/>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1:32">
      <c r="Q561" s="80"/>
      <c r="R561" s="80"/>
      <c r="S561" s="80"/>
      <c r="T561" s="80"/>
      <c r="U561" s="80"/>
      <c r="V561" s="80"/>
      <c r="W561" s="80"/>
      <c r="X561" s="80"/>
      <c r="Y561" s="80"/>
      <c r="Z561" s="80"/>
      <c r="AA561" s="80"/>
      <c r="AB561" s="80"/>
      <c r="AC561" s="80"/>
      <c r="AD561" s="80"/>
      <c r="AE561" s="80"/>
      <c r="AF561" s="80"/>
    </row>
    <row r="562" spans="1:32">
      <c r="A562" s="981" t="s">
        <v>205</v>
      </c>
      <c r="B562" s="981"/>
      <c r="C562" s="981"/>
      <c r="D562" s="981"/>
      <c r="E562" s="981"/>
      <c r="F562" s="982" t="s">
        <v>206</v>
      </c>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1: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1: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1: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row r="566" spans="1:32">
      <c r="F566" s="982"/>
      <c r="G566" s="982"/>
      <c r="H566" s="982"/>
      <c r="I566" s="982"/>
      <c r="J566" s="982"/>
      <c r="K566" s="982"/>
      <c r="L566" s="982"/>
      <c r="M566" s="982"/>
      <c r="N566" s="982"/>
      <c r="Q566" s="80"/>
      <c r="R566" s="80"/>
      <c r="S566" s="80"/>
      <c r="T566" s="80"/>
      <c r="U566" s="80"/>
      <c r="V566" s="80"/>
      <c r="W566" s="80"/>
      <c r="X566" s="80"/>
      <c r="Y566" s="80"/>
      <c r="Z566" s="80"/>
      <c r="AA566" s="80"/>
      <c r="AB566" s="80"/>
      <c r="AC566" s="80"/>
      <c r="AD566" s="80"/>
      <c r="AE566" s="80"/>
      <c r="AF566" s="80"/>
    </row>
    <row r="567" spans="1:32">
      <c r="F567" s="982"/>
      <c r="G567" s="982"/>
      <c r="H567" s="982"/>
      <c r="I567" s="982"/>
      <c r="J567" s="982"/>
      <c r="K567" s="982"/>
      <c r="L567" s="982"/>
      <c r="M567" s="982"/>
      <c r="N567" s="982"/>
      <c r="Q567" s="80"/>
      <c r="R567" s="80"/>
      <c r="S567" s="80"/>
      <c r="T567" s="80"/>
      <c r="U567" s="80"/>
      <c r="V567" s="80"/>
      <c r="W567" s="80"/>
      <c r="X567" s="80"/>
      <c r="Y567" s="80"/>
      <c r="Z567" s="80"/>
      <c r="AA567" s="80"/>
      <c r="AB567" s="80"/>
      <c r="AC567" s="80"/>
      <c r="AD567" s="80"/>
      <c r="AE567" s="80"/>
      <c r="AF567" s="80"/>
    </row>
  </sheetData>
  <mergeCells count="272">
    <mergeCell ref="A556:E556"/>
    <mergeCell ref="F556:N560"/>
    <mergeCell ref="A562:E562"/>
    <mergeCell ref="F562:N567"/>
    <mergeCell ref="A536:E536"/>
    <mergeCell ref="F536:N538"/>
    <mergeCell ref="A540:B540"/>
    <mergeCell ref="A544:E544"/>
    <mergeCell ref="A547:E547"/>
    <mergeCell ref="F547:N554"/>
    <mergeCell ref="A518:D518"/>
    <mergeCell ref="E518:N526"/>
    <mergeCell ref="A528:D528"/>
    <mergeCell ref="E528:N528"/>
    <mergeCell ref="A532:B532"/>
    <mergeCell ref="A534:E534"/>
    <mergeCell ref="A506:D506"/>
    <mergeCell ref="E506:N509"/>
    <mergeCell ref="A511:D511"/>
    <mergeCell ref="E511:N514"/>
    <mergeCell ref="A516:D516"/>
    <mergeCell ref="E516:N516"/>
    <mergeCell ref="A484:D484"/>
    <mergeCell ref="E484:N485"/>
    <mergeCell ref="A487:D487"/>
    <mergeCell ref="A489:D489"/>
    <mergeCell ref="E489:N494"/>
    <mergeCell ref="A497:D497"/>
    <mergeCell ref="E497:N504"/>
    <mergeCell ref="A476:D476"/>
    <mergeCell ref="E476:N476"/>
    <mergeCell ref="A478:D478"/>
    <mergeCell ref="E478:N479"/>
    <mergeCell ref="A481:D481"/>
    <mergeCell ref="E481:N482"/>
    <mergeCell ref="A417:E417"/>
    <mergeCell ref="A447:E447"/>
    <mergeCell ref="F447:N452"/>
    <mergeCell ref="A471:D471"/>
    <mergeCell ref="E471:N471"/>
    <mergeCell ref="A473:D473"/>
    <mergeCell ref="E473:N474"/>
    <mergeCell ref="A368:E368"/>
    <mergeCell ref="A369:B369"/>
    <mergeCell ref="A371:N371"/>
    <mergeCell ref="A372:N372"/>
    <mergeCell ref="A373:N373"/>
    <mergeCell ref="B374:I374"/>
    <mergeCell ref="L374:N374"/>
    <mergeCell ref="A354:N354"/>
    <mergeCell ref="A355:N355"/>
    <mergeCell ref="A356:N356"/>
    <mergeCell ref="A358:E358"/>
    <mergeCell ref="F363:I363"/>
    <mergeCell ref="A366:B366"/>
    <mergeCell ref="A348:N348"/>
    <mergeCell ref="A349:N349"/>
    <mergeCell ref="A350:N350"/>
    <mergeCell ref="A351:N351"/>
    <mergeCell ref="A352:N352"/>
    <mergeCell ref="A353:N353"/>
    <mergeCell ref="A338:C338"/>
    <mergeCell ref="A339:C339"/>
    <mergeCell ref="A340:C340"/>
    <mergeCell ref="A342:D342"/>
    <mergeCell ref="E342:N342"/>
    <mergeCell ref="A347:N347"/>
    <mergeCell ref="A332:C332"/>
    <mergeCell ref="A333:C333"/>
    <mergeCell ref="A334:C334"/>
    <mergeCell ref="A335:C335"/>
    <mergeCell ref="A336:C336"/>
    <mergeCell ref="A337:C337"/>
    <mergeCell ref="A326:C326"/>
    <mergeCell ref="A327:C327"/>
    <mergeCell ref="A328:C328"/>
    <mergeCell ref="A329:C329"/>
    <mergeCell ref="A330:C330"/>
    <mergeCell ref="A331:C331"/>
    <mergeCell ref="A308:D308"/>
    <mergeCell ref="K308:L308"/>
    <mergeCell ref="A309:F309"/>
    <mergeCell ref="C310:D310"/>
    <mergeCell ref="F310:N310"/>
    <mergeCell ref="E325:F325"/>
    <mergeCell ref="A305:D305"/>
    <mergeCell ref="K305:L305"/>
    <mergeCell ref="A306:D306"/>
    <mergeCell ref="K306:L306"/>
    <mergeCell ref="A307:D307"/>
    <mergeCell ref="K307:L307"/>
    <mergeCell ref="A292:B292"/>
    <mergeCell ref="A293:B293"/>
    <mergeCell ref="L293:M293"/>
    <mergeCell ref="A294:B294"/>
    <mergeCell ref="L294:M294"/>
    <mergeCell ref="A304:D304"/>
    <mergeCell ref="E304:F304"/>
    <mergeCell ref="H304:I304"/>
    <mergeCell ref="K304:M304"/>
    <mergeCell ref="A287:B287"/>
    <mergeCell ref="A289:B289"/>
    <mergeCell ref="A290:B290"/>
    <mergeCell ref="H290:J290"/>
    <mergeCell ref="L290:M290"/>
    <mergeCell ref="A291:B291"/>
    <mergeCell ref="A281:F281"/>
    <mergeCell ref="D282:E282"/>
    <mergeCell ref="F282:G282"/>
    <mergeCell ref="I282:J282"/>
    <mergeCell ref="K282:M282"/>
    <mergeCell ref="E283:F283"/>
    <mergeCell ref="D262:F262"/>
    <mergeCell ref="A272:N272"/>
    <mergeCell ref="A277:N277"/>
    <mergeCell ref="A278:N278"/>
    <mergeCell ref="A279:N279"/>
    <mergeCell ref="B280:G280"/>
    <mergeCell ref="I280:J280"/>
    <mergeCell ref="M280:N280"/>
    <mergeCell ref="J243:K243"/>
    <mergeCell ref="I251:L251"/>
    <mergeCell ref="I252:L252"/>
    <mergeCell ref="I253:L253"/>
    <mergeCell ref="I254:L254"/>
    <mergeCell ref="I255:L255"/>
    <mergeCell ref="E238:F238"/>
    <mergeCell ref="E239:F239"/>
    <mergeCell ref="E240:F240"/>
    <mergeCell ref="E241:F241"/>
    <mergeCell ref="E242:F242"/>
    <mergeCell ref="J242:K242"/>
    <mergeCell ref="E231:F231"/>
    <mergeCell ref="E232:F232"/>
    <mergeCell ref="E233:F233"/>
    <mergeCell ref="E234:F234"/>
    <mergeCell ref="E235:G235"/>
    <mergeCell ref="E237:F237"/>
    <mergeCell ref="E227:F227"/>
    <mergeCell ref="E228:F228"/>
    <mergeCell ref="I228:K228"/>
    <mergeCell ref="E229:F229"/>
    <mergeCell ref="I229:K229"/>
    <mergeCell ref="E230:F230"/>
    <mergeCell ref="E221:F221"/>
    <mergeCell ref="E222:F222"/>
    <mergeCell ref="E223:F223"/>
    <mergeCell ref="E224:F224"/>
    <mergeCell ref="E225:F225"/>
    <mergeCell ref="E226:F226"/>
    <mergeCell ref="A210:B210"/>
    <mergeCell ref="A211:B211"/>
    <mergeCell ref="A212:B212"/>
    <mergeCell ref="A213:C213"/>
    <mergeCell ref="A214:B214"/>
    <mergeCell ref="E220:F220"/>
    <mergeCell ref="A199:B199"/>
    <mergeCell ref="J199:K199"/>
    <mergeCell ref="I201:J201"/>
    <mergeCell ref="A206:B206"/>
    <mergeCell ref="A207:B207"/>
    <mergeCell ref="A209:B209"/>
    <mergeCell ref="J195:K195"/>
    <mergeCell ref="A196:B196"/>
    <mergeCell ref="J196:K196"/>
    <mergeCell ref="A197:B197"/>
    <mergeCell ref="J197:K197"/>
    <mergeCell ref="A198:B198"/>
    <mergeCell ref="J198:K198"/>
    <mergeCell ref="L191:M191"/>
    <mergeCell ref="A192:B192"/>
    <mergeCell ref="J192:K192"/>
    <mergeCell ref="A193:B193"/>
    <mergeCell ref="J193:K193"/>
    <mergeCell ref="A194:B194"/>
    <mergeCell ref="J194:K194"/>
    <mergeCell ref="A189:B189"/>
    <mergeCell ref="C189:H189"/>
    <mergeCell ref="I189:K189"/>
    <mergeCell ref="A191:B191"/>
    <mergeCell ref="C191:D191"/>
    <mergeCell ref="E191:F191"/>
    <mergeCell ref="G191:H191"/>
    <mergeCell ref="I191:K191"/>
    <mergeCell ref="A185:N185"/>
    <mergeCell ref="B186:G186"/>
    <mergeCell ref="M186:N186"/>
    <mergeCell ref="B187:C187"/>
    <mergeCell ref="K187:L187"/>
    <mergeCell ref="A188:B188"/>
    <mergeCell ref="E188:F188"/>
    <mergeCell ref="I188:J188"/>
    <mergeCell ref="A160:D160"/>
    <mergeCell ref="A161:D161"/>
    <mergeCell ref="A162:D162"/>
    <mergeCell ref="A181:C181"/>
    <mergeCell ref="A183:N183"/>
    <mergeCell ref="A184:N184"/>
    <mergeCell ref="D136:E136"/>
    <mergeCell ref="D137:E137"/>
    <mergeCell ref="D138:E138"/>
    <mergeCell ref="A140:F140"/>
    <mergeCell ref="A158:D158"/>
    <mergeCell ref="A159:D159"/>
    <mergeCell ref="D108:E108"/>
    <mergeCell ref="A109:F109"/>
    <mergeCell ref="D121:E121"/>
    <mergeCell ref="D122:E122"/>
    <mergeCell ref="D123:E123"/>
    <mergeCell ref="A124:F124"/>
    <mergeCell ref="A88:B88"/>
    <mergeCell ref="A93:C93"/>
    <mergeCell ref="F93:J93"/>
    <mergeCell ref="A94:F94"/>
    <mergeCell ref="D106:E106"/>
    <mergeCell ref="D107:E107"/>
    <mergeCell ref="A75:C75"/>
    <mergeCell ref="A78:B78"/>
    <mergeCell ref="A80:C80"/>
    <mergeCell ref="A83:B83"/>
    <mergeCell ref="C84:F84"/>
    <mergeCell ref="A85:C85"/>
    <mergeCell ref="A66:C66"/>
    <mergeCell ref="A67:B67"/>
    <mergeCell ref="A69:B69"/>
    <mergeCell ref="A71:B71"/>
    <mergeCell ref="A73:B73"/>
    <mergeCell ref="A74:C74"/>
    <mergeCell ref="A58:D58"/>
    <mergeCell ref="A59:C59"/>
    <mergeCell ref="A60:B60"/>
    <mergeCell ref="A62:B62"/>
    <mergeCell ref="A64:B64"/>
    <mergeCell ref="A65:C65"/>
    <mergeCell ref="A39:B39"/>
    <mergeCell ref="L39:M39"/>
    <mergeCell ref="A40:B40"/>
    <mergeCell ref="L40:M40"/>
    <mergeCell ref="A43:B43"/>
    <mergeCell ref="A44:E44"/>
    <mergeCell ref="F44:N46"/>
    <mergeCell ref="A35:B35"/>
    <mergeCell ref="A36:B36"/>
    <mergeCell ref="H36:J36"/>
    <mergeCell ref="L36:M36"/>
    <mergeCell ref="A37:B37"/>
    <mergeCell ref="A38:B38"/>
    <mergeCell ref="E21:F21"/>
    <mergeCell ref="A23:L23"/>
    <mergeCell ref="A25:C25"/>
    <mergeCell ref="A26:C26"/>
    <mergeCell ref="A27:C27"/>
    <mergeCell ref="A28:C28"/>
    <mergeCell ref="A19:C19"/>
    <mergeCell ref="F19:M19"/>
    <mergeCell ref="E20:F20"/>
    <mergeCell ref="G20:L20"/>
    <mergeCell ref="D8:E8"/>
    <mergeCell ref="H8:I8"/>
    <mergeCell ref="H11:I11"/>
    <mergeCell ref="H12:I12"/>
    <mergeCell ref="A13:C13"/>
    <mergeCell ref="H13:I13"/>
    <mergeCell ref="B4:I4"/>
    <mergeCell ref="K4:L4"/>
    <mergeCell ref="M4:N4"/>
    <mergeCell ref="B5:C5"/>
    <mergeCell ref="D6:E6"/>
    <mergeCell ref="G6:K6"/>
    <mergeCell ref="A14:C14"/>
    <mergeCell ref="H14:I14"/>
    <mergeCell ref="C18:D18"/>
  </mergeCells>
  <dataValidations count="13">
    <dataValidation type="list" allowBlank="1" showInputMessage="1" showErrorMessage="1" sqref="C18:D18">
      <formula1>$O$16:$O$20</formula1>
    </dataValidation>
    <dataValidation type="list" allowBlank="1" showInputMessage="1" showErrorMessage="1" sqref="D17">
      <formula1>$O$6:$O$10</formula1>
    </dataValidation>
    <dataValidation type="list" allowBlank="1" showInputMessage="1" showErrorMessage="1" sqref="D16">
      <formula1>$O$6:$O$15</formula1>
    </dataValidation>
    <dataValidation type="list" allowBlank="1" showInputMessage="1" showErrorMessage="1" sqref="D15">
      <formula1>$O$6:$O$14</formula1>
    </dataValidation>
    <dataValidation type="list" showDropDown="1" showInputMessage="1" showErrorMessage="1" sqref="G26">
      <formula1>$U$269:$U$279</formula1>
    </dataValidation>
    <dataValidation type="list" allowBlank="1" showInputMessage="1" showErrorMessage="1" sqref="F282:G282 F25">
      <formula1>$P$269:$P$277</formula1>
    </dataValidation>
    <dataValidation type="list" allowBlank="1" showInputMessage="1" showErrorMessage="1" sqref="K282:M282 K25">
      <formula1>$R$269:$R$277</formula1>
    </dataValidation>
    <dataValidation type="list" allowBlank="1" showInputMessage="1" showErrorMessage="1" sqref="D283">
      <formula1>$T$269:$T$279</formula1>
    </dataValidation>
    <dataValidation type="list" allowBlank="1" showInputMessage="1" showErrorMessage="1" sqref="G283">
      <formula1>$U$269:$U$279</formula1>
    </dataValidation>
    <dataValidation type="list" allowBlank="1" showInputMessage="1" showErrorMessage="1" sqref="C287 C28:C33 C343:C346">
      <formula1>$P$279:$P$280</formula1>
    </dataValidation>
    <dataValidation type="list" allowBlank="1" showInputMessage="1" showErrorMessage="1" sqref="L294:M294 L40:M41">
      <formula1>$R$279:$R$280</formula1>
    </dataValidation>
    <dataValidation type="list" allowBlank="1" showInputMessage="1" showErrorMessage="1" sqref="C369:C370">
      <formula1>$O$363:$O$364</formula1>
    </dataValidation>
    <dataValidation type="list" allowBlank="1" showInputMessage="1" showErrorMessage="1" sqref="C43">
      <formula1>$O$33:$O$36</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AX567"/>
  <sheetViews>
    <sheetView showGridLines="0" showRowColHeaders="0" topLeftCell="A145" zoomScaleNormal="100" zoomScalePageLayoutView="60" workbookViewId="0">
      <selection activeCell="N35" sqref="N35"/>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G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c r="C4" s="1252"/>
      <c r="D4" s="1252"/>
      <c r="E4" s="1252"/>
      <c r="F4" s="1252"/>
      <c r="G4" s="1252"/>
      <c r="H4" s="1252"/>
      <c r="I4" s="1252"/>
      <c r="J4" s="358"/>
      <c r="K4" s="1172" t="s">
        <v>291</v>
      </c>
      <c r="L4" s="1172"/>
      <c r="M4" s="1253"/>
      <c r="N4" s="1254"/>
      <c r="O4" s="80"/>
      <c r="P4" s="80"/>
      <c r="Q4" s="80"/>
      <c r="R4" s="80"/>
      <c r="S4" s="80"/>
      <c r="T4" s="80"/>
      <c r="U4" s="80"/>
    </row>
    <row r="5" spans="1:22">
      <c r="A5" s="380" t="s">
        <v>3</v>
      </c>
      <c r="B5" s="1255">
        <v>41501</v>
      </c>
      <c r="C5" s="1255"/>
      <c r="D5" s="796"/>
      <c r="E5" s="796"/>
      <c r="F5" s="796"/>
      <c r="G5" s="796"/>
      <c r="H5" s="796"/>
      <c r="I5" s="796"/>
      <c r="J5" s="79"/>
      <c r="K5" s="796"/>
      <c r="L5" s="796"/>
      <c r="M5" s="78"/>
      <c r="N5" s="359"/>
      <c r="O5" s="80"/>
      <c r="P5" s="80"/>
      <c r="Q5" s="80"/>
      <c r="R5" s="80"/>
      <c r="S5" s="80"/>
      <c r="T5" s="80"/>
      <c r="U5" s="80"/>
    </row>
    <row r="6" spans="1:22">
      <c r="A6" s="380" t="s">
        <v>234</v>
      </c>
      <c r="B6" s="796"/>
      <c r="C6" s="796"/>
      <c r="D6" s="1256">
        <v>31924</v>
      </c>
      <c r="E6" s="1255"/>
      <c r="F6" s="796"/>
      <c r="G6" s="1118" t="str">
        <f ca="1">DATEDIF(D6,TODAY(),"y")&amp;"_años_"&amp;DATEDIF(D6,TODAY(),"ym")&amp;"_meses_"&amp;DATEDIF(D6,TODAY(),"md")&amp;"_dias_"</f>
        <v>30_años_10_meses_22_dias_</v>
      </c>
      <c r="H6" s="1118"/>
      <c r="I6" s="1118"/>
      <c r="J6" s="1118"/>
      <c r="K6" s="1118"/>
      <c r="L6" s="796"/>
      <c r="M6" s="796"/>
      <c r="N6" s="360"/>
      <c r="O6" s="275">
        <v>1</v>
      </c>
      <c r="P6" s="215"/>
      <c r="Q6" s="215"/>
      <c r="R6" s="215"/>
      <c r="S6" s="215"/>
      <c r="T6" s="215"/>
      <c r="U6" s="215"/>
      <c r="V6" s="215"/>
    </row>
    <row r="7" spans="1:22">
      <c r="A7" s="380"/>
      <c r="B7" s="796"/>
      <c r="C7" s="796"/>
      <c r="D7" s="796"/>
      <c r="E7" s="796"/>
      <c r="F7" s="796"/>
      <c r="G7" s="796"/>
      <c r="H7" s="796"/>
      <c r="I7" s="796"/>
      <c r="J7" s="79"/>
      <c r="K7" s="796"/>
      <c r="L7" s="796"/>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790"/>
      <c r="M8" s="361"/>
      <c r="N8" s="360"/>
      <c r="O8" s="275">
        <v>3</v>
      </c>
      <c r="P8" s="215"/>
      <c r="Q8" s="215"/>
      <c r="R8" s="215"/>
      <c r="S8" s="215"/>
      <c r="T8" s="215"/>
      <c r="U8" s="215"/>
      <c r="V8" s="215"/>
    </row>
    <row r="9" spans="1:22">
      <c r="A9" s="380" t="s">
        <v>418</v>
      </c>
      <c r="B9" s="79"/>
      <c r="C9" s="79"/>
      <c r="D9" s="801" t="s">
        <v>5</v>
      </c>
      <c r="E9" s="801"/>
      <c r="F9" s="169"/>
      <c r="G9" s="79"/>
      <c r="H9" s="801"/>
      <c r="I9" s="801"/>
      <c r="J9" s="169"/>
      <c r="K9" s="171"/>
      <c r="L9" s="790"/>
      <c r="M9" s="361"/>
      <c r="N9" s="360"/>
      <c r="O9" s="275">
        <v>4</v>
      </c>
      <c r="P9" s="215"/>
      <c r="Q9" s="215"/>
      <c r="R9" s="215"/>
      <c r="S9" s="215"/>
      <c r="T9" s="215"/>
      <c r="U9" s="215"/>
      <c r="V9" s="215"/>
    </row>
    <row r="10" spans="1:22">
      <c r="A10" s="380" t="s">
        <v>412</v>
      </c>
      <c r="B10" s="79"/>
      <c r="C10" s="79"/>
      <c r="D10" s="801" t="s">
        <v>5</v>
      </c>
      <c r="E10" s="801"/>
      <c r="F10" s="169"/>
      <c r="G10" s="79"/>
      <c r="H10" s="801"/>
      <c r="I10" s="801"/>
      <c r="J10" s="169"/>
      <c r="K10" s="171"/>
      <c r="L10" s="790"/>
      <c r="M10" s="361"/>
      <c r="N10" s="360"/>
      <c r="O10" s="275">
        <v>5</v>
      </c>
      <c r="P10" s="215"/>
      <c r="Q10" s="215"/>
      <c r="R10" s="215"/>
      <c r="S10" s="215"/>
      <c r="T10" s="215"/>
      <c r="U10" s="215"/>
      <c r="V10" s="215"/>
    </row>
    <row r="11" spans="1:22" ht="15.75">
      <c r="A11" s="380" t="s">
        <v>417</v>
      </c>
      <c r="B11" s="79"/>
      <c r="C11" s="79"/>
      <c r="D11" s="139">
        <v>3</v>
      </c>
      <c r="E11" s="79" t="s">
        <v>5</v>
      </c>
      <c r="F11" s="169" t="s">
        <v>408</v>
      </c>
      <c r="G11" s="289">
        <v>6</v>
      </c>
      <c r="H11" s="1257" t="s">
        <v>407</v>
      </c>
      <c r="I11" s="1257"/>
      <c r="J11" s="783"/>
      <c r="K11" s="169"/>
      <c r="L11" s="801"/>
      <c r="M11" s="79"/>
      <c r="N11" s="360"/>
      <c r="O11" s="275">
        <v>6</v>
      </c>
      <c r="P11" s="215"/>
      <c r="Q11" s="215"/>
      <c r="R11" s="215"/>
      <c r="S11" s="215"/>
      <c r="T11" s="215"/>
      <c r="U11" s="215"/>
      <c r="V11" s="215"/>
    </row>
    <row r="12" spans="1:22" ht="15.75">
      <c r="A12" s="380" t="s">
        <v>6</v>
      </c>
      <c r="B12" s="79"/>
      <c r="C12" s="79"/>
      <c r="D12" s="139">
        <v>38</v>
      </c>
      <c r="E12" s="79" t="s">
        <v>7</v>
      </c>
      <c r="F12" s="79"/>
      <c r="G12" s="79"/>
      <c r="H12" s="1173"/>
      <c r="I12" s="1173"/>
      <c r="J12" s="801"/>
      <c r="K12" s="171"/>
      <c r="L12" s="790"/>
      <c r="M12" s="169"/>
      <c r="N12" s="488"/>
      <c r="O12" s="275">
        <v>7</v>
      </c>
      <c r="P12" s="215"/>
      <c r="Q12" s="215"/>
      <c r="R12" s="215"/>
      <c r="S12" s="215"/>
      <c r="T12" s="215"/>
      <c r="U12" s="215"/>
      <c r="V12" s="215"/>
    </row>
    <row r="13" spans="1:22" s="81" customFormat="1" ht="15.75">
      <c r="A13" s="1177" t="s">
        <v>11</v>
      </c>
      <c r="B13" s="1178"/>
      <c r="C13" s="1178"/>
      <c r="D13" s="139">
        <v>133</v>
      </c>
      <c r="E13" s="79" t="s">
        <v>17</v>
      </c>
      <c r="F13" s="79"/>
      <c r="G13" s="79"/>
      <c r="H13" s="1173"/>
      <c r="I13" s="1173"/>
      <c r="J13" s="801"/>
      <c r="K13" s="171"/>
      <c r="L13" s="790"/>
      <c r="M13" s="79"/>
      <c r="N13" s="360"/>
      <c r="O13" s="275">
        <v>8</v>
      </c>
      <c r="P13" s="215"/>
      <c r="Q13" s="215"/>
      <c r="R13" s="215"/>
      <c r="S13" s="215"/>
      <c r="T13" s="215"/>
      <c r="U13" s="215"/>
      <c r="V13" s="215"/>
    </row>
    <row r="14" spans="1:22" ht="15.75">
      <c r="A14" s="1177" t="s">
        <v>13</v>
      </c>
      <c r="B14" s="1178"/>
      <c r="C14" s="1178"/>
      <c r="D14" s="613">
        <f>D12/(D13*D13)*10000</f>
        <v>21.482277121374864</v>
      </c>
      <c r="E14" s="364" t="s">
        <v>14</v>
      </c>
      <c r="F14" s="79"/>
      <c r="G14" s="79"/>
      <c r="H14" s="1173"/>
      <c r="I14" s="1173"/>
      <c r="J14" s="801"/>
      <c r="K14" s="171"/>
      <c r="L14" s="790"/>
      <c r="M14" s="79"/>
      <c r="N14" s="360"/>
      <c r="O14" s="275">
        <v>9</v>
      </c>
      <c r="P14" s="215"/>
      <c r="Q14" s="215"/>
      <c r="R14" s="215"/>
      <c r="S14" s="215"/>
      <c r="T14" s="215"/>
      <c r="U14" s="215"/>
      <c r="V14" s="215"/>
    </row>
    <row r="15" spans="1:22" s="80" customFormat="1" ht="15.75">
      <c r="A15" s="481" t="s">
        <v>419</v>
      </c>
      <c r="B15" s="254"/>
      <c r="C15" s="254"/>
      <c r="D15" s="482">
        <v>2</v>
      </c>
      <c r="E15" s="364" t="s">
        <v>407</v>
      </c>
      <c r="F15" s="79"/>
      <c r="G15" s="79"/>
      <c r="H15" s="801"/>
      <c r="I15" s="801"/>
      <c r="J15" s="801"/>
      <c r="K15" s="171"/>
      <c r="L15" s="79"/>
      <c r="M15" s="79"/>
      <c r="N15" s="360"/>
      <c r="O15" s="215"/>
      <c r="P15" s="215"/>
      <c r="Q15" s="215"/>
      <c r="R15" s="215"/>
      <c r="S15" s="215"/>
      <c r="T15" s="215"/>
      <c r="U15" s="215"/>
      <c r="V15" s="215"/>
    </row>
    <row r="16" spans="1:22" ht="15.75">
      <c r="A16" s="481" t="s">
        <v>420</v>
      </c>
      <c r="B16" s="254"/>
      <c r="C16" s="254"/>
      <c r="D16" s="482">
        <v>6</v>
      </c>
      <c r="E16" s="364" t="s">
        <v>407</v>
      </c>
      <c r="F16" s="79"/>
      <c r="G16" s="79"/>
      <c r="H16" s="801"/>
      <c r="I16" s="801"/>
      <c r="J16" s="801"/>
      <c r="K16" s="171"/>
      <c r="L16" s="79"/>
      <c r="M16" s="79"/>
      <c r="N16" s="360"/>
      <c r="O16" s="215" t="s">
        <v>424</v>
      </c>
      <c r="P16" s="215"/>
      <c r="Q16" s="215"/>
      <c r="R16" s="215"/>
      <c r="S16" s="215"/>
      <c r="T16" s="215"/>
      <c r="U16" s="215"/>
      <c r="V16" s="215"/>
    </row>
    <row r="17" spans="1:22">
      <c r="A17" s="483" t="s">
        <v>421</v>
      </c>
      <c r="B17" s="255"/>
      <c r="C17" s="255"/>
      <c r="D17" s="484">
        <v>3</v>
      </c>
      <c r="E17" s="364" t="s">
        <v>422</v>
      </c>
      <c r="F17" s="79"/>
      <c r="G17" s="79"/>
      <c r="H17" s="801"/>
      <c r="I17" s="801"/>
      <c r="J17" s="801"/>
      <c r="K17" s="169"/>
      <c r="L17" s="79"/>
      <c r="M17" s="79"/>
      <c r="N17" s="360"/>
      <c r="O17" s="215" t="s">
        <v>423</v>
      </c>
      <c r="P17" s="215"/>
      <c r="Q17" s="215"/>
      <c r="R17" s="215"/>
      <c r="S17" s="215"/>
      <c r="T17" s="215"/>
      <c r="U17" s="215"/>
      <c r="V17" s="215"/>
    </row>
    <row r="18" spans="1:22" ht="15.75" customHeight="1">
      <c r="A18" s="802" t="s">
        <v>323</v>
      </c>
      <c r="B18" s="803"/>
      <c r="C18" s="1178" t="s">
        <v>425</v>
      </c>
      <c r="D18" s="1178"/>
      <c r="E18" s="364"/>
      <c r="F18" s="79"/>
      <c r="G18" s="79"/>
      <c r="H18" s="801"/>
      <c r="I18" s="801"/>
      <c r="J18" s="801"/>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f>D11</f>
        <v>3</v>
      </c>
      <c r="C20" s="238" t="s">
        <v>5</v>
      </c>
      <c r="D20" s="239">
        <f>G11</f>
        <v>6</v>
      </c>
      <c r="E20" s="1246" t="s">
        <v>407</v>
      </c>
      <c r="F20" s="1247"/>
      <c r="G20" s="1244"/>
      <c r="H20" s="1245"/>
      <c r="I20" s="1245"/>
      <c r="J20" s="1245"/>
      <c r="K20" s="1245"/>
      <c r="L20" s="1245"/>
      <c r="M20" s="814"/>
      <c r="N20" s="489"/>
      <c r="O20" s="215"/>
      <c r="P20" s="215"/>
      <c r="Q20" s="215"/>
      <c r="R20" s="215"/>
      <c r="S20" s="215"/>
      <c r="T20" s="215"/>
      <c r="U20" s="215"/>
      <c r="V20" s="215"/>
    </row>
    <row r="21" spans="1:22">
      <c r="A21" s="238" t="s">
        <v>4</v>
      </c>
      <c r="B21" s="239">
        <f>(B20*12)+D20</f>
        <v>42</v>
      </c>
      <c r="C21" s="238" t="s">
        <v>407</v>
      </c>
      <c r="D21" s="814"/>
      <c r="E21" s="1248" t="s">
        <v>74</v>
      </c>
      <c r="F21" s="1248"/>
      <c r="G21" s="240">
        <v>4</v>
      </c>
      <c r="H21" s="238" t="s">
        <v>409</v>
      </c>
      <c r="I21" s="814"/>
      <c r="J21" s="246" t="s">
        <v>11</v>
      </c>
      <c r="K21" s="239">
        <v>55</v>
      </c>
      <c r="L21" s="238" t="s">
        <v>410</v>
      </c>
      <c r="M21" s="814"/>
      <c r="N21" s="489"/>
      <c r="O21" s="215"/>
      <c r="P21" s="215"/>
      <c r="Q21" s="215"/>
      <c r="R21" s="215"/>
      <c r="S21" s="215"/>
      <c r="T21" s="215"/>
      <c r="U21" s="215"/>
      <c r="V21" s="215"/>
    </row>
    <row r="22" spans="1:22">
      <c r="A22" s="813"/>
      <c r="B22" s="814"/>
      <c r="C22" s="814"/>
      <c r="D22" s="814"/>
      <c r="E22" s="814"/>
      <c r="F22" s="814"/>
      <c r="G22" s="814"/>
      <c r="H22" s="814"/>
      <c r="I22" s="814"/>
      <c r="J22" s="814"/>
      <c r="K22" s="814"/>
      <c r="L22" s="814"/>
      <c r="M22" s="814"/>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814"/>
      <c r="N23" s="489"/>
      <c r="O23" s="215"/>
      <c r="P23" s="215"/>
      <c r="Q23" s="215"/>
      <c r="R23" s="215"/>
      <c r="S23" s="215"/>
      <c r="T23" s="215"/>
      <c r="U23" s="215"/>
      <c r="V23" s="215"/>
    </row>
    <row r="24" spans="1:22">
      <c r="A24" s="813"/>
      <c r="B24" s="814"/>
      <c r="C24" s="814"/>
      <c r="D24" s="814"/>
      <c r="E24" s="814"/>
      <c r="F24" s="238" t="s">
        <v>411</v>
      </c>
      <c r="G24" s="814"/>
      <c r="H24" s="814"/>
      <c r="I24" s="814"/>
      <c r="J24" s="814"/>
      <c r="K24" s="814"/>
      <c r="L24" s="814"/>
      <c r="M24" s="814"/>
      <c r="N24" s="489"/>
      <c r="O24" s="215"/>
      <c r="P24" s="215"/>
      <c r="Q24" s="215"/>
      <c r="R24" s="215"/>
      <c r="S24" s="215"/>
      <c r="T24" s="215"/>
      <c r="U24" s="215"/>
      <c r="V24" s="215"/>
    </row>
    <row r="25" spans="1:22">
      <c r="A25" s="1238" t="s">
        <v>412</v>
      </c>
      <c r="B25" s="1239"/>
      <c r="C25" s="1239"/>
      <c r="D25" s="239">
        <v>2.2000000000000002</v>
      </c>
      <c r="E25" s="812" t="s">
        <v>409</v>
      </c>
      <c r="F25" s="241">
        <f>(D25-3.2)*(100)/3.2</f>
        <v>-31.25</v>
      </c>
      <c r="G25" s="247">
        <f>3.2-D25</f>
        <v>1</v>
      </c>
      <c r="H25" s="242" t="s">
        <v>402</v>
      </c>
      <c r="I25" s="814"/>
      <c r="J25" s="814"/>
      <c r="K25" s="814"/>
      <c r="L25" s="814"/>
      <c r="M25" s="814"/>
      <c r="N25" s="489"/>
      <c r="O25" s="215"/>
      <c r="P25" s="215"/>
      <c r="Q25" s="215"/>
      <c r="R25" s="215"/>
      <c r="S25" s="215"/>
      <c r="T25" s="215"/>
      <c r="U25" s="215"/>
      <c r="V25" s="215"/>
    </row>
    <row r="26" spans="1:22">
      <c r="A26" s="1238" t="s">
        <v>413</v>
      </c>
      <c r="B26" s="1239"/>
      <c r="C26" s="1239"/>
      <c r="D26" s="239">
        <v>50</v>
      </c>
      <c r="E26" s="812" t="s">
        <v>410</v>
      </c>
      <c r="F26" s="241">
        <f>(D26-49)*(100)/49</f>
        <v>2.0408163265306123</v>
      </c>
      <c r="G26" s="239"/>
      <c r="H26" s="242" t="s">
        <v>414</v>
      </c>
      <c r="I26" s="814"/>
      <c r="J26" s="814"/>
      <c r="K26" s="814"/>
      <c r="L26" s="814"/>
      <c r="M26" s="814"/>
      <c r="N26" s="489"/>
      <c r="O26" s="215"/>
      <c r="P26" s="215">
        <f>50-D26</f>
        <v>0</v>
      </c>
      <c r="Q26" s="215"/>
      <c r="R26" s="215"/>
      <c r="S26" s="215"/>
      <c r="T26" s="215"/>
      <c r="U26" s="215"/>
      <c r="V26" s="215"/>
    </row>
    <row r="27" spans="1:22" ht="15.75">
      <c r="A27" s="1238" t="s">
        <v>415</v>
      </c>
      <c r="B27" s="1239"/>
      <c r="C27" s="1240"/>
      <c r="D27" s="815">
        <f>IF(B21=36,14.3,IF(B21=37,14.5,IF(B21=38,14.7,IF(B21=39,14.8,IF(B21=40,15,IF(B21=41,15.2,IF(B21=42,15.3,IF(B21=43,15.5,IF(B21=44,15.7,IF(B21=45,15.8,IF(B21=46,16,IF(B21=47,16.2,IF(B21=48,16.3,IF(B21=49,16.5,IF(B21=50,16.7,IF(B21=51,16.8,IF(B21=52,17,IF(B21=53,17.2,IF(B21=54,17.3,IF(B21=55,17.5,IF(B21=56,17.7,IF(B21=57,17.8,IF(B21=58,18,IF(B21=59,18.2,IF(B21=60,18.3,IF(B21=61,18.5,IF(B21=62,18.7,IF(B21=63,18.9,IF(B21=64,19,IF(B21=65,19.2,IF(B21=66,19.4,IF(B21=67,19.6,IF(B21=68,19.8,IF(B21=69,19.9,IF(B18=70,20.1,IF(B21=71,20.3,IF(B21=72,20.5)))))))))))))))))))))))))))))))))))))</f>
        <v>15.3</v>
      </c>
      <c r="E27" s="238" t="s">
        <v>409</v>
      </c>
      <c r="F27" s="241">
        <f>(G21-D27)*(100)/D27</f>
        <v>-73.856209150326791</v>
      </c>
      <c r="G27" s="250">
        <f>D27-G21</f>
        <v>11.3</v>
      </c>
      <c r="H27" s="243" t="s">
        <v>402</v>
      </c>
      <c r="I27" s="814"/>
      <c r="J27" s="814"/>
      <c r="K27" s="814"/>
      <c r="L27" s="814"/>
      <c r="M27" s="814"/>
      <c r="N27" s="489"/>
      <c r="O27" s="215"/>
      <c r="P27" s="215"/>
      <c r="Q27" s="215"/>
      <c r="R27" s="215"/>
      <c r="S27" s="215"/>
      <c r="T27" s="215"/>
      <c r="U27" s="215"/>
      <c r="V27" s="215"/>
    </row>
    <row r="28" spans="1:22" ht="15.75">
      <c r="A28" s="1238" t="s">
        <v>416</v>
      </c>
      <c r="B28" s="1239"/>
      <c r="C28" s="1240"/>
      <c r="D28" s="782">
        <f>IF(B21=36,96.1,IF(B21=37,96.7,IF(B21=38,97.4,IF(B21=39,98,IF(B21=40,98.6,IF(B21=41,99.2,IF(B21=42,99.9,IF(B21=43,100.4,IF(B21=44,101,IF(B21=45,101.6,IF(B21=46,102.2,IF(B21=47,102.8,IF(B21=48,103.3,IF(B21=49,103.9,IF(B21=50,104.4,IF(B21=51,105,IF(B21=52,105.6,IF(B21=53,106.1,IF(B21=54,106.7,IF(B21=55,107.2,IF(B21=56,107.8,IF(B21=57,108.3,IF(B21=58,108.9,IF(B21=59,109.4,IF(B21=60,110,IF(B21=61,110.3,IF(B21=62,110.8,IF(B21=63,111.3,IF(B21=64,111.9,IF(B21=65,112.4,IF(B21=66,112.9,IF(B21=67,113.4,IF(B21=68,113.9,IF(B21=69,114.5,IF(B21=70,115,IF(B21=71,115.5,IF(B21=72,116)))))))))))))))))))))))))))))))))))))</f>
        <v>99.9</v>
      </c>
      <c r="E28" s="238" t="s">
        <v>410</v>
      </c>
      <c r="F28" s="241">
        <f>(K21-D28)*(100)/D28</f>
        <v>-44.94494494494495</v>
      </c>
      <c r="G28" s="239">
        <f>D28-K21</f>
        <v>44.900000000000006</v>
      </c>
      <c r="H28" s="243" t="s">
        <v>414</v>
      </c>
      <c r="I28" s="814"/>
      <c r="J28" s="814"/>
      <c r="K28" s="814"/>
      <c r="L28" s="814"/>
      <c r="M28" s="814"/>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26.143790849673206</v>
      </c>
      <c r="I30" s="293" t="str">
        <f>IF(H30&gt;110,"EXCESO O SOBREPESO",IF(H30=109.9,"NORMAL",IF(H30&gt;=90,"NORMAL",IF(H30=88.9,"DESNUTRICION LEVE 1ER GRADO",IF(H30&gt;=80,"DESNUTRICION LEVE 1ER GRADO",IF(H30=79.9,"DESNUTRICION MODERADA 2DO GRADO",IF(H30&gt;=70,"DESNUTRICION MODERADA 2DO GRADO",IF(H30&lt;70,"DESNUTRICION SEVERA 3ER GRADO"))))))))</f>
        <v>DESNUTRICION SEVERA 3ER GRADO</v>
      </c>
      <c r="J30" s="293"/>
      <c r="K30" s="293"/>
      <c r="L30" s="293"/>
      <c r="M30" s="293"/>
      <c r="N30" s="490"/>
      <c r="O30" s="215"/>
      <c r="P30" s="215"/>
      <c r="Q30" s="215"/>
      <c r="R30" s="215"/>
      <c r="S30" s="215"/>
      <c r="T30" s="215"/>
      <c r="U30" s="215"/>
      <c r="V30" s="215"/>
    </row>
    <row r="31" spans="1:22">
      <c r="A31" s="813" t="s">
        <v>436</v>
      </c>
      <c r="B31" s="814"/>
      <c r="C31" s="814"/>
      <c r="D31" s="251"/>
      <c r="E31" s="814"/>
      <c r="F31" s="252"/>
      <c r="G31" s="251"/>
      <c r="H31" s="253">
        <f>(G21/D27)*100</f>
        <v>26.143790849673206</v>
      </c>
      <c r="I31" s="814" t="str">
        <f>IF(H31&gt;=90,"NORMAL",IF(H31=89.9,"DESNUTRICION LEVE 1ER GRADO",IF(H31&gt;=75,"DESNUTRICION LEVE 1ER GRADO",IF(H31=74.9,"DESNUTRICION MODERADA 2DO GRADO",IF(H31&gt;=60,"DESNUTRICION MODERADA 2DO GRADO",IF(H31&lt;59.9,"DESNUTRICION SEVERA 3ER GRADO"))))))</f>
        <v>DESNUTRICION SEVERA 3ER GRADO</v>
      </c>
      <c r="J31" s="814"/>
      <c r="K31" s="814"/>
      <c r="L31" s="814"/>
      <c r="M31" s="814"/>
      <c r="N31" s="489"/>
      <c r="O31" s="215"/>
      <c r="P31" s="215"/>
      <c r="Q31" s="215"/>
      <c r="R31" s="215"/>
      <c r="S31" s="215"/>
      <c r="T31" s="215"/>
      <c r="U31" s="215"/>
      <c r="V31" s="215"/>
    </row>
    <row r="32" spans="1:22">
      <c r="A32" s="813" t="s">
        <v>437</v>
      </c>
      <c r="B32" s="814"/>
      <c r="C32" s="814"/>
      <c r="D32" s="251"/>
      <c r="E32" s="814"/>
      <c r="F32" s="252"/>
      <c r="G32" s="251"/>
      <c r="H32" s="253">
        <f>(K21/D28)*100</f>
        <v>55.05505505505505</v>
      </c>
      <c r="I32" s="814" t="str">
        <f>IF(H32&gt;95,"NORMAL",IF(H32=94.9,"DESNUTRICION LEVE 1ER GRADO",IF(H32&gt;=90,"DESNUTRICION LEVE 1ER GRADO",IF(H32=89.9,"DESNUTRICION MODERADA 2DO GRADO",IF(H32&gt;=85,"DESNUTRICION MODERADA 2DO GRADO",IF(H32&lt;84.9,"DESNUTRICION SEVERA 3ER GRADO"))))))</f>
        <v>DESNUTRICION SEVERA 3ER GRADO</v>
      </c>
      <c r="J32" s="814"/>
      <c r="K32" s="814"/>
      <c r="L32" s="814"/>
      <c r="M32" s="814"/>
      <c r="N32" s="489"/>
      <c r="O32" s="215"/>
      <c r="P32" s="215"/>
      <c r="Q32" s="215"/>
      <c r="R32" s="215"/>
      <c r="S32" s="215"/>
      <c r="T32" s="215"/>
      <c r="U32" s="215"/>
      <c r="V32" s="215"/>
    </row>
    <row r="33" spans="1:32">
      <c r="A33" s="813"/>
      <c r="B33" s="814"/>
      <c r="C33" s="814"/>
      <c r="D33" s="251"/>
      <c r="E33" s="814"/>
      <c r="F33" s="252"/>
      <c r="G33" s="251"/>
      <c r="H33" s="253"/>
      <c r="I33" s="814"/>
      <c r="J33" s="814"/>
      <c r="K33" s="814"/>
      <c r="L33" s="814"/>
      <c r="M33" s="814"/>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789"/>
      <c r="D37" s="370" t="s">
        <v>349</v>
      </c>
      <c r="E37" s="370"/>
      <c r="F37" s="370"/>
      <c r="G37" s="789"/>
      <c r="H37" s="370" t="s">
        <v>354</v>
      </c>
      <c r="I37" s="370"/>
      <c r="J37" s="789"/>
      <c r="K37" s="370"/>
      <c r="L37" s="370" t="s">
        <v>358</v>
      </c>
      <c r="M37" s="370"/>
      <c r="N37" s="377"/>
      <c r="O37" s="215"/>
      <c r="P37" s="215"/>
      <c r="Q37" s="215"/>
      <c r="R37" s="215"/>
      <c r="S37" s="215"/>
      <c r="T37" s="215"/>
      <c r="U37" s="215"/>
      <c r="V37" s="215"/>
    </row>
    <row r="38" spans="1:32">
      <c r="A38" s="1074" t="s">
        <v>345</v>
      </c>
      <c r="B38" s="1075"/>
      <c r="C38" s="789"/>
      <c r="D38" s="370" t="s">
        <v>350</v>
      </c>
      <c r="E38" s="370"/>
      <c r="F38" s="370"/>
      <c r="G38" s="789"/>
      <c r="H38" s="370" t="s">
        <v>355</v>
      </c>
      <c r="I38" s="370"/>
      <c r="J38" s="789"/>
      <c r="K38" s="370"/>
      <c r="L38" s="370" t="s">
        <v>359</v>
      </c>
      <c r="M38" s="370"/>
      <c r="N38" s="377"/>
      <c r="O38" s="215"/>
      <c r="P38" s="215"/>
      <c r="Q38" s="215"/>
      <c r="R38" s="215"/>
      <c r="S38" s="215"/>
      <c r="T38" s="215"/>
      <c r="U38" s="215"/>
      <c r="V38" s="215"/>
    </row>
    <row r="39" spans="1:32">
      <c r="A39" s="1074" t="s">
        <v>346</v>
      </c>
      <c r="B39" s="1075"/>
      <c r="C39" s="789" t="s">
        <v>405</v>
      </c>
      <c r="D39" s="370" t="s">
        <v>351</v>
      </c>
      <c r="E39" s="370"/>
      <c r="F39" s="370"/>
      <c r="G39" s="789"/>
      <c r="H39" s="370" t="s">
        <v>356</v>
      </c>
      <c r="I39" s="370"/>
      <c r="J39" s="789"/>
      <c r="K39" s="370"/>
      <c r="L39" s="1076" t="s">
        <v>360</v>
      </c>
      <c r="M39" s="1076"/>
      <c r="N39" s="377" t="s">
        <v>403</v>
      </c>
      <c r="O39" s="215"/>
      <c r="P39" s="215"/>
      <c r="Q39" s="215"/>
      <c r="R39" s="215"/>
      <c r="S39" s="215"/>
      <c r="T39" s="215"/>
      <c r="U39" s="215"/>
      <c r="V39" s="215"/>
      <c r="W39" s="80"/>
      <c r="X39" s="80"/>
      <c r="Y39" s="80"/>
      <c r="Z39" s="80"/>
      <c r="AA39" s="80"/>
      <c r="AB39" s="80"/>
      <c r="AC39" s="80"/>
      <c r="AD39" s="80"/>
      <c r="AE39" s="80"/>
      <c r="AF39" s="80"/>
    </row>
    <row r="40" spans="1:32">
      <c r="A40" s="1074" t="s">
        <v>347</v>
      </c>
      <c r="B40" s="1075"/>
      <c r="C40" s="789"/>
      <c r="D40" s="370" t="s">
        <v>352</v>
      </c>
      <c r="E40" s="370"/>
      <c r="F40" s="370"/>
      <c r="G40" s="789"/>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787"/>
      <c r="B41" s="788"/>
      <c r="C41" s="789"/>
      <c r="D41" s="370"/>
      <c r="E41" s="370"/>
      <c r="F41" s="370"/>
      <c r="G41" s="789"/>
      <c r="H41" s="370"/>
      <c r="I41" s="370"/>
      <c r="J41" s="370"/>
      <c r="K41" s="370"/>
      <c r="L41" s="788"/>
      <c r="M41" s="788"/>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442</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800"/>
      <c r="B50" s="800"/>
      <c r="C50" s="800"/>
      <c r="D50" s="3"/>
      <c r="O50" s="215"/>
      <c r="P50" s="215"/>
      <c r="Q50" s="215"/>
      <c r="R50" s="215"/>
      <c r="S50" s="215"/>
      <c r="T50" s="215"/>
      <c r="U50" s="215"/>
      <c r="V50" s="215"/>
      <c r="W50" s="80"/>
      <c r="X50" s="80"/>
      <c r="Y50" s="80"/>
      <c r="Z50" s="80"/>
      <c r="AA50" s="80"/>
      <c r="AB50" s="80"/>
      <c r="AC50" s="80"/>
      <c r="AD50" s="80"/>
      <c r="AE50" s="80"/>
      <c r="AF50" s="80"/>
    </row>
    <row r="51" spans="1:32" s="62" customFormat="1" ht="15.75">
      <c r="A51" s="800"/>
      <c r="B51" s="800"/>
      <c r="C51" s="800"/>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800"/>
      <c r="B52" s="800"/>
      <c r="C52" s="800"/>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799" t="s">
        <v>211</v>
      </c>
      <c r="D53" s="799"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0</v>
      </c>
      <c r="F60" s="1" t="str">
        <f>IF(E60=0,"ND",IF(E60&lt;12,"BAJO",IF(E60=11.9,"BAJO",IF(E60=12,"NORMAL",IF(E60&lt;=16,"NORMAL",IF(E60&gt;=16.1,"ALTO"))))))</f>
        <v>ND</v>
      </c>
      <c r="G60" s="141"/>
      <c r="H60" s="1" t="str">
        <f>IF(G60=0,"ND",IF(G60&lt;12,"BAJO",IF(G60=11.9,"BAJO",IF(G60=12,"NORMAL",IF(G60&lt;=16,"NORMAL",IF(G60&gt;=16.1,"ALTO"))))))</f>
        <v>ND</v>
      </c>
      <c r="I60" s="141"/>
      <c r="J60" s="1" t="str">
        <f>IF(I60=0,"ND",IF(I60&lt;12,"BAJO",IF(I60=11.9,"BAJO",IF(I60=12,"NORMAL",IF(I60&lt;=16,"NORMAL",IF(I60&gt;=16.1,"ALTO"))))))</f>
        <v>ND</v>
      </c>
      <c r="K60" s="141"/>
      <c r="L60" s="1" t="str">
        <f>IF(K60=0,"ND",IF(K60&lt;12,"BAJO",IF(K60=11.9,"BAJO",IF(K60=12,"NORMAL",IF(K60&lt;=16,"NORMAL",IF(K60&gt;=16.1,"ALTO"))))))</f>
        <v>ND</v>
      </c>
      <c r="M60" s="141"/>
      <c r="N60" s="1" t="str">
        <f>IF(M60=0,"ND",IF(M60&lt;12,"BAJO",IF(M60=11.9,"BAJO",IF(M60=12,"NORMAL",IF(M60&lt;=16,"NORMAL",IF(M60&gt;=16.1,"ALTO"))))))</f>
        <v>ND</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0</v>
      </c>
      <c r="F62" s="1" t="str">
        <f>IF(E62=0,"ND",IF(E62&lt;36,"BAJO",IF(E62=35.9,"BAJO",IF(E62=36,"NORMAL",IF(E62&lt;=47,"NORMAL",IF(E62&gt;=47.1,"ALTO"))))))</f>
        <v>ND</v>
      </c>
      <c r="G62" s="141"/>
      <c r="H62" s="1" t="str">
        <f>IF(G62=0,"ND",IF(G62&lt;36,"BAJO",IF(G62=35.9,"BAJO",IF(G62=36,"NORMAL",IF(G62&lt;=47,"NORMAL",IF(G62&gt;=47.1,"ALTO"))))))</f>
        <v>ND</v>
      </c>
      <c r="I62" s="141"/>
      <c r="J62" s="1" t="str">
        <f>IF(I62=0,"ND",IF(I62&lt;36,"BAJO",IF(I62=35.9,"BAJO",IF(I62=36,"NORMAL",IF(I62&lt;=47,"NORMAL",IF(I62&gt;=47.1,"ALTO"))))))</f>
        <v>ND</v>
      </c>
      <c r="K62" s="141"/>
      <c r="L62" s="1" t="str">
        <f>IF(K62=0,"ND",IF(K62&lt;36,"BAJO",IF(K62=35.9,"BAJO",IF(K62=36,"NORMAL",IF(K62&lt;=47,"NORMAL",IF(K62&gt;=47.1,"ALTO"))))))</f>
        <v>ND</v>
      </c>
      <c r="M62" s="141"/>
      <c r="N62" s="1" t="str">
        <f>IF(M62=0,"ND",IF(M62&lt;36,"BAJO",IF(M62=35.9,"BAJO",IF(M62=36,"NORMAL",IF(M62&lt;=47,"NORMAL",IF(M62&gt;=47.1,"ALTO"))))))</f>
        <v>ND</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141">
        <v>0</v>
      </c>
      <c r="F64" s="1" t="str">
        <f>IF(E64=0,"ND",IF(E64&lt;4000,"BAJO",IF(E64=4000,"NORMAL",IF(E64&lt;=11000,"NORMAL",IF(E64&gt;=11001,"ALTO")))))</f>
        <v>ND</v>
      </c>
      <c r="G64" s="141"/>
      <c r="H64" s="1" t="str">
        <f>IF(G64=0,"ND",IF(G64&lt;4000,"BAJO",IF(G64=4000,"NORMAL",IF(G64&lt;=11000,"NORMAL",IF(G64&gt;=11001,"ALTO")))))</f>
        <v>ND</v>
      </c>
      <c r="I64" s="143"/>
      <c r="J64" s="1" t="str">
        <f>IF(I64=0,"ND",IF(I64&lt;4000,"BAJO",IF(I64=4000,"NORMAL",IF(I64&lt;=11000,"NORMAL",IF(I64&gt;=11001,"ALTO")))))</f>
        <v>ND</v>
      </c>
      <c r="K64" s="143"/>
      <c r="L64" s="1" t="str">
        <f>IF(K64=0,"ND",IF(K64&lt;4000,"BAJO",IF(K64=4000,"NORMAL",IF(K64&lt;=11000,"NORMAL",IF(K64&gt;=11001,"ALTO")))))</f>
        <v>ND</v>
      </c>
      <c r="M64" s="143"/>
      <c r="N64" s="1" t="str">
        <f>IF(M64=0,"ND",IF(M64&lt;4000,"BAJO",IF(M64=4000,"NORMAL",IF(M64&lt;=11000,"NORMAL",IF(M64&gt;=11001,"ALTO")))))</f>
        <v>ND</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0</v>
      </c>
      <c r="F67" s="1" t="str">
        <f>IF(E67=0,"ND",IF(E67&lt;65,"BAJO",IF(E67=64.9,"BAJO",IF(E67=65,"NORMAL",IF(E67&lt;=110,"NORMAL",IF(E67&gt;=110.1,"ALTO"))))))</f>
        <v>ND</v>
      </c>
      <c r="G67" s="144"/>
      <c r="H67" s="1" t="str">
        <f>IF(G67=0,"ND",IF(G67&lt;65,"BAJO",IF(G67=64.9,"BAJO",IF(G67=65,"NORMAL",IF(G67&lt;=110,"NORMAL",IF(G67&gt;=110.1,"ALTO"))))))</f>
        <v>ND</v>
      </c>
      <c r="I67" s="144"/>
      <c r="J67" s="1" t="str">
        <f>IF(I67=0,"ND",IF(I67&lt;65,"BAJO",IF(I67=64.9,"BAJO",IF(I67=65,"NORMAL",IF(I67&lt;=110,"NORMAL",IF(I67&gt;=110.1,"ALTO"))))))</f>
        <v>ND</v>
      </c>
      <c r="K67" s="144"/>
      <c r="L67" s="1" t="str">
        <f>IF(K67=0,"ND",IF(K67&lt;65,"BAJO",IF(K67=64.9,"BAJO",IF(K67=65,"NORMAL",IF(K67&lt;=110,"NORMAL",IF(K67&gt;=110.1,"ALTO"))))))</f>
        <v>ND</v>
      </c>
      <c r="M67" s="144"/>
      <c r="N67" s="1" t="str">
        <f>IF(M67=0,"ND",IF(M67&lt;65,"BAJO",IF(M67=64.9,"BAJO",IF(M67=65,"NORMAL",IF(M67&lt;=110,"NORMAL",IF(M67&gt;=110.1,"ALTO"))))))</f>
        <v>ND</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IF(E69=0,"ND",IF(E69&lt;14,"BAJO",IF(E69=13.9,"BAJO",IF(E69=14,"NORMAL",IF(E69&lt;=44,"NORMAL",IF(E69&gt;=44.1,"ALTO"))))))</f>
        <v>ND</v>
      </c>
      <c r="G69" s="145"/>
      <c r="H69" s="1" t="str">
        <f>IF(G69=0,"ND",IF(G69&lt;14,"BAJO",IF(G69=13.9,"BAJO",IF(G69=14,"NORMAL",IF(G69&lt;=44,"NORMAL",IF(G69&gt;=44.1,"ALTO"))))))</f>
        <v>ND</v>
      </c>
      <c r="I69" s="145"/>
      <c r="J69" s="1" t="str">
        <f>IF(I69=0,"ND",IF(I69&lt;14,"BAJO",IF(I69=13.9,"BAJO",IF(I69=14,"NORMAL",IF(I69&lt;=44,"NORMAL",IF(I69&gt;=44.1,"ALTO"))))))</f>
        <v>ND</v>
      </c>
      <c r="K69" s="145"/>
      <c r="L69" s="1" t="str">
        <f>IF(K69=0,"ND",IF(K69&lt;14,"BAJO",IF(K69=13.9,"BAJO",IF(K69=14,"NORMAL",IF(K69&lt;=44,"NORMAL",IF(K69&gt;=44.1,"ALTO"))))))</f>
        <v>ND</v>
      </c>
      <c r="M69" s="145"/>
      <c r="N69" s="1" t="str">
        <f>IF(M69=0,"ND",IF(M69&lt;14,"BAJO",IF(M69=13.9,"BAJO",IF(M69=14,"NORMAL",IF(M69&lt;=44,"NORMAL",IF(M69&gt;=44.1,"ALTO"))))))</f>
        <v>ND</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IF(E71=0,"ND",IF(E71&lt;3.4,"BAJO",IF(E71&lt;=3.39,"BAJO",IF(E71=3.4,"NORMAL",IF(E71&lt;=7,"NORMAL",IF(E71&gt;=7.1,"ALTO"))))))</f>
        <v>ND</v>
      </c>
      <c r="G71" s="145"/>
      <c r="H71" s="1" t="str">
        <f>IF(G71=0,"ND",IF(G71&lt;3.4,"BAJO",IF(G71&lt;=3.39,"BAJO",IF(G71=3.4,"NORMAL",IF(G71&lt;=7,"NORMAL",IF(G71&gt;=7.1,"ALTO"))))))</f>
        <v>ND</v>
      </c>
      <c r="I71" s="145"/>
      <c r="J71" s="1" t="str">
        <f>IF(I71=0,"ND",IF(I71&lt;3.4,"BAJO",IF(I71&lt;=3.39,"BAJO",IF(I71=3.4,"NORMAL",IF(I71&lt;=7,"NORMAL",IF(I71&gt;=7.1,"ALTO"))))))</f>
        <v>ND</v>
      </c>
      <c r="K71" s="145"/>
      <c r="L71" s="1" t="str">
        <f>IF(K71=0,"ND",IF(K71&lt;3.4,"BAJO",IF(K71&lt;=3.39,"BAJO",IF(K71=3.4,"NORMAL",IF(K71&lt;=7,"NORMAL",IF(K71&gt;=7.1,"ALTO"))))))</f>
        <v>ND</v>
      </c>
      <c r="M71" s="145"/>
      <c r="N71" s="1" t="str">
        <f>IF(M71=0,"ND",IF(M71&lt;3.4,"BAJO",IF(M71&lt;=3.39,"BAJO",IF(M71=3.4,"NORMAL",IF(M71&lt;=7,"NORMAL",IF(M71&gt;=7.1,"ALTO"))))))</f>
        <v>ND</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IF(E73=0,"ND",IF(E73&lt;0.5,"BAJO",IF(E73=0.49,"BAJO",IF(E73=0.5,"NORMAL",IF(E73&lt;=1.6,"NORMAL",IF(E73&gt;=1.61,"ALTO"))))))</f>
        <v>ND</v>
      </c>
      <c r="G73" s="143"/>
      <c r="H73" s="1" t="str">
        <f>IF(G73=0,"ND",IF(G73&lt;0.5,"BAJO",IF(G73=0.49,"BAJO",IF(G73=0.5,"NORMAL",IF(G73&lt;=1.6,"NORMAL",IF(G73&gt;=1.61,"ALTO"))))))</f>
        <v>ND</v>
      </c>
      <c r="I73" s="143"/>
      <c r="J73" s="1" t="str">
        <f>IF(I73=0,"ND",IF(I73&lt;0.5,"BAJO",IF(I73=0.49,"BAJO",IF(I73=0.5,"NORMAL",IF(I73&lt;=1.6,"NORMAL",IF(I73&gt;=1.61,"ALTO"))))))</f>
        <v>ND</v>
      </c>
      <c r="K73" s="143"/>
      <c r="L73" s="1" t="str">
        <f>IF(K73=0,"ND",IF(K73&lt;0.5,"BAJO",IF(K73=0.49,"BAJO",IF(K73=0.5,"NORMAL",IF(K73&lt;=1.6,"NORMAL",IF(K73&gt;=1.61,"ALTO"))))))</f>
        <v>ND</v>
      </c>
      <c r="M73" s="143"/>
      <c r="N73" s="1" t="str">
        <f>IF(M73=0,"ND",IF(M73&lt;0.5,"BAJO",IF(M73=0.49,"BAJO",IF(M73=0.5,"NORMAL",IF(M73&lt;=1.6,"NORMAL",IF(M73&gt;=1.61,"ALTO"))))))</f>
        <v>ND</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799" t="s">
        <v>30</v>
      </c>
      <c r="B76" s="799"/>
      <c r="C76" s="56" t="s">
        <v>224</v>
      </c>
      <c r="D76" s="57" t="s">
        <v>219</v>
      </c>
      <c r="E76" s="144">
        <v>0</v>
      </c>
      <c r="F76" s="1" t="str">
        <f>IF(E76=0,"ND",IF(E76&lt;6.4,"BAJO",IF(E76=6.39,"BAJO",IF(E76=6.4,"NORMAL",IF(E76&lt;=8.3,"NORMAL",IF(E76&gt;=8.31,"ALTO"))))))</f>
        <v>ND</v>
      </c>
      <c r="G76" s="144"/>
      <c r="H76" s="1" t="str">
        <f>IF(G76=0,"ND",IF(G76&lt;6.4,"BAJO",IF(G76=6.39,"BAJO",IF(G76=6.4,"NORMAL",IF(G76&lt;=8.3,"NORMAL",IF(G76&gt;=8.31,"ALTO"))))))</f>
        <v>ND</v>
      </c>
      <c r="I76" s="144"/>
      <c r="J76" s="1" t="str">
        <f>IF(I76=0,"ND",IF(I76&lt;6.4,"BAJO",IF(I76=6.39,"BAJO",IF(I76=6.4,"NORMAL",IF(I76&lt;=8.3,"NORMAL",IF(I76&gt;=8.31,"ALTO"))))))</f>
        <v>ND</v>
      </c>
      <c r="K76" s="144"/>
      <c r="L76" s="1" t="str">
        <f>IF(K76=0,"ND",IF(K76&lt;6.4,"BAJO",IF(K76=6.39,"BAJO",IF(K76=6.4,"NORMAL",IF(K76&lt;=8.3,"NORMAL",IF(K76&gt;=8.31,"ALTO"))))))</f>
        <v>ND</v>
      </c>
      <c r="M76" s="144"/>
      <c r="N76" s="1" t="str">
        <f>IF(M76=0,"ND",IF(M76&lt;6.4,"BAJO",IF(M76=6.39,"BAJO",IF(M76=6.4,"NORMAL",IF(M76&lt;=8.3,"NORMAL",IF(M76&gt;=8.31,"ALTO"))))))</f>
        <v>ND</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v>0</v>
      </c>
      <c r="F78" s="1" t="str">
        <f>IF(E78=0,"ND",IF(E78&lt;3.4,"BAJO",IF(E78=3.39,"BAJO",IF(E78=3.4,"NORMAL",IF(E78&lt;=5,"NORMAL",IF(E78&gt;=5.01,"ALTO"))))))</f>
        <v>ND</v>
      </c>
      <c r="G78" s="143"/>
      <c r="H78" s="1" t="str">
        <f>IF(G78=0,"ND",IF(G78&lt;3.4,"BAJO",IF(G78=3.39,"BAJO",IF(G78=3.4,"NORMAL",IF(G78&lt;=5,"NORMAL",IF(G78&gt;=5.01,"ALTO"))))))</f>
        <v>ND</v>
      </c>
      <c r="I78" s="143"/>
      <c r="J78" s="1" t="str">
        <f>IF(I78=0,"ND",IF(I78&lt;3.4,"BAJO",IF(I78=3.39,"BAJO",IF(I78=3.4,"NORMAL",IF(I78&lt;=5,"NORMAL",IF(I78&gt;=5.01,"ALTO"))))))</f>
        <v>ND</v>
      </c>
      <c r="K78" s="143"/>
      <c r="L78" s="1" t="str">
        <f>IF(K78=0,"ND",IF(K78&lt;3.4,"BAJO",IF(K78=3.39,"BAJO",IF(K78=3.4,"NORMAL",IF(K78&lt;=5,"NORMAL",IF(K78&gt;=5.01,"ALTO"))))))</f>
        <v>ND</v>
      </c>
      <c r="M78" s="143"/>
      <c r="N78" s="1" t="str">
        <f>IF(M78=0,"ND",IF(M78&lt;3.4,"BAJO",IF(M78=3.39,"BAJO",IF(M78=3.4,"NORMAL",IF(M78&lt;=5,"NORMAL",IF(M78&gt;=5.01,"ALTO"))))))</f>
        <v>ND</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797" t="s">
        <v>33</v>
      </c>
      <c r="B81" s="797"/>
      <c r="C81" s="46" t="s">
        <v>232</v>
      </c>
      <c r="D81" s="42" t="s">
        <v>221</v>
      </c>
      <c r="E81" s="141">
        <v>0</v>
      </c>
      <c r="F81" s="1" t="str">
        <f>IF(E81=0,"ND",IF(E81&lt;140,"BAJO",IF(E81=139.9,"BAJO",IF(E81=140,"NORMAL",IF(E81&lt;=200,"NORMAL",IF(E81&gt;=200.1,"ALTO"))))))</f>
        <v>ND</v>
      </c>
      <c r="G81" s="141"/>
      <c r="H81" s="1" t="str">
        <f>IF(G81=0,"ND",IF(G81&lt;140,"BAJO",IF(G81=139.9,"BAJO",IF(G81=140,"NORMAL",IF(G81&lt;=200,"NORMAL",IF(G81&gt;=200.1,"ALTO"))))))</f>
        <v>ND</v>
      </c>
      <c r="I81" s="141"/>
      <c r="J81" s="1" t="str">
        <f>IF(I81=0,"ND",IF(I81&lt;140,"BAJO",IF(I81=139.9,"BAJO",IF(I81=140,"NORMAL",IF(I81&lt;=200,"NORMAL",IF(I81&gt;=200.1,"ALTO"))))))</f>
        <v>ND</v>
      </c>
      <c r="K81" s="141"/>
      <c r="L81" s="1" t="str">
        <f>IF(K81=0,"ND",IF(K81&lt;140,"BAJO",IF(K81=139.9,"BAJO",IF(K81=140,"NORMAL",IF(K81&lt;=200,"NORMAL",IF(K81&gt;=200.1,"ALTO"))))))</f>
        <v>ND</v>
      </c>
      <c r="M81" s="141"/>
      <c r="N81" s="1" t="str">
        <f>IF(M81=0,"ND",IF(M81&lt;140,"BAJO",IF(M81=139.9,"BAJO",IF(M81=140,"NORMAL",IF(M81&lt;=200,"NORMAL",IF(M81&gt;=200.1,"ALTO"))))))</f>
        <v>ND</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IF(E83=0,"ND",IF(E83&lt;40,"BAJO",IF(E83=39.9,"BAJO",IF(E83=40,"NORMAL",IF(E83&lt;=160,"NORMAL",IF(E83&gt;=160.1,"ALTO"))))))</f>
        <v>ND</v>
      </c>
      <c r="G83" s="141"/>
      <c r="H83" s="1" t="str">
        <f>IF(G83=0,"ND",IF(G83&lt;40,"BAJO",IF(G83=39.9,"BAJO",IF(G83=40,"NORMAL",IF(G83&lt;=160,"NORMAL",IF(G83&gt;=160.1,"ALTO"))))))</f>
        <v>ND</v>
      </c>
      <c r="I83" s="141"/>
      <c r="J83" s="1" t="str">
        <f>IF(I83=0,"ND",IF(I83&lt;40,"BAJO",IF(I83=39.9,"BAJO",IF(I83=40,"NORMAL",IF(I83&lt;=160,"NORMAL",IF(I83&gt;=160.1,"ALTO"))))))</f>
        <v>ND</v>
      </c>
      <c r="K83" s="141"/>
      <c r="L83" s="1" t="str">
        <f>IF(K83=0,"ND",IF(K83&lt;40,"BAJO",IF(K83=39.9,"BAJO",IF(K83=40,"NORMAL",IF(K83&lt;=160,"NORMAL",IF(K83&gt;=160.1,"ALTO"))))))</f>
        <v>ND</v>
      </c>
      <c r="M83" s="141"/>
      <c r="N83" s="1" t="str">
        <f>IF(M83=0,"ND",IF(M83&lt;40,"BAJO",IF(M83=39.9,"BAJO",IF(M83=40,"NORMAL",IF(M83&lt;=160,"NORMAL",IF(M83&gt;=160.1,"ALTO"))))))</f>
        <v>ND</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798"/>
      <c r="B86" s="798"/>
      <c r="C86" s="798"/>
      <c r="D86" s="4"/>
      <c r="E86" s="45"/>
      <c r="O86" s="215"/>
      <c r="P86" s="215"/>
      <c r="Q86" s="215"/>
      <c r="R86" s="215"/>
      <c r="S86" s="215"/>
      <c r="T86" s="215"/>
      <c r="U86" s="215"/>
      <c r="V86" s="215"/>
      <c r="W86" s="80"/>
      <c r="X86" s="80"/>
      <c r="Y86" s="80"/>
      <c r="Z86" s="80"/>
      <c r="AA86" s="80"/>
      <c r="AB86" s="80"/>
      <c r="AC86" s="80"/>
      <c r="AD86" s="80"/>
      <c r="AE86" s="80"/>
      <c r="AF86" s="80"/>
    </row>
    <row r="87" spans="1:32">
      <c r="A87" s="798"/>
      <c r="B87" s="798"/>
      <c r="C87" s="798"/>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IF(E88=0,"ND",IF(E88&lt;9,"BAJO",IF(E88=8.9,"BAJO",IF(E88=9,"NORMAL",IF(E88&lt;=20,"NORMAL",IF(E88&gt;=20.1,"ALTO"))))))</f>
        <v>ND</v>
      </c>
      <c r="G88" s="141"/>
      <c r="H88" s="1" t="str">
        <f>IF(G88=0,"ND",IF(G88&lt;9,"BAJO",IF(G88=8.9,"BAJO",IF(G88=9,"NORMAL",IF(G88&lt;=20,"NORMAL",IF(G88&gt;=20.1,"ALTO"))))))</f>
        <v>ND</v>
      </c>
      <c r="I88" s="141"/>
      <c r="J88" s="1" t="str">
        <f>IF(I88=0,"ND",IF(I88&lt;9,"BAJO",IF(I88=8.9,"BAJO",IF(I88=9,"NORMAL",IF(I88&lt;=20,"NORMAL",IF(I88&gt;=20.1,"ALTO"))))))</f>
        <v>ND</v>
      </c>
      <c r="K88" s="141"/>
      <c r="L88" s="1" t="str">
        <f>IF(K88=0,"ND",IF(K88&lt;9,"BAJO",IF(K88=8.9,"BAJO",IF(K88=9,"NORMAL",IF(K88&lt;=20,"NORMAL",IF(K88&gt;=20.1,"ALTO"))))))</f>
        <v>ND</v>
      </c>
      <c r="M88" s="141"/>
      <c r="N88" s="1" t="str">
        <f>IF(M88=0,"ND",IF(M88&lt;9,"BAJO",IF(M88=8.9,"BAJO",IF(M88=9,"NORMAL",IF(M88&lt;=20,"NORMAL",IF(M88&gt;=20.1,"ALTO"))))))</f>
        <v>ND</v>
      </c>
      <c r="O88" s="215"/>
      <c r="P88" s="215"/>
      <c r="Q88" s="215"/>
      <c r="R88" s="215"/>
      <c r="S88" s="215"/>
      <c r="T88" s="215"/>
      <c r="U88" s="215"/>
      <c r="V88" s="215"/>
      <c r="W88" s="80"/>
      <c r="X88" s="80"/>
      <c r="Y88" s="80"/>
      <c r="Z88" s="80"/>
      <c r="AA88" s="80"/>
      <c r="AB88" s="80"/>
      <c r="AC88" s="80"/>
      <c r="AD88" s="80"/>
      <c r="AE88" s="80"/>
      <c r="AF88" s="80"/>
    </row>
    <row r="89" spans="1:32">
      <c r="A89" s="797"/>
      <c r="B89" s="797"/>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797"/>
      <c r="B90" s="797"/>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797"/>
      <c r="B91" s="797"/>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797"/>
      <c r="B92" s="797"/>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1</v>
      </c>
      <c r="C96" s="50">
        <f>B96*12</f>
        <v>12</v>
      </c>
      <c r="D96" s="51">
        <f>B96*9</f>
        <v>9</v>
      </c>
      <c r="E96" s="52">
        <f>B96*5</f>
        <v>5</v>
      </c>
      <c r="F96" s="9">
        <f t="shared" ref="F96:F103" si="0">(C96*4)+(D96*4)+(E96*9)</f>
        <v>129</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2</v>
      </c>
      <c r="C97" s="6">
        <v>0</v>
      </c>
      <c r="D97" s="7">
        <f>B97*7</f>
        <v>14</v>
      </c>
      <c r="E97" s="8">
        <f>B97*4</f>
        <v>8</v>
      </c>
      <c r="F97" s="9">
        <f t="shared" si="0"/>
        <v>128</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1</v>
      </c>
      <c r="C98" s="6">
        <f>B98*15</f>
        <v>15</v>
      </c>
      <c r="D98" s="7">
        <f>B98*0</f>
        <v>0</v>
      </c>
      <c r="E98" s="8">
        <f>B98*0</f>
        <v>0</v>
      </c>
      <c r="F98" s="9">
        <f t="shared" si="0"/>
        <v>60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2</v>
      </c>
      <c r="C99" s="6">
        <f>B99*4</f>
        <v>8</v>
      </c>
      <c r="D99" s="7">
        <f>B99*2</f>
        <v>4</v>
      </c>
      <c r="E99" s="8"/>
      <c r="F99" s="9">
        <f t="shared" si="0"/>
        <v>48</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2</v>
      </c>
      <c r="C100" s="6">
        <f>B100*15</f>
        <v>30</v>
      </c>
      <c r="D100" s="7">
        <f>B100*2</f>
        <v>4</v>
      </c>
      <c r="E100" s="8">
        <f>B100*0</f>
        <v>0</v>
      </c>
      <c r="F100" s="9">
        <f t="shared" si="0"/>
        <v>136</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2</v>
      </c>
      <c r="C102" s="6">
        <f>B102*0</f>
        <v>0</v>
      </c>
      <c r="D102" s="7">
        <f>B102*0</f>
        <v>0</v>
      </c>
      <c r="E102" s="8">
        <f>B102*5</f>
        <v>10</v>
      </c>
      <c r="F102" s="9">
        <f t="shared" si="0"/>
        <v>90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1</v>
      </c>
      <c r="C103" s="6">
        <f>B103*10</f>
        <v>10</v>
      </c>
      <c r="D103" s="7">
        <f>B103*0</f>
        <v>0</v>
      </c>
      <c r="E103" s="10">
        <f>B103*0</f>
        <v>0</v>
      </c>
      <c r="F103" s="11">
        <f t="shared" si="0"/>
        <v>40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75</v>
      </c>
      <c r="D104" s="7">
        <f>SUM(D96:D103)</f>
        <v>31</v>
      </c>
      <c r="E104" s="10">
        <f>SUM(E96:E103)</f>
        <v>23</v>
      </c>
      <c r="F104" s="11">
        <f>SUM(F96:F103)</f>
        <v>631</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f>(D106*100)/F104</f>
        <v>47.543581616481774</v>
      </c>
      <c r="C106" s="1">
        <f>C104</f>
        <v>75</v>
      </c>
      <c r="D106" s="1130">
        <f>C106*4</f>
        <v>300</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f>(D107*100)/F104</f>
        <v>19.6513470681458</v>
      </c>
      <c r="C107" s="1">
        <f>D104</f>
        <v>31</v>
      </c>
      <c r="D107" s="1130">
        <f>C107*4</f>
        <v>124</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f>(D108*100)/F104</f>
        <v>32.805071315372423</v>
      </c>
      <c r="C108" s="1">
        <f>E104</f>
        <v>23</v>
      </c>
      <c r="D108" s="1130">
        <f>C108*9</f>
        <v>207</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2</v>
      </c>
      <c r="C112" s="6">
        <v>0</v>
      </c>
      <c r="D112" s="7">
        <f>B112*7</f>
        <v>14</v>
      </c>
      <c r="E112" s="8">
        <f>B112*4</f>
        <v>8</v>
      </c>
      <c r="F112" s="9">
        <f t="shared" si="1"/>
        <v>128</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2</v>
      </c>
      <c r="C113" s="6">
        <f>B113*15</f>
        <v>30</v>
      </c>
      <c r="D113" s="7">
        <f>B113*0</f>
        <v>0</v>
      </c>
      <c r="E113" s="8">
        <f>B113*0</f>
        <v>0</v>
      </c>
      <c r="F113" s="9">
        <f t="shared" si="1"/>
        <v>120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2</v>
      </c>
      <c r="C114" s="6">
        <f>B114*4</f>
        <v>8</v>
      </c>
      <c r="D114" s="7">
        <f>B114*2</f>
        <v>4</v>
      </c>
      <c r="E114" s="8"/>
      <c r="F114" s="9">
        <f t="shared" si="1"/>
        <v>48</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3</v>
      </c>
      <c r="C115" s="6">
        <f>B115*15</f>
        <v>45</v>
      </c>
      <c r="D115" s="7">
        <f>B115*2</f>
        <v>6</v>
      </c>
      <c r="E115" s="8">
        <f>B115*0</f>
        <v>0</v>
      </c>
      <c r="F115" s="9">
        <f t="shared" si="1"/>
        <v>204</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1</v>
      </c>
      <c r="C116" s="6">
        <f>B116*20</f>
        <v>20</v>
      </c>
      <c r="D116" s="7">
        <f>B116*8</f>
        <v>8</v>
      </c>
      <c r="E116" s="8">
        <f>B116*1</f>
        <v>1</v>
      </c>
      <c r="F116" s="9">
        <f t="shared" si="1"/>
        <v>121</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4</v>
      </c>
      <c r="C117" s="6">
        <f>B117*0</f>
        <v>0</v>
      </c>
      <c r="D117" s="7">
        <f>B117*0</f>
        <v>0</v>
      </c>
      <c r="E117" s="8">
        <f>B117*5</f>
        <v>20</v>
      </c>
      <c r="F117" s="9">
        <f t="shared" si="1"/>
        <v>180</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1</v>
      </c>
      <c r="C118" s="6">
        <f>B118*10</f>
        <v>10</v>
      </c>
      <c r="D118" s="7">
        <f>B118*0</f>
        <v>0</v>
      </c>
      <c r="E118" s="10">
        <f>B118*0</f>
        <v>0</v>
      </c>
      <c r="F118" s="11">
        <f t="shared" si="1"/>
        <v>40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113</v>
      </c>
      <c r="D119" s="7">
        <f>SUM(D111:D118)</f>
        <v>32</v>
      </c>
      <c r="E119" s="10">
        <f>SUM(E111:E118)</f>
        <v>29</v>
      </c>
      <c r="F119" s="11">
        <f>SUM(F111:F118)</f>
        <v>841</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f>(D121*100)/F119</f>
        <v>53.74554102259215</v>
      </c>
      <c r="C121" s="1">
        <f>C119</f>
        <v>113</v>
      </c>
      <c r="D121" s="1130">
        <f>C121*4</f>
        <v>452</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f>(D122*100)/F119</f>
        <v>15.219976218787158</v>
      </c>
      <c r="C122" s="1">
        <f>D119</f>
        <v>32</v>
      </c>
      <c r="D122" s="1130">
        <f>C122*4</f>
        <v>128</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f>(D123*100)/F119</f>
        <v>31.03448275862069</v>
      </c>
      <c r="C123" s="1">
        <f>E119</f>
        <v>29</v>
      </c>
      <c r="D123" s="1130">
        <f>C123*9</f>
        <v>261</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1</v>
      </c>
      <c r="C126" s="50">
        <f>B126*12</f>
        <v>12</v>
      </c>
      <c r="D126" s="51">
        <f>B126*9</f>
        <v>9</v>
      </c>
      <c r="E126" s="52">
        <f>B126*5</f>
        <v>5</v>
      </c>
      <c r="F126" s="9">
        <f t="shared" ref="F126:F133" si="2">(C126*4)+(D126*4)+(E126*9)</f>
        <v>129</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0</v>
      </c>
      <c r="C127" s="6">
        <v>0</v>
      </c>
      <c r="D127" s="7">
        <f>B127*7</f>
        <v>0</v>
      </c>
      <c r="E127" s="8">
        <f>B127*4</f>
        <v>0</v>
      </c>
      <c r="F127" s="9">
        <f t="shared" si="2"/>
        <v>0</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1</v>
      </c>
      <c r="C128" s="6">
        <f>B128*15</f>
        <v>15</v>
      </c>
      <c r="D128" s="7">
        <f>B128*0</f>
        <v>0</v>
      </c>
      <c r="E128" s="8">
        <f>B128*0</f>
        <v>0</v>
      </c>
      <c r="F128" s="9">
        <f t="shared" si="2"/>
        <v>60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1</v>
      </c>
      <c r="C129" s="6">
        <f>B129*4</f>
        <v>4</v>
      </c>
      <c r="D129" s="7">
        <f>B129*2</f>
        <v>2</v>
      </c>
      <c r="E129" s="8"/>
      <c r="F129" s="9">
        <f t="shared" si="2"/>
        <v>24</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1</v>
      </c>
      <c r="C130" s="6">
        <f>B130*15</f>
        <v>15</v>
      </c>
      <c r="D130" s="7">
        <f>B130*2</f>
        <v>2</v>
      </c>
      <c r="E130" s="8">
        <f>B130*0</f>
        <v>0</v>
      </c>
      <c r="F130" s="9">
        <f t="shared" si="2"/>
        <v>68</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1</v>
      </c>
      <c r="C132" s="6">
        <f>B132*0</f>
        <v>0</v>
      </c>
      <c r="D132" s="7">
        <f>B132*0</f>
        <v>0</v>
      </c>
      <c r="E132" s="8">
        <f>B132*5</f>
        <v>5</v>
      </c>
      <c r="F132" s="9">
        <f t="shared" si="2"/>
        <v>45</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1</v>
      </c>
      <c r="C133" s="6">
        <f>B133*10</f>
        <v>10</v>
      </c>
      <c r="D133" s="7">
        <f>B133*0</f>
        <v>0</v>
      </c>
      <c r="E133" s="10">
        <f>B133*0</f>
        <v>0</v>
      </c>
      <c r="F133" s="11">
        <f t="shared" si="2"/>
        <v>40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56</v>
      </c>
      <c r="D134" s="7">
        <f>SUM(D126:D133)</f>
        <v>13</v>
      </c>
      <c r="E134" s="10">
        <f>SUM(E126:E133)</f>
        <v>10</v>
      </c>
      <c r="F134" s="11">
        <f>SUM(F126:F133)</f>
        <v>366</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f>(D136*100)/F134</f>
        <v>61.202185792349724</v>
      </c>
      <c r="C136" s="1">
        <f>C134</f>
        <v>56</v>
      </c>
      <c r="D136" s="1130">
        <f>C136*4</f>
        <v>224</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f>(D137*100)/F134</f>
        <v>14.207650273224044</v>
      </c>
      <c r="C137" s="1">
        <f>D134</f>
        <v>13</v>
      </c>
      <c r="D137" s="1130">
        <f>C137*4</f>
        <v>52</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f>(D138*100)/F134</f>
        <v>24.590163934426229</v>
      </c>
      <c r="C138" s="1">
        <f>E134</f>
        <v>10</v>
      </c>
      <c r="D138" s="1130">
        <f>C138*9</f>
        <v>90</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2</v>
      </c>
      <c r="C142" s="50">
        <f>B142*12</f>
        <v>24</v>
      </c>
      <c r="D142" s="51">
        <f>B142*9</f>
        <v>18</v>
      </c>
      <c r="E142" s="52">
        <f>B142*5</f>
        <v>10</v>
      </c>
      <c r="F142" s="9">
        <f t="shared" ref="F142:F149" si="4">(C142*4)+(D142*4)+(E142*9)</f>
        <v>258</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4</v>
      </c>
      <c r="C143" s="6">
        <v>0</v>
      </c>
      <c r="D143" s="7">
        <f>B143*7</f>
        <v>28</v>
      </c>
      <c r="E143" s="8">
        <f>B143*4</f>
        <v>16</v>
      </c>
      <c r="F143" s="9">
        <f t="shared" si="4"/>
        <v>256</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4</v>
      </c>
      <c r="C144" s="6">
        <f>B144*15</f>
        <v>60</v>
      </c>
      <c r="D144" s="7">
        <f>B144*0</f>
        <v>0</v>
      </c>
      <c r="E144" s="8">
        <f>B144*0</f>
        <v>0</v>
      </c>
      <c r="F144" s="9">
        <f t="shared" si="4"/>
        <v>240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5</v>
      </c>
      <c r="C145" s="6">
        <f>B145*4</f>
        <v>20</v>
      </c>
      <c r="D145" s="7">
        <f>B145*2</f>
        <v>10</v>
      </c>
      <c r="E145" s="8"/>
      <c r="F145" s="9">
        <f t="shared" si="4"/>
        <v>120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6</v>
      </c>
      <c r="C146" s="6">
        <f>B146*15</f>
        <v>90</v>
      </c>
      <c r="D146" s="7">
        <f>B146*2</f>
        <v>12</v>
      </c>
      <c r="E146" s="8">
        <f>B146*0</f>
        <v>0</v>
      </c>
      <c r="F146" s="9">
        <f t="shared" si="4"/>
        <v>408</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1</v>
      </c>
      <c r="C147" s="6">
        <f>B147*20</f>
        <v>20</v>
      </c>
      <c r="D147" s="7">
        <f>B147*8</f>
        <v>8</v>
      </c>
      <c r="E147" s="8">
        <f>B147*1</f>
        <v>1</v>
      </c>
      <c r="F147" s="9">
        <f t="shared" si="4"/>
        <v>121</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7</v>
      </c>
      <c r="C148" s="6">
        <f>B148*0</f>
        <v>0</v>
      </c>
      <c r="D148" s="7">
        <f>B148*0</f>
        <v>0</v>
      </c>
      <c r="E148" s="8">
        <f>B148*5</f>
        <v>35</v>
      </c>
      <c r="F148" s="9">
        <f t="shared" si="4"/>
        <v>315</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3</v>
      </c>
      <c r="C149" s="6">
        <f>B149*10</f>
        <v>30</v>
      </c>
      <c r="D149" s="7">
        <f>B149*0</f>
        <v>0</v>
      </c>
      <c r="E149" s="10">
        <f>B149*0</f>
        <v>0</v>
      </c>
      <c r="F149" s="11">
        <f t="shared" si="4"/>
        <v>120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244</v>
      </c>
      <c r="D150" s="7">
        <f>SUM(D142:D149)</f>
        <v>76</v>
      </c>
      <c r="E150" s="10">
        <f>SUM(E142:E149)</f>
        <v>62</v>
      </c>
      <c r="F150" s="11">
        <f>SUM(F142:F149)</f>
        <v>1838</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244</v>
      </c>
      <c r="D152" s="74">
        <f>C152*4</f>
        <v>976</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76</v>
      </c>
      <c r="D153" s="74">
        <f>C153*4</f>
        <v>304</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62</v>
      </c>
      <c r="D154" s="74">
        <f>C154*9</f>
        <v>558</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1838</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IF(J11&lt;=73,"95"*D27,IF(J11&lt;=96,"90"*D27,IF(J11&lt;=120,"78"*D27,IF(J11&lt;=144,2200))))</f>
        <v>1453.5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799.42500000000007</v>
      </c>
      <c r="F159" s="257">
        <f>E159/4</f>
        <v>199.85625000000002</v>
      </c>
      <c r="G159" s="258">
        <f>(E159*100)/E158</f>
        <v>55</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61.2</v>
      </c>
      <c r="F160" s="257">
        <f>IF(J11&lt;=144,"1.0"*D27)</f>
        <v>15.3</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592.87499999999989</v>
      </c>
      <c r="F161" s="258">
        <f>E161/9</f>
        <v>65.874999999999986</v>
      </c>
      <c r="G161" s="258">
        <f>(E161*100)/E158</f>
        <v>40.789473684210513</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1520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2</v>
      </c>
      <c r="C166" s="22">
        <f>B166*12</f>
        <v>24</v>
      </c>
      <c r="D166" s="27">
        <f>B166*9</f>
        <v>18</v>
      </c>
      <c r="E166" s="23">
        <f>B166*5</f>
        <v>10</v>
      </c>
      <c r="F166" s="150">
        <f t="shared" ref="F166:F173" si="5">(C166*4)+(D166*4)+(E166*9)</f>
        <v>258</v>
      </c>
      <c r="G166" s="24">
        <f t="shared" ref="G166:G173" si="6">B166</f>
        <v>2</v>
      </c>
      <c r="H166" s="148">
        <v>1</v>
      </c>
      <c r="I166" s="148">
        <v>0</v>
      </c>
      <c r="J166" s="148">
        <v>0</v>
      </c>
      <c r="K166" s="148">
        <v>0</v>
      </c>
      <c r="L166" s="149">
        <v>1</v>
      </c>
      <c r="M166" s="4">
        <f t="shared" ref="M166:M175" si="7">SUM(H166:L166)</f>
        <v>2</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4</v>
      </c>
      <c r="C167" s="22">
        <v>0</v>
      </c>
      <c r="D167" s="27">
        <f>B167*7</f>
        <v>28</v>
      </c>
      <c r="E167" s="23">
        <f>B167*4</f>
        <v>16</v>
      </c>
      <c r="F167" s="150">
        <f t="shared" si="5"/>
        <v>256</v>
      </c>
      <c r="G167" s="24">
        <f t="shared" si="6"/>
        <v>4</v>
      </c>
      <c r="H167" s="148">
        <v>1</v>
      </c>
      <c r="I167" s="148">
        <v>0</v>
      </c>
      <c r="J167" s="148">
        <v>2</v>
      </c>
      <c r="K167" s="148">
        <v>0</v>
      </c>
      <c r="L167" s="148">
        <v>1</v>
      </c>
      <c r="M167" s="4">
        <f t="shared" si="7"/>
        <v>4</v>
      </c>
      <c r="N167" s="40" t="str">
        <f>IF(M167&lt;G167, "te falta",IF(M167=G167,"muy bien",IF(M167&gt;G167,"te pasaste")))</f>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5</v>
      </c>
      <c r="C168" s="22">
        <f>B168*15</f>
        <v>75</v>
      </c>
      <c r="D168" s="27">
        <f>B168*0</f>
        <v>0</v>
      </c>
      <c r="E168" s="23">
        <f>B168*0</f>
        <v>0</v>
      </c>
      <c r="F168" s="150">
        <f t="shared" si="5"/>
        <v>300</v>
      </c>
      <c r="G168" s="24">
        <f t="shared" si="6"/>
        <v>5</v>
      </c>
      <c r="H168" s="148">
        <v>1</v>
      </c>
      <c r="I168" s="148">
        <v>1</v>
      </c>
      <c r="J168" s="148">
        <v>1</v>
      </c>
      <c r="K168" s="148">
        <v>1</v>
      </c>
      <c r="L168" s="148">
        <v>1</v>
      </c>
      <c r="M168" s="4">
        <f t="shared" si="7"/>
        <v>5</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7</v>
      </c>
      <c r="C169" s="22">
        <f>B169*4</f>
        <v>28</v>
      </c>
      <c r="D169" s="27">
        <f>B169*2</f>
        <v>14</v>
      </c>
      <c r="E169" s="23"/>
      <c r="F169" s="150">
        <f t="shared" si="5"/>
        <v>168</v>
      </c>
      <c r="G169" s="24">
        <f t="shared" si="6"/>
        <v>7</v>
      </c>
      <c r="H169" s="148">
        <v>2</v>
      </c>
      <c r="I169" s="148">
        <v>1</v>
      </c>
      <c r="J169" s="148">
        <v>2</v>
      </c>
      <c r="K169" s="148">
        <v>1</v>
      </c>
      <c r="L169" s="148">
        <v>1</v>
      </c>
      <c r="M169" s="4">
        <f t="shared" si="7"/>
        <v>7</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6</v>
      </c>
      <c r="C170" s="22">
        <f>B170*15</f>
        <v>90</v>
      </c>
      <c r="D170" s="27">
        <f>B170*2</f>
        <v>12</v>
      </c>
      <c r="E170" s="23">
        <f>B170*0</f>
        <v>0</v>
      </c>
      <c r="F170" s="150">
        <f t="shared" si="5"/>
        <v>408</v>
      </c>
      <c r="G170" s="24">
        <f t="shared" si="6"/>
        <v>6</v>
      </c>
      <c r="H170" s="148">
        <v>1</v>
      </c>
      <c r="I170" s="148">
        <v>1</v>
      </c>
      <c r="J170" s="148">
        <v>2</v>
      </c>
      <c r="K170" s="148">
        <v>1</v>
      </c>
      <c r="L170" s="148">
        <v>1</v>
      </c>
      <c r="M170" s="4">
        <f t="shared" si="7"/>
        <v>6</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1</v>
      </c>
      <c r="C171" s="22">
        <f>B171*20</f>
        <v>20</v>
      </c>
      <c r="D171" s="27">
        <f>B171*8</f>
        <v>8</v>
      </c>
      <c r="E171" s="23">
        <f>B171*1</f>
        <v>1</v>
      </c>
      <c r="F171" s="150">
        <f t="shared" si="5"/>
        <v>121</v>
      </c>
      <c r="G171" s="24">
        <f t="shared" si="6"/>
        <v>1</v>
      </c>
      <c r="H171" s="148">
        <v>0</v>
      </c>
      <c r="I171" s="148">
        <v>0</v>
      </c>
      <c r="J171" s="148">
        <v>1</v>
      </c>
      <c r="K171" s="148">
        <v>0</v>
      </c>
      <c r="L171" s="148">
        <v>0</v>
      </c>
      <c r="M171" s="4">
        <f t="shared" si="7"/>
        <v>1</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3</v>
      </c>
      <c r="C172" s="22">
        <f>B172*0</f>
        <v>0</v>
      </c>
      <c r="D172" s="27">
        <f>B172*0</f>
        <v>0</v>
      </c>
      <c r="E172" s="23">
        <f>B172*5</f>
        <v>15</v>
      </c>
      <c r="F172" s="150">
        <f t="shared" si="5"/>
        <v>135</v>
      </c>
      <c r="G172" s="24">
        <f t="shared" si="6"/>
        <v>3</v>
      </c>
      <c r="H172" s="148">
        <v>1</v>
      </c>
      <c r="I172" s="148">
        <v>0</v>
      </c>
      <c r="J172" s="148">
        <v>1</v>
      </c>
      <c r="K172" s="148">
        <v>0</v>
      </c>
      <c r="L172" s="148">
        <v>1</v>
      </c>
      <c r="M172" s="4">
        <f t="shared" si="7"/>
        <v>3</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3</v>
      </c>
      <c r="C173" s="22">
        <f>B173*10</f>
        <v>30</v>
      </c>
      <c r="D173" s="27">
        <f>B173*0</f>
        <v>0</v>
      </c>
      <c r="E173" s="23">
        <f>B173*0</f>
        <v>0</v>
      </c>
      <c r="F173" s="152">
        <f t="shared" si="5"/>
        <v>120</v>
      </c>
      <c r="G173" s="24">
        <f t="shared" si="6"/>
        <v>3</v>
      </c>
      <c r="H173" s="148">
        <v>1</v>
      </c>
      <c r="I173" s="148">
        <v>0</v>
      </c>
      <c r="J173" s="148">
        <v>1</v>
      </c>
      <c r="K173" s="148">
        <v>0</v>
      </c>
      <c r="L173" s="148">
        <v>1</v>
      </c>
      <c r="M173" s="4">
        <f t="shared" si="7"/>
        <v>3</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267</v>
      </c>
      <c r="D174" s="154">
        <f>SUM(D166:D173)</f>
        <v>80</v>
      </c>
      <c r="E174" s="155">
        <f>SUM(E166:E173)</f>
        <v>42</v>
      </c>
      <c r="F174" s="151">
        <f>SUM(F166:F173)</f>
        <v>1766</v>
      </c>
      <c r="G174" s="4"/>
      <c r="H174" s="4">
        <f>($H$166*129)+($H$167*64)+($H$168*60)+($H$169*24)+($H$170*68)+($H$171*121)+($H$172*45)+($H$173*40)</f>
        <v>454</v>
      </c>
      <c r="I174" s="4">
        <f>(I166*129)+(I167*64)+(I168*60)+(I169*24)+(I170*68)+(I171*121)+(I172*45)+(I173*40)</f>
        <v>152</v>
      </c>
      <c r="J174" s="4">
        <f>(J166*129)+(J167*64)+(J168*60)+(J169*24)+(J170*68)+(J171*121)+(J172*45)+(J173*40)</f>
        <v>578</v>
      </c>
      <c r="K174" s="4">
        <f>(K166*129)+(K167*64)+(K168*60)+(K169*24)+(K170*68)+(K171*121)+(K172*45)+(K173*40)</f>
        <v>152</v>
      </c>
      <c r="L174" s="4">
        <f>(L166*129)+(L167*64)+(L168*60)+(L169*24)+(L170*68)+(L171*121)+(L172*45)+(L173*40)</f>
        <v>430</v>
      </c>
      <c r="M174" s="24">
        <f t="shared" si="7"/>
        <v>1766</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f>(H174*100)/F174</f>
        <v>25.707814269535675</v>
      </c>
      <c r="I175" s="4">
        <f>(I174*100)/F174</f>
        <v>8.6070215175537932</v>
      </c>
      <c r="J175" s="4">
        <f>(J174*100)/F174</f>
        <v>32.729331823329559</v>
      </c>
      <c r="K175" s="4">
        <f>(K174*100)/F174</f>
        <v>8.6070215175537932</v>
      </c>
      <c r="L175" s="4">
        <f>(L174*100)/F174</f>
        <v>24.34881087202718</v>
      </c>
      <c r="M175" s="24">
        <f t="shared" si="7"/>
        <v>100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f>(C177*100)/F174</f>
        <v>60.475651189127973</v>
      </c>
      <c r="C177" s="19">
        <f>D177*4</f>
        <v>1068</v>
      </c>
      <c r="D177" s="156">
        <f>C174</f>
        <v>267</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f>(C178*100)/F174</f>
        <v>18.120045300113251</v>
      </c>
      <c r="C178" s="19">
        <f>D178*4</f>
        <v>320</v>
      </c>
      <c r="D178" s="156">
        <f>D174</f>
        <v>80</v>
      </c>
      <c r="E178" s="28" t="s">
        <v>68</v>
      </c>
      <c r="F178" s="28">
        <f>D166+D167</f>
        <v>46</v>
      </c>
      <c r="G178" s="477" t="s">
        <v>69</v>
      </c>
      <c r="H178" s="29">
        <f>(F178*100)/D174</f>
        <v>57.5</v>
      </c>
      <c r="I178" s="11" t="s">
        <v>52</v>
      </c>
      <c r="J178" s="138" t="s">
        <v>70</v>
      </c>
      <c r="K178" s="29">
        <f>D169+D170+D171</f>
        <v>34</v>
      </c>
      <c r="L178" s="11" t="s">
        <v>69</v>
      </c>
      <c r="M178" s="30">
        <f>(K178*100)/D174</f>
        <v>42.5</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f>(C179*100)/F174</f>
        <v>21.404303510758776</v>
      </c>
      <c r="C179" s="19">
        <f>D179*9</f>
        <v>378</v>
      </c>
      <c r="D179" s="156">
        <f>E174</f>
        <v>42</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5.2287581699346406</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794"/>
      <c r="B182" s="795"/>
      <c r="C182" s="795"/>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f>B4</f>
        <v>0</v>
      </c>
      <c r="C186" s="1088"/>
      <c r="D186" s="1088"/>
      <c r="E186" s="1088"/>
      <c r="F186" s="1088"/>
      <c r="G186" s="1088"/>
      <c r="H186" s="173" t="s">
        <v>4</v>
      </c>
      <c r="I186" s="174">
        <f>D11</f>
        <v>3</v>
      </c>
      <c r="J186" s="175" t="s">
        <v>72</v>
      </c>
      <c r="K186" s="176"/>
      <c r="L186" s="177" t="s">
        <v>291</v>
      </c>
      <c r="M186" s="1223">
        <f>M4</f>
        <v>0</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41501</v>
      </c>
      <c r="C187" s="1090"/>
      <c r="D187" s="791"/>
      <c r="E187" s="791" t="s">
        <v>4</v>
      </c>
      <c r="F187" s="178">
        <f>D11</f>
        <v>3</v>
      </c>
      <c r="G187" s="791" t="s">
        <v>72</v>
      </c>
      <c r="H187" s="179"/>
      <c r="I187" s="180" t="s">
        <v>73</v>
      </c>
      <c r="J187" s="175" t="s">
        <v>208</v>
      </c>
      <c r="K187" s="1229" t="s">
        <v>74</v>
      </c>
      <c r="L187" s="1229"/>
      <c r="M187" s="181">
        <f>D12</f>
        <v>38</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133</v>
      </c>
      <c r="D188" s="175" t="s">
        <v>432</v>
      </c>
      <c r="E188" s="1111" t="s">
        <v>433</v>
      </c>
      <c r="F188" s="1111"/>
      <c r="G188" s="180">
        <f>D27</f>
        <v>15.3</v>
      </c>
      <c r="H188" s="175" t="s">
        <v>75</v>
      </c>
      <c r="I188" s="1111" t="s">
        <v>13</v>
      </c>
      <c r="J188" s="1111"/>
      <c r="K188" s="183">
        <f>D14</f>
        <v>21.482277121374864</v>
      </c>
      <c r="L188" s="811" t="s">
        <v>434</v>
      </c>
      <c r="M188" s="811"/>
      <c r="N188" s="271">
        <f>D28</f>
        <v>99.9</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c r="D189" s="1114"/>
      <c r="E189" s="1114"/>
      <c r="F189" s="1114"/>
      <c r="G189" s="1114"/>
      <c r="H189" s="1114"/>
      <c r="I189" s="1115" t="s">
        <v>79</v>
      </c>
      <c r="J189" s="1115"/>
      <c r="K189" s="1115"/>
      <c r="L189" s="180">
        <f>M174</f>
        <v>1766</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1</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1</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1</v>
      </c>
      <c r="D193" s="186" t="s">
        <v>59</v>
      </c>
      <c r="E193" s="185">
        <f t="shared" si="10"/>
        <v>0</v>
      </c>
      <c r="F193" s="187" t="s">
        <v>59</v>
      </c>
      <c r="G193" s="185">
        <f t="shared" si="11"/>
        <v>2</v>
      </c>
      <c r="H193" s="187" t="s">
        <v>59</v>
      </c>
      <c r="I193" s="185">
        <f t="shared" si="12"/>
        <v>0</v>
      </c>
      <c r="J193" s="1107" t="s">
        <v>59</v>
      </c>
      <c r="K193" s="1107"/>
      <c r="L193" s="185">
        <f t="shared" si="13"/>
        <v>1</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1</v>
      </c>
      <c r="D194" s="186" t="s">
        <v>59</v>
      </c>
      <c r="E194" s="185">
        <f t="shared" si="10"/>
        <v>1</v>
      </c>
      <c r="F194" s="187" t="s">
        <v>59</v>
      </c>
      <c r="G194" s="185">
        <f t="shared" si="11"/>
        <v>1</v>
      </c>
      <c r="H194" s="187" t="s">
        <v>59</v>
      </c>
      <c r="I194" s="185">
        <f t="shared" si="12"/>
        <v>1</v>
      </c>
      <c r="J194" s="1107" t="s">
        <v>59</v>
      </c>
      <c r="K194" s="1107"/>
      <c r="L194" s="185">
        <f t="shared" si="13"/>
        <v>1</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792" t="s">
        <v>90</v>
      </c>
      <c r="B195" s="792"/>
      <c r="C195" s="185">
        <f t="shared" si="9"/>
        <v>2</v>
      </c>
      <c r="D195" s="186" t="s">
        <v>59</v>
      </c>
      <c r="E195" s="185">
        <f t="shared" si="10"/>
        <v>1</v>
      </c>
      <c r="F195" s="187" t="s">
        <v>59</v>
      </c>
      <c r="G195" s="185">
        <f t="shared" si="11"/>
        <v>2</v>
      </c>
      <c r="H195" s="187" t="s">
        <v>59</v>
      </c>
      <c r="I195" s="185">
        <f t="shared" si="12"/>
        <v>1</v>
      </c>
      <c r="J195" s="1107" t="s">
        <v>59</v>
      </c>
      <c r="K195" s="1107"/>
      <c r="L195" s="185">
        <f t="shared" si="13"/>
        <v>1</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1</v>
      </c>
      <c r="D196" s="186" t="s">
        <v>59</v>
      </c>
      <c r="E196" s="185">
        <f t="shared" si="10"/>
        <v>1</v>
      </c>
      <c r="F196" s="187" t="s">
        <v>59</v>
      </c>
      <c r="G196" s="185">
        <f t="shared" si="11"/>
        <v>2</v>
      </c>
      <c r="H196" s="187" t="s">
        <v>59</v>
      </c>
      <c r="I196" s="185">
        <f t="shared" si="12"/>
        <v>1</v>
      </c>
      <c r="J196" s="1107" t="s">
        <v>59</v>
      </c>
      <c r="K196" s="1107"/>
      <c r="L196" s="185">
        <f t="shared" si="13"/>
        <v>1</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1</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1</v>
      </c>
      <c r="D198" s="186" t="s">
        <v>59</v>
      </c>
      <c r="E198" s="188">
        <f t="shared" si="10"/>
        <v>0</v>
      </c>
      <c r="F198" s="189" t="s">
        <v>59</v>
      </c>
      <c r="G198" s="185">
        <f t="shared" si="11"/>
        <v>1</v>
      </c>
      <c r="H198" s="187" t="s">
        <v>59</v>
      </c>
      <c r="I198" s="185">
        <f t="shared" si="12"/>
        <v>0</v>
      </c>
      <c r="J198" s="1107" t="s">
        <v>59</v>
      </c>
      <c r="K198" s="1107"/>
      <c r="L198" s="185">
        <f t="shared" si="13"/>
        <v>1</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1</v>
      </c>
      <c r="D199" s="191" t="s">
        <v>59</v>
      </c>
      <c r="E199" s="185">
        <f t="shared" si="10"/>
        <v>0</v>
      </c>
      <c r="F199" s="187" t="s">
        <v>59</v>
      </c>
      <c r="G199" s="190">
        <f t="shared" si="11"/>
        <v>1</v>
      </c>
      <c r="H199" s="192" t="s">
        <v>59</v>
      </c>
      <c r="I199" s="190">
        <f t="shared" si="12"/>
        <v>0</v>
      </c>
      <c r="J199" s="1106" t="s">
        <v>59</v>
      </c>
      <c r="K199" s="1106"/>
      <c r="L199" s="190">
        <f t="shared" si="13"/>
        <v>1</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809"/>
      <c r="I201" s="1215" t="s">
        <v>254</v>
      </c>
      <c r="J201" s="1215"/>
      <c r="K201" s="809"/>
      <c r="L201" s="175"/>
      <c r="M201" s="808"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807"/>
      <c r="I202" s="807" t="s">
        <v>256</v>
      </c>
      <c r="J202" s="807"/>
      <c r="K202" s="807"/>
      <c r="L202" s="175"/>
      <c r="M202" s="808"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807" t="s">
        <v>242</v>
      </c>
      <c r="F203" s="175"/>
      <c r="G203" s="809"/>
      <c r="H203" s="807"/>
      <c r="I203" s="807" t="s">
        <v>258</v>
      </c>
      <c r="J203" s="807"/>
      <c r="K203" s="807"/>
      <c r="L203" s="809"/>
      <c r="M203" s="808"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809"/>
      <c r="H204" s="807"/>
      <c r="I204" s="807" t="s">
        <v>260</v>
      </c>
      <c r="J204" s="807"/>
      <c r="K204" s="807"/>
      <c r="L204" s="809"/>
      <c r="M204" s="808"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807"/>
      <c r="I205" s="807" t="s">
        <v>261</v>
      </c>
      <c r="J205" s="807"/>
      <c r="K205" s="807"/>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809"/>
      <c r="H206" s="807"/>
      <c r="I206" s="807" t="s">
        <v>262</v>
      </c>
      <c r="J206" s="807"/>
      <c r="K206" s="807"/>
      <c r="L206" s="809"/>
      <c r="M206" s="808" t="s">
        <v>263</v>
      </c>
      <c r="N206" s="793"/>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808"/>
      <c r="G207" s="809"/>
      <c r="H207" s="807"/>
      <c r="I207" s="807" t="s">
        <v>264</v>
      </c>
      <c r="J207" s="807"/>
      <c r="K207" s="807"/>
      <c r="L207" s="809"/>
      <c r="M207" s="808"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808"/>
      <c r="G208" s="809"/>
      <c r="H208" s="807"/>
      <c r="I208" s="807" t="s">
        <v>265</v>
      </c>
      <c r="J208" s="807"/>
      <c r="K208" s="807"/>
      <c r="L208" s="809"/>
      <c r="M208" s="808"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808"/>
      <c r="G209" s="175"/>
      <c r="H209" s="807"/>
      <c r="I209" s="807" t="s">
        <v>266</v>
      </c>
      <c r="J209" s="807"/>
      <c r="K209" s="807"/>
      <c r="L209" s="175"/>
      <c r="M209" s="808"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808"/>
      <c r="G210" s="175"/>
      <c r="H210" s="807"/>
      <c r="I210" s="807" t="s">
        <v>267</v>
      </c>
      <c r="J210" s="807"/>
      <c r="K210" s="807"/>
      <c r="L210" s="175"/>
      <c r="M210" s="808"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808"/>
      <c r="G211" s="175"/>
      <c r="H211" s="807"/>
      <c r="I211" s="807" t="s">
        <v>269</v>
      </c>
      <c r="J211" s="807"/>
      <c r="K211" s="807"/>
      <c r="L211" s="175"/>
      <c r="M211" s="808"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808"/>
      <c r="G212" s="175"/>
      <c r="H212" s="807"/>
      <c r="I212" s="807" t="s">
        <v>272</v>
      </c>
      <c r="J212" s="807"/>
      <c r="K212" s="807"/>
      <c r="L212" s="175"/>
      <c r="M212" s="808"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807"/>
      <c r="I213" s="807" t="s">
        <v>273</v>
      </c>
      <c r="J213" s="807"/>
      <c r="K213" s="807"/>
      <c r="L213" s="175"/>
      <c r="M213" s="808"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807"/>
      <c r="I214" s="807" t="s">
        <v>275</v>
      </c>
      <c r="J214" s="807"/>
      <c r="K214" s="807"/>
      <c r="L214" s="175"/>
      <c r="M214" s="808"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807"/>
      <c r="I215" s="807" t="s">
        <v>276</v>
      </c>
      <c r="J215" s="807"/>
      <c r="K215" s="807"/>
      <c r="L215" s="175"/>
      <c r="M215" s="808"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807"/>
      <c r="I216" s="807" t="s">
        <v>278</v>
      </c>
      <c r="J216" s="807"/>
      <c r="K216" s="807"/>
      <c r="L216" s="175"/>
      <c r="M216" s="808"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807"/>
      <c r="I217" s="807" t="s">
        <v>279</v>
      </c>
      <c r="J217" s="807"/>
      <c r="K217" s="807"/>
      <c r="L217" s="175"/>
      <c r="M217" s="808"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807"/>
      <c r="I218" s="807" t="s">
        <v>280</v>
      </c>
      <c r="J218" s="807"/>
      <c r="K218" s="807"/>
      <c r="L218" s="175"/>
      <c r="M218" s="808"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808" t="s">
        <v>247</v>
      </c>
      <c r="F219" s="808"/>
      <c r="G219" s="808"/>
      <c r="H219" s="807"/>
      <c r="I219" s="807" t="s">
        <v>281</v>
      </c>
      <c r="J219" s="807"/>
      <c r="K219" s="807"/>
      <c r="L219" s="175"/>
      <c r="M219" s="808"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808"/>
      <c r="H220" s="807"/>
      <c r="I220" s="807" t="s">
        <v>282</v>
      </c>
      <c r="J220" s="807"/>
      <c r="K220" s="807"/>
      <c r="L220" s="175"/>
      <c r="M220" s="808"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808"/>
      <c r="H221" s="807"/>
      <c r="I221" s="807" t="s">
        <v>283</v>
      </c>
      <c r="J221" s="807"/>
      <c r="K221" s="807"/>
      <c r="L221" s="175"/>
      <c r="M221" s="808"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808"/>
      <c r="H222" s="807"/>
      <c r="I222" s="807" t="s">
        <v>284</v>
      </c>
      <c r="J222" s="807"/>
      <c r="K222" s="807"/>
      <c r="L222" s="175"/>
      <c r="M222" s="808"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808"/>
      <c r="H223" s="807"/>
      <c r="I223" s="807" t="s">
        <v>285</v>
      </c>
      <c r="J223" s="807"/>
      <c r="K223" s="807"/>
      <c r="L223" s="175"/>
      <c r="M223" s="808"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808"/>
      <c r="H224" s="807"/>
      <c r="I224" s="807" t="s">
        <v>286</v>
      </c>
      <c r="J224" s="807"/>
      <c r="K224" s="807"/>
      <c r="L224" s="175"/>
      <c r="M224" s="808"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808"/>
      <c r="H225" s="807"/>
      <c r="I225" s="807" t="s">
        <v>287</v>
      </c>
      <c r="J225" s="807"/>
      <c r="K225" s="807"/>
      <c r="L225" s="175"/>
      <c r="M225" s="808"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808"/>
      <c r="H226" s="807"/>
      <c r="I226" s="807" t="s">
        <v>288</v>
      </c>
      <c r="J226" s="807"/>
      <c r="K226" s="807"/>
      <c r="L226" s="175"/>
      <c r="M226" s="808"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808"/>
      <c r="H227" s="807"/>
      <c r="I227" s="807" t="s">
        <v>289</v>
      </c>
      <c r="J227" s="807"/>
      <c r="K227" s="807"/>
      <c r="L227" s="175"/>
      <c r="M227" s="808"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808"/>
      <c r="H228" s="807"/>
      <c r="I228" s="1215" t="s">
        <v>290</v>
      </c>
      <c r="J228" s="1215"/>
      <c r="K228" s="1215"/>
      <c r="L228" s="175"/>
      <c r="M228" s="808"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808"/>
      <c r="H229" s="807"/>
      <c r="I229" s="1215"/>
      <c r="J229" s="1215"/>
      <c r="K229" s="1215"/>
      <c r="L229" s="175"/>
      <c r="M229" s="807"/>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808"/>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808"/>
      <c r="H231" s="175"/>
      <c r="I231" s="175" t="s">
        <v>105</v>
      </c>
      <c r="J231" s="175"/>
      <c r="K231" s="175"/>
      <c r="L231" s="175"/>
      <c r="M231" s="201">
        <v>0.5</v>
      </c>
      <c r="N231" s="808"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808"/>
      <c r="H232" s="175"/>
      <c r="I232" s="175" t="s">
        <v>107</v>
      </c>
      <c r="J232" s="175"/>
      <c r="K232" s="175"/>
      <c r="L232" s="175"/>
      <c r="M232" s="200">
        <v>1</v>
      </c>
      <c r="N232" s="808"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808"/>
      <c r="H233" s="175"/>
      <c r="I233" s="175" t="s">
        <v>109</v>
      </c>
      <c r="J233" s="175"/>
      <c r="K233" s="175"/>
      <c r="L233" s="175"/>
      <c r="M233" s="200">
        <v>1</v>
      </c>
      <c r="N233" s="808"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808"/>
      <c r="H234" s="175"/>
      <c r="I234" s="175" t="s">
        <v>111</v>
      </c>
      <c r="J234" s="175"/>
      <c r="K234" s="175"/>
      <c r="L234" s="175"/>
      <c r="M234" s="200"/>
      <c r="N234" s="808"/>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808"/>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808" t="s">
        <v>248</v>
      </c>
      <c r="F236" s="808"/>
      <c r="G236" s="808"/>
      <c r="H236" s="175"/>
      <c r="I236" s="175" t="s">
        <v>115</v>
      </c>
      <c r="J236" s="205" t="s">
        <v>251</v>
      </c>
      <c r="K236" s="205"/>
      <c r="L236" s="175"/>
      <c r="M236" s="201">
        <v>0.33333333333333331</v>
      </c>
      <c r="N236" s="808"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808"/>
      <c r="H237" s="175"/>
      <c r="I237" s="175" t="s">
        <v>116</v>
      </c>
      <c r="J237" s="175"/>
      <c r="K237" s="175"/>
      <c r="L237" s="175"/>
      <c r="M237" s="200">
        <v>5</v>
      </c>
      <c r="N237" s="808"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808"/>
      <c r="H238" s="175"/>
      <c r="I238" s="175" t="s">
        <v>118</v>
      </c>
      <c r="J238" s="175"/>
      <c r="K238" s="175"/>
      <c r="L238" s="175"/>
      <c r="M238" s="201">
        <v>0.75</v>
      </c>
      <c r="N238" s="808"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808"/>
      <c r="H239" s="175"/>
      <c r="I239" s="175" t="s">
        <v>120</v>
      </c>
      <c r="J239" s="175"/>
      <c r="K239" s="175"/>
      <c r="L239" s="175"/>
      <c r="M239" s="200">
        <v>5</v>
      </c>
      <c r="N239" s="808"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808"/>
      <c r="H240" s="175"/>
      <c r="I240" s="175" t="s">
        <v>122</v>
      </c>
      <c r="J240" s="175"/>
      <c r="K240" s="175"/>
      <c r="L240" s="175"/>
      <c r="M240" s="200">
        <v>1</v>
      </c>
      <c r="N240" s="808"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808"/>
      <c r="H241" s="175"/>
      <c r="I241" s="175" t="s">
        <v>124</v>
      </c>
      <c r="J241" s="175"/>
      <c r="K241" s="175"/>
      <c r="L241" s="175"/>
      <c r="M241" s="200">
        <v>6</v>
      </c>
      <c r="N241" s="808"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808"/>
      <c r="H242" s="175"/>
      <c r="I242" s="175" t="s">
        <v>126</v>
      </c>
      <c r="J242" s="1217" t="s">
        <v>252</v>
      </c>
      <c r="K242" s="1217"/>
      <c r="L242" s="175"/>
      <c r="M242" s="201">
        <v>0.5</v>
      </c>
      <c r="N242" s="808"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808"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808"/>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808"/>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808" t="s">
        <v>248</v>
      </c>
      <c r="G246" s="195"/>
      <c r="H246" s="175"/>
      <c r="I246" s="299" t="s">
        <v>458</v>
      </c>
      <c r="J246" s="299"/>
      <c r="K246" s="299"/>
      <c r="L246" s="299"/>
      <c r="M246" s="198">
        <v>2</v>
      </c>
      <c r="N246" s="808"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808" t="s">
        <v>248</v>
      </c>
      <c r="G247" s="195"/>
      <c r="H247" s="175"/>
      <c r="I247" s="299" t="s">
        <v>460</v>
      </c>
      <c r="J247" s="299"/>
      <c r="K247" s="299"/>
      <c r="L247" s="299"/>
      <c r="M247" s="198">
        <v>15</v>
      </c>
      <c r="N247" s="808"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808" t="s">
        <v>248</v>
      </c>
      <c r="G248" s="195"/>
      <c r="H248" s="175"/>
      <c r="I248" s="299" t="s">
        <v>461</v>
      </c>
      <c r="J248" s="299"/>
      <c r="K248" s="299"/>
      <c r="L248" s="299"/>
      <c r="M248" s="198">
        <v>2</v>
      </c>
      <c r="N248" s="808"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808" t="s">
        <v>248</v>
      </c>
      <c r="G249" s="195"/>
      <c r="H249" s="175"/>
      <c r="I249" s="299" t="s">
        <v>462</v>
      </c>
      <c r="J249" s="299"/>
      <c r="K249" s="299"/>
      <c r="L249" s="299"/>
      <c r="M249" s="300">
        <v>8</v>
      </c>
      <c r="N249" s="808"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808" t="s">
        <v>248</v>
      </c>
      <c r="G250" s="195"/>
      <c r="H250" s="175"/>
      <c r="I250" s="299" t="s">
        <v>463</v>
      </c>
      <c r="J250" s="299"/>
      <c r="K250" s="299"/>
      <c r="L250" s="299"/>
      <c r="M250" s="198">
        <v>2</v>
      </c>
      <c r="N250" s="808"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808" t="s">
        <v>235</v>
      </c>
      <c r="G251" s="195"/>
      <c r="H251" s="175"/>
      <c r="I251" s="1226" t="s">
        <v>464</v>
      </c>
      <c r="J251" s="1226"/>
      <c r="K251" s="1226"/>
      <c r="L251" s="1226"/>
      <c r="M251" s="198">
        <v>2</v>
      </c>
      <c r="N251" s="810"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808"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808"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f>B4</f>
        <v>0</v>
      </c>
      <c r="C280" s="1088"/>
      <c r="D280" s="1088"/>
      <c r="E280" s="1088"/>
      <c r="F280" s="1088"/>
      <c r="G280" s="1088"/>
      <c r="H280" s="173" t="s">
        <v>396</v>
      </c>
      <c r="I280" s="1221">
        <f>B5</f>
        <v>41501</v>
      </c>
      <c r="J280" s="1222"/>
      <c r="K280" s="176"/>
      <c r="L280" s="177" t="s">
        <v>291</v>
      </c>
      <c r="M280" s="1223">
        <f>M4</f>
        <v>0</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3</v>
      </c>
      <c r="C282" s="175" t="s">
        <v>72</v>
      </c>
      <c r="D282" s="1224" t="s">
        <v>323</v>
      </c>
      <c r="E282" s="1224"/>
      <c r="F282" s="1225" t="s">
        <v>397</v>
      </c>
      <c r="G282" s="1225"/>
      <c r="H282" s="175"/>
      <c r="I282" s="1224" t="s">
        <v>328</v>
      </c>
      <c r="J282" s="1224"/>
      <c r="K282" s="1217" t="s">
        <v>470</v>
      </c>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810">
        <v>3</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810">
        <f>C37</f>
        <v>0</v>
      </c>
      <c r="D291" s="175" t="s">
        <v>349</v>
      </c>
      <c r="E291" s="175"/>
      <c r="F291" s="175"/>
      <c r="G291" s="808">
        <f>G37</f>
        <v>0</v>
      </c>
      <c r="H291" s="175" t="s">
        <v>354</v>
      </c>
      <c r="I291" s="175"/>
      <c r="J291" s="810">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810">
        <f>C38</f>
        <v>0</v>
      </c>
      <c r="D292" s="175" t="s">
        <v>350</v>
      </c>
      <c r="E292" s="175"/>
      <c r="F292" s="175"/>
      <c r="G292" s="808">
        <f>G38</f>
        <v>0</v>
      </c>
      <c r="H292" s="175" t="s">
        <v>355</v>
      </c>
      <c r="I292" s="175"/>
      <c r="J292" s="810">
        <f>J38</f>
        <v>0</v>
      </c>
      <c r="K292" s="175"/>
      <c r="L292" s="175" t="s">
        <v>359</v>
      </c>
      <c r="M292" s="175"/>
      <c r="N292" s="808">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810" t="str">
        <f>C39</f>
        <v>X</v>
      </c>
      <c r="D293" s="175" t="s">
        <v>351</v>
      </c>
      <c r="E293" s="175"/>
      <c r="F293" s="175"/>
      <c r="G293" s="808">
        <f>G39</f>
        <v>0</v>
      </c>
      <c r="H293" s="175" t="s">
        <v>356</v>
      </c>
      <c r="I293" s="175"/>
      <c r="J293" s="810">
        <f>J39</f>
        <v>0</v>
      </c>
      <c r="K293" s="175"/>
      <c r="L293" s="1216" t="s">
        <v>360</v>
      </c>
      <c r="M293" s="1216"/>
      <c r="N293" s="807" t="str">
        <f>N39</f>
        <v>x</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810">
        <f>C40</f>
        <v>0</v>
      </c>
      <c r="D294" s="175" t="s">
        <v>352</v>
      </c>
      <c r="E294" s="175"/>
      <c r="F294" s="175"/>
      <c r="G294" s="808">
        <f>G40</f>
        <v>0</v>
      </c>
      <c r="H294" s="175"/>
      <c r="I294" s="175"/>
      <c r="J294" s="175"/>
      <c r="K294" s="175"/>
      <c r="L294" s="1215" t="s">
        <v>362</v>
      </c>
      <c r="M294" s="1215"/>
      <c r="N294" s="807">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2</v>
      </c>
      <c r="D298" s="106">
        <f>B96</f>
        <v>1</v>
      </c>
      <c r="E298" s="106">
        <f>B98</f>
        <v>1</v>
      </c>
      <c r="F298" s="106">
        <f>B99</f>
        <v>2</v>
      </c>
      <c r="G298" s="106">
        <f>B100</f>
        <v>2</v>
      </c>
      <c r="H298" s="106">
        <f>B101</f>
        <v>0</v>
      </c>
      <c r="I298" s="106">
        <f>B103</f>
        <v>1</v>
      </c>
      <c r="J298" s="106">
        <f>B102</f>
        <v>2</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2</v>
      </c>
      <c r="D299" s="106">
        <f>B111</f>
        <v>0</v>
      </c>
      <c r="E299" s="106">
        <f>B113</f>
        <v>2</v>
      </c>
      <c r="F299" s="106">
        <f>B114</f>
        <v>2</v>
      </c>
      <c r="G299" s="106">
        <f>B115</f>
        <v>3</v>
      </c>
      <c r="H299" s="106">
        <f>B116</f>
        <v>1</v>
      </c>
      <c r="I299" s="106">
        <f>B118</f>
        <v>1</v>
      </c>
      <c r="J299" s="106">
        <f>B117</f>
        <v>4</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0</v>
      </c>
      <c r="D300" s="106">
        <f>B126</f>
        <v>1</v>
      </c>
      <c r="E300" s="106">
        <f>B128</f>
        <v>1</v>
      </c>
      <c r="F300" s="106">
        <f>B129</f>
        <v>1</v>
      </c>
      <c r="G300" s="106">
        <f>B130</f>
        <v>1</v>
      </c>
      <c r="H300" s="106">
        <f>B131</f>
        <v>0</v>
      </c>
      <c r="I300" s="106">
        <f>B133</f>
        <v>1</v>
      </c>
      <c r="J300" s="106">
        <f>B132</f>
        <v>1</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4</v>
      </c>
      <c r="D302" s="106">
        <f t="shared" ref="D302:J302" si="14">SUM(D298:D301)</f>
        <v>2</v>
      </c>
      <c r="E302" s="106">
        <f t="shared" si="14"/>
        <v>4</v>
      </c>
      <c r="F302" s="106">
        <f t="shared" si="14"/>
        <v>5</v>
      </c>
      <c r="G302" s="106">
        <f t="shared" si="14"/>
        <v>6</v>
      </c>
      <c r="H302" s="106">
        <f t="shared" si="14"/>
        <v>1</v>
      </c>
      <c r="I302" s="106">
        <f t="shared" si="14"/>
        <v>3</v>
      </c>
      <c r="J302" s="106">
        <f t="shared" si="14"/>
        <v>7</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805"/>
      <c r="H304" s="1077" t="s">
        <v>378</v>
      </c>
      <c r="I304" s="1077"/>
      <c r="J304" s="805"/>
      <c r="K304" s="1077" t="s">
        <v>377</v>
      </c>
      <c r="L304" s="1077"/>
      <c r="M304" s="1077"/>
      <c r="N304" s="805"/>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244</v>
      </c>
      <c r="F305" s="86"/>
      <c r="G305" s="86"/>
      <c r="H305" s="89">
        <f>B152</f>
        <v>54</v>
      </c>
      <c r="I305" s="86"/>
      <c r="J305" s="86"/>
      <c r="K305" s="1060">
        <f>D152</f>
        <v>976</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76</v>
      </c>
      <c r="F306" s="87"/>
      <c r="G306" s="87"/>
      <c r="H306" s="90">
        <f>B153</f>
        <v>18</v>
      </c>
      <c r="I306" s="87"/>
      <c r="J306" s="87"/>
      <c r="K306" s="1072">
        <f>D153</f>
        <v>304</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62</v>
      </c>
      <c r="F307" s="87"/>
      <c r="G307" s="87"/>
      <c r="H307" s="90">
        <f>B154</f>
        <v>28</v>
      </c>
      <c r="I307" s="87"/>
      <c r="J307" s="87"/>
      <c r="K307" s="1072">
        <f>D154</f>
        <v>558</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1838</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793"/>
      <c r="B310" s="793"/>
      <c r="C310" s="1063" t="s">
        <v>388</v>
      </c>
      <c r="D310" s="1063"/>
      <c r="E310" s="804"/>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793"/>
      <c r="B311" s="793"/>
      <c r="C311" s="793"/>
      <c r="D311" s="793"/>
      <c r="E311" s="804"/>
      <c r="F311" s="804"/>
      <c r="G311" s="804"/>
      <c r="H311" s="804"/>
      <c r="I311" s="804"/>
      <c r="J311" s="804"/>
      <c r="K311" s="804"/>
      <c r="L311" s="804"/>
      <c r="M311" s="804"/>
      <c r="N311" s="804"/>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38</v>
      </c>
      <c r="D312" s="86"/>
      <c r="E312" s="99"/>
      <c r="F312" s="804"/>
      <c r="G312" s="99"/>
      <c r="H312" s="804"/>
      <c r="I312" s="99"/>
      <c r="J312" s="804"/>
      <c r="K312" s="99"/>
      <c r="L312" s="804"/>
      <c r="M312" s="99"/>
      <c r="N312" s="804"/>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786"/>
      <c r="C314" s="106"/>
      <c r="D314" s="786"/>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133</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21.482277121374864</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786"/>
      <c r="C317" s="106">
        <f>E54</f>
        <v>0</v>
      </c>
      <c r="D317" s="786"/>
      <c r="E317" s="99"/>
      <c r="F317" s="804"/>
      <c r="G317" s="99"/>
      <c r="H317" s="804"/>
      <c r="I317" s="99"/>
      <c r="J317" s="804"/>
      <c r="K317" s="99"/>
      <c r="L317" s="804"/>
      <c r="M317" s="99"/>
      <c r="N317" s="804"/>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804"/>
      <c r="G318" s="99"/>
      <c r="H318" s="804"/>
      <c r="I318" s="99"/>
      <c r="J318" s="804"/>
      <c r="K318" s="99"/>
      <c r="L318" s="804"/>
      <c r="M318" s="99"/>
      <c r="N318" s="804"/>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576"/>
      <c r="C320" s="102">
        <v>0</v>
      </c>
      <c r="D320" s="576"/>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793"/>
      <c r="C322" s="108"/>
      <c r="D322" s="793"/>
      <c r="E322" s="101"/>
      <c r="F322" s="805"/>
      <c r="G322" s="101"/>
      <c r="H322" s="805"/>
      <c r="I322" s="101"/>
      <c r="J322" s="805"/>
      <c r="K322" s="101"/>
      <c r="L322" s="805"/>
      <c r="M322" s="101"/>
      <c r="N322" s="805"/>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805"/>
      <c r="G323" s="101"/>
      <c r="H323" s="805"/>
      <c r="I323" s="101"/>
      <c r="J323" s="805"/>
      <c r="K323" s="101"/>
      <c r="L323" s="805"/>
      <c r="M323" s="101"/>
      <c r="N323" s="805"/>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805"/>
      <c r="F324" s="805"/>
      <c r="G324" s="805"/>
      <c r="H324" s="805"/>
      <c r="I324" s="805"/>
      <c r="J324" s="805"/>
      <c r="K324" s="805"/>
      <c r="L324" s="805"/>
      <c r="M324" s="805"/>
      <c r="N324" s="805"/>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805"/>
      <c r="H325" s="111"/>
      <c r="I325" s="805"/>
      <c r="J325" s="805"/>
      <c r="K325" s="805"/>
      <c r="L325" s="805"/>
      <c r="M325" s="805"/>
      <c r="N325" s="805"/>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805"/>
      <c r="F326" s="116">
        <f>E60</f>
        <v>0</v>
      </c>
      <c r="G326" s="805"/>
      <c r="H326" s="116">
        <f>G60</f>
        <v>0</v>
      </c>
      <c r="I326" s="805"/>
      <c r="J326" s="116">
        <f>I60</f>
        <v>0</v>
      </c>
      <c r="K326" s="805"/>
      <c r="L326" s="116">
        <f>K60</f>
        <v>0</v>
      </c>
      <c r="M326" s="283" t="str">
        <f>L60</f>
        <v>ND</v>
      </c>
      <c r="N326" s="805"/>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0</v>
      </c>
      <c r="G327" s="86"/>
      <c r="H327" s="95">
        <f>G62</f>
        <v>0</v>
      </c>
      <c r="I327" s="86"/>
      <c r="J327" s="95">
        <f>I62</f>
        <v>0</v>
      </c>
      <c r="K327" s="86"/>
      <c r="L327" s="95">
        <f>K62</f>
        <v>0</v>
      </c>
      <c r="M327" s="284" t="str">
        <f>L62</f>
        <v>ND</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0</v>
      </c>
      <c r="G328" s="86"/>
      <c r="H328" s="95">
        <f>G64</f>
        <v>0</v>
      </c>
      <c r="I328" s="86"/>
      <c r="J328" s="95">
        <f>I64</f>
        <v>0</v>
      </c>
      <c r="K328" s="86"/>
      <c r="L328" s="95">
        <f>K64</f>
        <v>0</v>
      </c>
      <c r="M328" s="284" t="str">
        <f>L64</f>
        <v>ND</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804"/>
      <c r="F329" s="157">
        <f>E67</f>
        <v>0</v>
      </c>
      <c r="G329" s="804"/>
      <c r="H329" s="157">
        <f>G67</f>
        <v>0</v>
      </c>
      <c r="I329" s="804"/>
      <c r="J329" s="157">
        <f>I67</f>
        <v>0</v>
      </c>
      <c r="K329" s="804"/>
      <c r="L329" s="157">
        <f>K67</f>
        <v>0</v>
      </c>
      <c r="M329" s="285" t="str">
        <f>L67</f>
        <v>ND</v>
      </c>
      <c r="N329" s="804"/>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804"/>
      <c r="F330" s="157">
        <f>E69</f>
        <v>0</v>
      </c>
      <c r="G330" s="804"/>
      <c r="H330" s="157">
        <f>G69</f>
        <v>0</v>
      </c>
      <c r="I330" s="804"/>
      <c r="J330" s="157">
        <f>I69</f>
        <v>0</v>
      </c>
      <c r="K330" s="804"/>
      <c r="L330" s="157">
        <f>K69</f>
        <v>0</v>
      </c>
      <c r="M330" s="285" t="str">
        <f>L69</f>
        <v>ND</v>
      </c>
      <c r="N330" s="804"/>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804"/>
      <c r="F331" s="157">
        <f>E71</f>
        <v>0</v>
      </c>
      <c r="G331" s="804"/>
      <c r="H331" s="157">
        <f>G71</f>
        <v>0</v>
      </c>
      <c r="I331" s="804"/>
      <c r="J331" s="157">
        <f>I71</f>
        <v>0</v>
      </c>
      <c r="K331" s="804"/>
      <c r="L331" s="157">
        <f>K71</f>
        <v>0</v>
      </c>
      <c r="M331" s="285" t="str">
        <f>L71</f>
        <v>ND</v>
      </c>
      <c r="N331" s="804"/>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804"/>
      <c r="F332" s="157">
        <f>E73</f>
        <v>0</v>
      </c>
      <c r="G332" s="804"/>
      <c r="H332" s="157">
        <f>G73</f>
        <v>0</v>
      </c>
      <c r="I332" s="804"/>
      <c r="J332" s="157">
        <f>I73</f>
        <v>0</v>
      </c>
      <c r="K332" s="804"/>
      <c r="L332" s="157">
        <f>K73</f>
        <v>0</v>
      </c>
      <c r="M332" s="285" t="str">
        <f>L73</f>
        <v>ND</v>
      </c>
      <c r="N332" s="804"/>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804"/>
      <c r="F333" s="157">
        <f>E76</f>
        <v>0</v>
      </c>
      <c r="G333" s="804"/>
      <c r="H333" s="157">
        <f>G76</f>
        <v>0</v>
      </c>
      <c r="I333" s="804"/>
      <c r="J333" s="157">
        <f>I76</f>
        <v>0</v>
      </c>
      <c r="K333" s="804"/>
      <c r="L333" s="157">
        <f>K76</f>
        <v>0</v>
      </c>
      <c r="M333" s="285" t="str">
        <f>L76</f>
        <v>ND</v>
      </c>
      <c r="N333" s="804"/>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804"/>
      <c r="F334" s="157">
        <f>E78</f>
        <v>0</v>
      </c>
      <c r="G334" s="804"/>
      <c r="H334" s="157">
        <f>G78</f>
        <v>0</v>
      </c>
      <c r="I334" s="804"/>
      <c r="J334" s="157">
        <f>I78</f>
        <v>0</v>
      </c>
      <c r="K334" s="804"/>
      <c r="L334" s="157">
        <f>K78</f>
        <v>0</v>
      </c>
      <c r="M334" s="285" t="str">
        <f>L78</f>
        <v>ND</v>
      </c>
      <c r="N334" s="804"/>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804"/>
      <c r="F335" s="157"/>
      <c r="G335" s="804"/>
      <c r="H335" s="157"/>
      <c r="I335" s="804"/>
      <c r="J335" s="157"/>
      <c r="K335" s="804"/>
      <c r="L335" s="157"/>
      <c r="M335" s="285"/>
      <c r="N335" s="804"/>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804"/>
      <c r="F336" s="157"/>
      <c r="G336" s="804"/>
      <c r="H336" s="157"/>
      <c r="I336" s="804"/>
      <c r="J336" s="157"/>
      <c r="K336" s="804"/>
      <c r="L336" s="157"/>
      <c r="M336" s="285"/>
      <c r="N336" s="804"/>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0</v>
      </c>
      <c r="G337" s="86"/>
      <c r="H337" s="95">
        <f>G81</f>
        <v>0</v>
      </c>
      <c r="I337" s="86"/>
      <c r="J337" s="95">
        <f>I81</f>
        <v>0</v>
      </c>
      <c r="K337" s="86"/>
      <c r="L337" s="95">
        <f>K81</f>
        <v>0</v>
      </c>
      <c r="M337" s="284" t="str">
        <f>L81</f>
        <v>ND</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805"/>
      <c r="F338" s="116">
        <f>E83</f>
        <v>0</v>
      </c>
      <c r="G338" s="805"/>
      <c r="H338" s="116">
        <f>G83</f>
        <v>0</v>
      </c>
      <c r="I338" s="805"/>
      <c r="J338" s="116">
        <f>I83</f>
        <v>0</v>
      </c>
      <c r="K338" s="805"/>
      <c r="L338" s="116">
        <f>K83</f>
        <v>0</v>
      </c>
      <c r="M338" s="283" t="str">
        <f>L83</f>
        <v>ND</v>
      </c>
      <c r="N338" s="805"/>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805"/>
      <c r="F339" s="116"/>
      <c r="G339" s="805"/>
      <c r="H339" s="116"/>
      <c r="I339" s="805"/>
      <c r="J339" s="116"/>
      <c r="K339" s="805"/>
      <c r="L339" s="116"/>
      <c r="M339" s="283"/>
      <c r="N339" s="805"/>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805"/>
      <c r="F340" s="116"/>
      <c r="G340" s="805"/>
      <c r="H340" s="116"/>
      <c r="I340" s="805"/>
      <c r="J340" s="116"/>
      <c r="K340" s="805"/>
      <c r="L340" s="116"/>
      <c r="M340" s="158"/>
      <c r="N340" s="805"/>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784"/>
      <c r="F341" s="784"/>
      <c r="G341" s="784"/>
      <c r="H341" s="784"/>
      <c r="I341" s="784"/>
      <c r="J341" s="784"/>
      <c r="K341" s="784"/>
      <c r="L341" s="784"/>
      <c r="M341" s="784"/>
      <c r="N341" s="784"/>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26.143790849673206</v>
      </c>
      <c r="I343" s="293" t="str">
        <f t="shared" si="15"/>
        <v>DESNUTRICION SEVERA 3ER GRADO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814" t="s">
        <v>436</v>
      </c>
      <c r="B344" s="814"/>
      <c r="C344" s="814"/>
      <c r="D344" s="251"/>
      <c r="E344" s="814"/>
      <c r="F344" s="252"/>
      <c r="G344" s="251"/>
      <c r="H344" s="288">
        <f t="shared" si="15"/>
        <v>26.143790849673206</v>
      </c>
      <c r="I344" s="814" t="str">
        <f t="shared" si="15"/>
        <v>DESNUTRICION SEVERA 3ER GRADO</v>
      </c>
      <c r="J344" s="814"/>
      <c r="K344" s="814"/>
      <c r="L344" s="814"/>
      <c r="M344" s="814"/>
      <c r="N344" s="814"/>
      <c r="O344" s="215"/>
      <c r="P344" s="215"/>
      <c r="Q344" s="215"/>
      <c r="R344" s="215"/>
      <c r="S344" s="215"/>
      <c r="T344" s="215"/>
      <c r="U344" s="215"/>
      <c r="V344" s="215"/>
      <c r="W344" s="80"/>
      <c r="X344" s="80"/>
      <c r="Y344" s="80"/>
      <c r="Z344" s="80"/>
      <c r="AA344" s="80"/>
      <c r="AB344" s="80"/>
      <c r="AC344" s="80"/>
      <c r="AD344" s="80"/>
      <c r="AE344" s="80"/>
      <c r="AF344" s="80"/>
    </row>
    <row r="345" spans="1:32">
      <c r="A345" s="814" t="s">
        <v>437</v>
      </c>
      <c r="B345" s="814"/>
      <c r="C345" s="814"/>
      <c r="D345" s="251"/>
      <c r="E345" s="814"/>
      <c r="F345" s="252"/>
      <c r="G345" s="251"/>
      <c r="H345" s="288">
        <f t="shared" si="15"/>
        <v>55.05505505505505</v>
      </c>
      <c r="I345" s="814" t="str">
        <f t="shared" si="15"/>
        <v>DESNUTRICION SEVERA 3ER GRADO</v>
      </c>
      <c r="J345" s="814"/>
      <c r="K345" s="814"/>
      <c r="L345" s="814"/>
      <c r="M345" s="814"/>
      <c r="N345" s="814"/>
      <c r="O345" s="215"/>
      <c r="P345" s="215"/>
      <c r="Q345" s="215"/>
      <c r="R345" s="215"/>
      <c r="S345" s="215"/>
      <c r="T345" s="215"/>
      <c r="U345" s="215"/>
      <c r="V345" s="215"/>
      <c r="W345" s="80"/>
      <c r="X345" s="80"/>
      <c r="Y345" s="80"/>
      <c r="Z345" s="80"/>
      <c r="AA345" s="80"/>
      <c r="AB345" s="80"/>
      <c r="AC345" s="80"/>
      <c r="AD345" s="80"/>
      <c r="AE345" s="80"/>
      <c r="AF345" s="80"/>
    </row>
    <row r="346" spans="1:32">
      <c r="A346" s="814"/>
      <c r="B346" s="814"/>
      <c r="C346" s="814"/>
      <c r="D346" s="251"/>
      <c r="E346" s="814"/>
      <c r="F346" s="252"/>
      <c r="G346" s="251"/>
      <c r="H346" s="288"/>
      <c r="I346" s="814"/>
      <c r="J346" s="814"/>
      <c r="K346" s="814"/>
      <c r="L346" s="814"/>
      <c r="M346" s="814"/>
      <c r="N346" s="814"/>
      <c r="O346" s="215"/>
      <c r="P346" s="215"/>
      <c r="Q346" s="215"/>
      <c r="R346" s="215"/>
      <c r="S346" s="215"/>
      <c r="T346" s="215"/>
      <c r="U346" s="215"/>
      <c r="V346" s="215"/>
      <c r="W346" s="80"/>
      <c r="X346" s="80"/>
      <c r="Y346" s="80"/>
      <c r="Z346" s="80"/>
      <c r="AA346" s="80"/>
      <c r="AB346" s="80"/>
      <c r="AC346" s="80"/>
      <c r="AD346" s="80"/>
      <c r="AE346" s="80"/>
      <c r="AF346" s="80"/>
    </row>
    <row r="347" spans="1:32">
      <c r="A347" s="1211" t="s">
        <v>448</v>
      </c>
      <c r="B347" s="1211"/>
      <c r="C347" s="1211"/>
      <c r="D347" s="1211"/>
      <c r="E347" s="1211"/>
      <c r="F347" s="1211"/>
      <c r="G347" s="1211"/>
      <c r="H347" s="1211"/>
      <c r="I347" s="1211"/>
      <c r="J347" s="1211"/>
      <c r="K347" s="1211"/>
      <c r="L347" s="1211"/>
      <c r="M347" s="1211"/>
      <c r="N347" s="1211"/>
      <c r="O347" s="215"/>
      <c r="P347" s="215"/>
      <c r="Q347" s="215"/>
      <c r="R347" s="215"/>
      <c r="S347" s="215"/>
      <c r="T347" s="215"/>
      <c r="U347" s="215"/>
      <c r="V347" s="215"/>
      <c r="W347" s="80"/>
      <c r="X347" s="80"/>
      <c r="Y347" s="80"/>
      <c r="Z347" s="80"/>
      <c r="AA347" s="80"/>
      <c r="AB347" s="80"/>
      <c r="AC347" s="80"/>
      <c r="AD347" s="80"/>
      <c r="AE347" s="80"/>
      <c r="AF347" s="80"/>
    </row>
    <row r="348" spans="1:32">
      <c r="A348" s="1211" t="s">
        <v>449</v>
      </c>
      <c r="B348" s="1211"/>
      <c r="C348" s="1211"/>
      <c r="D348" s="1211"/>
      <c r="E348" s="1211"/>
      <c r="F348" s="1211"/>
      <c r="G348" s="1211"/>
      <c r="H348" s="1211"/>
      <c r="I348" s="1211"/>
      <c r="J348" s="1211"/>
      <c r="K348" s="1211"/>
      <c r="L348" s="1211"/>
      <c r="M348" s="1211"/>
      <c r="N348" s="1211"/>
      <c r="O348" s="215"/>
      <c r="P348" s="215"/>
      <c r="Q348" s="215"/>
      <c r="R348" s="215"/>
      <c r="S348" s="215"/>
      <c r="T348" s="215"/>
      <c r="U348" s="215"/>
      <c r="V348" s="215"/>
      <c r="W348" s="80"/>
      <c r="X348" s="80"/>
      <c r="Y348" s="80"/>
      <c r="Z348" s="80"/>
      <c r="AA348" s="80"/>
      <c r="AB348" s="80"/>
      <c r="AC348" s="80"/>
      <c r="AD348" s="80"/>
      <c r="AE348" s="80"/>
      <c r="AF348" s="80"/>
    </row>
    <row r="349" spans="1:32">
      <c r="A349" s="1211" t="s">
        <v>450</v>
      </c>
      <c r="B349" s="1211"/>
      <c r="C349" s="1211"/>
      <c r="D349" s="1211"/>
      <c r="E349" s="1211"/>
      <c r="F349" s="1211"/>
      <c r="G349" s="1211"/>
      <c r="H349" s="1211"/>
      <c r="I349" s="1211"/>
      <c r="J349" s="1211"/>
      <c r="K349" s="1211"/>
      <c r="L349" s="1211"/>
      <c r="M349" s="1211"/>
      <c r="N349" s="1211"/>
      <c r="O349" s="215"/>
      <c r="P349" s="215"/>
      <c r="Q349" s="215"/>
      <c r="R349" s="215"/>
      <c r="S349" s="215"/>
      <c r="T349" s="215"/>
      <c r="U349" s="215"/>
      <c r="V349" s="215"/>
      <c r="W349" s="80"/>
      <c r="X349" s="80"/>
      <c r="Y349" s="80"/>
      <c r="Z349" s="80"/>
      <c r="AA349" s="80"/>
      <c r="AB349" s="80"/>
      <c r="AC349" s="80"/>
      <c r="AD349" s="80"/>
      <c r="AE349" s="80"/>
      <c r="AF349" s="80"/>
    </row>
    <row r="350" spans="1:32" ht="17.100000000000001" customHeight="1">
      <c r="A350" s="1211" t="s">
        <v>451</v>
      </c>
      <c r="B350" s="1211"/>
      <c r="C350" s="1211"/>
      <c r="D350" s="1211"/>
      <c r="E350" s="1211"/>
      <c r="F350" s="1211"/>
      <c r="G350" s="1211"/>
      <c r="H350" s="1211"/>
      <c r="I350" s="1211"/>
      <c r="J350" s="1211"/>
      <c r="K350" s="1211"/>
      <c r="L350" s="1211"/>
      <c r="M350" s="1211"/>
      <c r="N350" s="1211"/>
      <c r="O350" s="215"/>
      <c r="P350" s="215"/>
      <c r="Q350" s="215"/>
      <c r="R350" s="215"/>
      <c r="S350" s="215"/>
      <c r="T350" s="215"/>
      <c r="U350" s="215"/>
      <c r="V350" s="215"/>
      <c r="W350" s="80"/>
      <c r="X350" s="80"/>
      <c r="Y350" s="80"/>
      <c r="Z350" s="80"/>
      <c r="AA350" s="80"/>
      <c r="AB350" s="80"/>
      <c r="AC350" s="80"/>
      <c r="AD350" s="80"/>
      <c r="AE350" s="80"/>
      <c r="AF350" s="80"/>
    </row>
    <row r="351" spans="1:32" ht="15" customHeight="1">
      <c r="A351" s="1211" t="s">
        <v>455</v>
      </c>
      <c r="B351" s="1211"/>
      <c r="C351" s="1211"/>
      <c r="D351" s="1211"/>
      <c r="E351" s="1211"/>
      <c r="F351" s="1211"/>
      <c r="G351" s="1211"/>
      <c r="H351" s="1211"/>
      <c r="I351" s="1211"/>
      <c r="J351" s="1211"/>
      <c r="K351" s="1211"/>
      <c r="L351" s="1211"/>
      <c r="M351" s="1211"/>
      <c r="N351" s="1211"/>
      <c r="O351" s="215"/>
      <c r="P351" s="215"/>
      <c r="Q351" s="215"/>
      <c r="R351" s="215"/>
      <c r="S351" s="215"/>
      <c r="T351" s="215"/>
      <c r="U351" s="215"/>
      <c r="V351" s="215"/>
      <c r="W351" s="80"/>
      <c r="X351" s="80"/>
      <c r="Y351" s="80"/>
      <c r="Z351" s="80"/>
      <c r="AA351" s="80"/>
      <c r="AB351" s="80"/>
      <c r="AC351" s="80"/>
      <c r="AD351" s="80"/>
      <c r="AE351" s="80"/>
      <c r="AF351" s="80"/>
    </row>
    <row r="352" spans="1:32" ht="15.75" customHeight="1">
      <c r="A352" s="1211" t="s">
        <v>456</v>
      </c>
      <c r="B352" s="1211"/>
      <c r="C352" s="1211"/>
      <c r="D352" s="1211"/>
      <c r="E352" s="1211"/>
      <c r="F352" s="1211"/>
      <c r="G352" s="1211"/>
      <c r="H352" s="1211"/>
      <c r="I352" s="1211"/>
      <c r="J352" s="1211"/>
      <c r="K352" s="1211"/>
      <c r="L352" s="1211"/>
      <c r="M352" s="1211"/>
      <c r="N352" s="1211"/>
      <c r="O352" s="215"/>
      <c r="P352" s="215"/>
      <c r="Q352" s="215"/>
      <c r="R352" s="215"/>
      <c r="S352" s="215"/>
      <c r="T352" s="215"/>
      <c r="U352" s="215"/>
      <c r="V352" s="215"/>
      <c r="W352" s="80"/>
      <c r="X352" s="80"/>
      <c r="Y352" s="80"/>
      <c r="Z352" s="80"/>
      <c r="AA352" s="80"/>
      <c r="AB352" s="80"/>
      <c r="AC352" s="80"/>
      <c r="AD352" s="80"/>
      <c r="AE352" s="80"/>
      <c r="AF352" s="80"/>
    </row>
    <row r="353" spans="1:32">
      <c r="A353" s="1211" t="s">
        <v>452</v>
      </c>
      <c r="B353" s="1211"/>
      <c r="C353" s="1211"/>
      <c r="D353" s="1211"/>
      <c r="E353" s="1211"/>
      <c r="F353" s="1211"/>
      <c r="G353" s="1211"/>
      <c r="H353" s="1211"/>
      <c r="I353" s="1211"/>
      <c r="J353" s="1211"/>
      <c r="K353" s="1211"/>
      <c r="L353" s="1211"/>
      <c r="M353" s="1211"/>
      <c r="N353" s="1211"/>
      <c r="O353" s="215"/>
      <c r="P353" s="215"/>
      <c r="Q353" s="215"/>
      <c r="R353" s="215"/>
      <c r="S353" s="215"/>
      <c r="T353" s="215"/>
      <c r="U353" s="215"/>
      <c r="V353" s="215"/>
      <c r="W353" s="80"/>
      <c r="X353" s="80"/>
      <c r="Y353" s="80"/>
      <c r="Z353" s="80"/>
      <c r="AA353" s="80"/>
      <c r="AB353" s="80"/>
      <c r="AC353" s="80"/>
      <c r="AD353" s="80"/>
      <c r="AE353" s="80"/>
      <c r="AF353" s="80"/>
    </row>
    <row r="354" spans="1:32">
      <c r="A354" s="1211" t="s">
        <v>453</v>
      </c>
      <c r="B354" s="1211"/>
      <c r="C354" s="1211"/>
      <c r="D354" s="1211"/>
      <c r="E354" s="1211"/>
      <c r="F354" s="1211"/>
      <c r="G354" s="1211"/>
      <c r="H354" s="1211"/>
      <c r="I354" s="1211"/>
      <c r="J354" s="1211"/>
      <c r="K354" s="1211"/>
      <c r="L354" s="1211"/>
      <c r="M354" s="1211"/>
      <c r="N354" s="1211"/>
      <c r="O354" s="215"/>
      <c r="P354" s="215"/>
      <c r="Q354" s="215"/>
      <c r="R354" s="215"/>
      <c r="S354" s="215"/>
      <c r="T354" s="215"/>
      <c r="U354" s="215"/>
      <c r="V354" s="215"/>
      <c r="W354" s="80"/>
      <c r="X354" s="80"/>
      <c r="Y354" s="80"/>
      <c r="Z354" s="80"/>
      <c r="AA354" s="80"/>
      <c r="AB354" s="80"/>
      <c r="AC354" s="80"/>
      <c r="AD354" s="80"/>
      <c r="AE354" s="80"/>
      <c r="AF354" s="80"/>
    </row>
    <row r="355" spans="1:32">
      <c r="A355" s="1076" t="s">
        <v>454</v>
      </c>
      <c r="B355" s="1076"/>
      <c r="C355" s="1076"/>
      <c r="D355" s="1076"/>
      <c r="E355" s="1076"/>
      <c r="F355" s="1076"/>
      <c r="G355" s="1076"/>
      <c r="H355" s="1076"/>
      <c r="I355" s="1076"/>
      <c r="J355" s="1076"/>
      <c r="K355" s="1076"/>
      <c r="L355" s="1076"/>
      <c r="M355" s="1076"/>
      <c r="N355" s="1076"/>
      <c r="O355" s="215"/>
      <c r="P355" s="215"/>
      <c r="Q355" s="215"/>
      <c r="R355" s="215"/>
      <c r="S355" s="215"/>
      <c r="T355" s="215"/>
      <c r="U355" s="215"/>
      <c r="V355" s="215"/>
      <c r="W355" s="80"/>
      <c r="X355" s="80"/>
      <c r="Y355" s="80"/>
      <c r="Z355" s="80"/>
      <c r="AA355" s="80"/>
      <c r="AB355" s="80"/>
      <c r="AC355" s="80"/>
      <c r="AD355" s="80"/>
      <c r="AE355" s="80"/>
      <c r="AF355" s="80"/>
    </row>
    <row r="356" spans="1:32">
      <c r="A356" s="1047"/>
      <c r="B356" s="1047"/>
      <c r="C356" s="1047"/>
      <c r="D356" s="1047"/>
      <c r="E356" s="1047"/>
      <c r="F356" s="1047"/>
      <c r="G356" s="1047"/>
      <c r="H356" s="1047"/>
      <c r="I356" s="1047"/>
      <c r="J356" s="1047"/>
      <c r="K356" s="1047"/>
      <c r="L356" s="1047"/>
      <c r="M356" s="1047"/>
      <c r="N356" s="1047"/>
      <c r="O356" s="215"/>
      <c r="P356" s="215"/>
      <c r="Q356" s="215"/>
      <c r="R356" s="215"/>
      <c r="S356" s="215"/>
      <c r="T356" s="215"/>
      <c r="U356" s="215"/>
      <c r="V356" s="215"/>
      <c r="W356" s="80"/>
      <c r="X356" s="80"/>
      <c r="Y356" s="80"/>
      <c r="Z356" s="80"/>
      <c r="AA356" s="80"/>
      <c r="AB356" s="80"/>
      <c r="AC356" s="80"/>
      <c r="AD356" s="80"/>
      <c r="AE356" s="80"/>
      <c r="AF356" s="80"/>
    </row>
    <row r="357" spans="1:32">
      <c r="A357" s="806"/>
      <c r="B357" s="806"/>
      <c r="C357" s="806"/>
      <c r="D357" s="806"/>
      <c r="E357" s="806"/>
      <c r="F357" s="113"/>
      <c r="G357" s="113"/>
      <c r="H357" s="113"/>
      <c r="I357" s="113"/>
      <c r="J357" s="113"/>
      <c r="K357" s="113"/>
      <c r="L357" s="113"/>
      <c r="M357" s="113"/>
      <c r="N357" s="113"/>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785" t="s">
        <v>52</v>
      </c>
      <c r="C359" s="86" t="s">
        <v>43</v>
      </c>
      <c r="D359" s="785"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f t="shared" ref="B360:D362" si="16">B177</f>
        <v>60.475651189127973</v>
      </c>
      <c r="C360" s="104">
        <f t="shared" si="16"/>
        <v>1068</v>
      </c>
      <c r="D360" s="120">
        <f t="shared" si="16"/>
        <v>267</v>
      </c>
      <c r="E360" s="805"/>
      <c r="F360" s="805"/>
      <c r="G360" s="805"/>
      <c r="H360" s="805"/>
      <c r="I360" s="805"/>
      <c r="J360" s="805"/>
      <c r="K360" s="805"/>
      <c r="L360" s="805"/>
      <c r="M360" s="805"/>
      <c r="N360" s="805"/>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f t="shared" si="16"/>
        <v>18.120045300113251</v>
      </c>
      <c r="C361" s="628">
        <f t="shared" si="16"/>
        <v>320</v>
      </c>
      <c r="D361" s="122">
        <f t="shared" si="16"/>
        <v>80</v>
      </c>
      <c r="E361" s="114" t="s">
        <v>68</v>
      </c>
      <c r="F361" s="133">
        <f>F178</f>
        <v>46</v>
      </c>
      <c r="G361" s="101" t="s">
        <v>69</v>
      </c>
      <c r="H361" s="133">
        <f>H178</f>
        <v>57.5</v>
      </c>
      <c r="I361" s="286" t="s">
        <v>444</v>
      </c>
      <c r="J361" s="115" t="s">
        <v>70</v>
      </c>
      <c r="K361" s="133">
        <f>K178</f>
        <v>34</v>
      </c>
      <c r="L361" s="101" t="s">
        <v>69</v>
      </c>
      <c r="M361" s="134">
        <f>M178</f>
        <v>42.5</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f t="shared" si="16"/>
        <v>21.404303510758776</v>
      </c>
      <c r="C362" s="129">
        <f t="shared" si="16"/>
        <v>378</v>
      </c>
      <c r="D362" s="122">
        <f t="shared" si="16"/>
        <v>42</v>
      </c>
      <c r="E362" s="805"/>
      <c r="F362" s="805"/>
      <c r="G362" s="805"/>
      <c r="H362" s="805"/>
      <c r="I362" s="805"/>
      <c r="J362" s="805"/>
      <c r="K362" s="805"/>
      <c r="L362" s="805"/>
      <c r="M362" s="805"/>
      <c r="N362" s="805"/>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f>SUM(B360:B362)</f>
        <v>100</v>
      </c>
      <c r="C363" s="132">
        <f>SUM(C360:C362)</f>
        <v>1766</v>
      </c>
      <c r="D363" s="86"/>
      <c r="E363" s="805"/>
      <c r="F363" s="1206" t="str">
        <f>A181</f>
        <v>GRAMOS PROT/KG P.I</v>
      </c>
      <c r="G363" s="1206"/>
      <c r="H363" s="1206"/>
      <c r="I363" s="1206"/>
      <c r="J363" s="168">
        <f>D181</f>
        <v>5.2287581699346406</v>
      </c>
      <c r="K363" s="805" t="s">
        <v>69</v>
      </c>
      <c r="L363" s="805"/>
      <c r="M363" s="805"/>
      <c r="N363" s="805"/>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805"/>
      <c r="F364" s="805"/>
      <c r="G364" s="805"/>
      <c r="H364" s="805"/>
      <c r="I364" s="805"/>
      <c r="J364" s="805"/>
      <c r="K364" s="805"/>
      <c r="L364" s="805"/>
      <c r="M364" s="805"/>
      <c r="N364" s="805"/>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L.N. FANY CANO VARELA</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785"/>
      <c r="B370" s="785"/>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814"/>
      <c r="X371" s="814"/>
      <c r="Y371" s="814"/>
      <c r="Z371" s="814"/>
      <c r="AA371" s="814"/>
      <c r="AB371" s="814"/>
      <c r="AC371" s="814"/>
      <c r="AD371" s="814"/>
      <c r="AE371" s="814"/>
      <c r="AF371" s="814"/>
      <c r="AG371" s="814"/>
      <c r="AH371" s="814"/>
      <c r="AI371" s="814"/>
      <c r="AJ371" s="814"/>
      <c r="AK371" s="814"/>
      <c r="AL371" s="814"/>
      <c r="AM371" s="814"/>
      <c r="AN371" s="814"/>
      <c r="AO371" s="814"/>
      <c r="AP371" s="814"/>
      <c r="AQ371" s="814"/>
      <c r="AR371" s="814"/>
      <c r="AS371" s="814"/>
      <c r="AT371" s="814"/>
      <c r="AU371" s="814"/>
      <c r="AV371" s="814"/>
      <c r="AW371" s="814"/>
      <c r="AX371" s="814"/>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814"/>
      <c r="X372" s="814"/>
      <c r="Y372" s="814"/>
      <c r="Z372" s="814"/>
      <c r="AA372" s="814"/>
      <c r="AB372" s="814"/>
      <c r="AC372" s="814"/>
      <c r="AD372" s="814"/>
      <c r="AE372" s="814"/>
      <c r="AF372" s="814"/>
      <c r="AG372" s="814"/>
      <c r="AH372" s="814"/>
      <c r="AI372" s="814"/>
      <c r="AJ372" s="814"/>
      <c r="AK372" s="814"/>
      <c r="AL372" s="814"/>
      <c r="AM372" s="814"/>
      <c r="AN372" s="814"/>
      <c r="AO372" s="814"/>
      <c r="AP372" s="814"/>
      <c r="AQ372" s="814"/>
      <c r="AR372" s="814"/>
      <c r="AS372" s="814"/>
      <c r="AT372" s="814"/>
      <c r="AU372" s="814"/>
      <c r="AV372" s="814"/>
      <c r="AW372" s="814"/>
      <c r="AX372" s="814"/>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814"/>
      <c r="X373" s="814"/>
      <c r="Y373" s="814"/>
      <c r="Z373" s="814"/>
      <c r="AA373" s="814"/>
      <c r="AB373" s="814"/>
      <c r="AC373" s="814"/>
      <c r="AD373" s="814"/>
      <c r="AE373" s="814"/>
      <c r="AF373" s="814"/>
      <c r="AG373" s="814"/>
      <c r="AH373" s="814"/>
      <c r="AI373" s="814"/>
      <c r="AJ373" s="814"/>
      <c r="AK373" s="814"/>
      <c r="AL373" s="814"/>
      <c r="AM373" s="814"/>
      <c r="AN373" s="814"/>
      <c r="AO373" s="814"/>
      <c r="AP373" s="814"/>
      <c r="AQ373" s="814"/>
      <c r="AR373" s="814"/>
      <c r="AS373" s="814"/>
      <c r="AT373" s="814"/>
      <c r="AU373" s="814"/>
      <c r="AV373" s="814"/>
      <c r="AW373" s="814"/>
      <c r="AX373" s="814"/>
    </row>
    <row r="374" spans="1:50">
      <c r="A374" s="86" t="s">
        <v>2</v>
      </c>
      <c r="B374" s="1209">
        <f>B4</f>
        <v>0</v>
      </c>
      <c r="C374" s="1209"/>
      <c r="D374" s="1209"/>
      <c r="E374" s="1209"/>
      <c r="F374" s="1209"/>
      <c r="G374" s="1209"/>
      <c r="H374" s="1209"/>
      <c r="I374" s="1209"/>
      <c r="J374" s="221"/>
      <c r="K374" s="221" t="s">
        <v>291</v>
      </c>
      <c r="L374" s="1210">
        <f>M4</f>
        <v>0</v>
      </c>
      <c r="M374" s="1210"/>
      <c r="N374" s="1210"/>
      <c r="O374" s="280"/>
      <c r="P374" s="280"/>
      <c r="Q374" s="280"/>
      <c r="R374" s="280"/>
      <c r="S374" s="280"/>
      <c r="T374" s="280"/>
      <c r="U374" s="280"/>
      <c r="V374" s="280"/>
      <c r="W374" s="814"/>
      <c r="X374" s="814"/>
      <c r="Y374" s="814"/>
      <c r="Z374" s="814"/>
      <c r="AA374" s="814"/>
      <c r="AB374" s="814"/>
      <c r="AC374" s="814"/>
      <c r="AD374" s="814"/>
      <c r="AE374" s="814"/>
      <c r="AF374" s="814"/>
      <c r="AG374" s="814"/>
      <c r="AH374" s="814"/>
      <c r="AI374" s="814"/>
      <c r="AJ374" s="814"/>
      <c r="AK374" s="814"/>
      <c r="AL374" s="814"/>
      <c r="AM374" s="814"/>
      <c r="AN374" s="814"/>
      <c r="AO374" s="814"/>
      <c r="AP374" s="814"/>
      <c r="AQ374" s="814"/>
      <c r="AR374" s="814"/>
      <c r="AS374" s="814"/>
      <c r="AT374" s="814"/>
      <c r="AU374" s="814"/>
      <c r="AV374" s="814"/>
      <c r="AW374" s="814"/>
      <c r="AX374" s="814"/>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814"/>
      <c r="X375" s="814"/>
      <c r="Y375" s="814"/>
      <c r="Z375" s="814"/>
      <c r="AA375" s="814"/>
      <c r="AB375" s="814"/>
      <c r="AC375" s="814"/>
      <c r="AD375" s="814"/>
      <c r="AE375" s="814"/>
      <c r="AF375" s="814"/>
      <c r="AG375" s="814"/>
      <c r="AH375" s="814"/>
      <c r="AI375" s="814"/>
      <c r="AJ375" s="814"/>
      <c r="AK375" s="814"/>
      <c r="AL375" s="814"/>
      <c r="AM375" s="814"/>
      <c r="AN375" s="814"/>
      <c r="AO375" s="814"/>
      <c r="AP375" s="814"/>
      <c r="AQ375" s="814"/>
      <c r="AR375" s="814"/>
      <c r="AS375" s="814"/>
      <c r="AT375" s="814"/>
      <c r="AU375" s="814"/>
      <c r="AV375" s="814"/>
      <c r="AW375" s="814"/>
      <c r="AX375" s="814"/>
    </row>
    <row r="376" spans="1:50">
      <c r="A376" s="238" t="s">
        <v>4</v>
      </c>
      <c r="B376" s="267">
        <v>7.916666666666667</v>
      </c>
      <c r="C376" s="264"/>
      <c r="D376" s="264"/>
      <c r="E376" s="264"/>
      <c r="F376" s="264"/>
      <c r="G376" s="264"/>
      <c r="H376" s="238"/>
      <c r="I376" s="238"/>
      <c r="J376" s="238"/>
      <c r="K376" s="814"/>
      <c r="L376" s="814"/>
      <c r="M376" s="814"/>
      <c r="N376" s="814"/>
      <c r="O376" s="280"/>
      <c r="P376" s="280"/>
      <c r="Q376" s="280"/>
      <c r="R376" s="280"/>
      <c r="S376" s="280"/>
      <c r="T376" s="280"/>
      <c r="U376" s="280"/>
      <c r="V376" s="280"/>
      <c r="W376" s="814"/>
      <c r="X376" s="814"/>
      <c r="Y376" s="814"/>
      <c r="Z376" s="814"/>
      <c r="AA376" s="814"/>
      <c r="AB376" s="814"/>
      <c r="AC376" s="814"/>
      <c r="AD376" s="814"/>
      <c r="AE376" s="814"/>
      <c r="AF376" s="814"/>
      <c r="AG376" s="814"/>
      <c r="AH376" s="814"/>
      <c r="AI376" s="814"/>
      <c r="AJ376" s="814"/>
      <c r="AK376" s="814"/>
      <c r="AL376" s="814"/>
      <c r="AM376" s="814"/>
      <c r="AN376" s="814"/>
      <c r="AO376" s="814"/>
      <c r="AP376" s="814"/>
      <c r="AQ376" s="814"/>
      <c r="AR376" s="814"/>
      <c r="AS376" s="814"/>
      <c r="AT376" s="814"/>
      <c r="AU376" s="814"/>
      <c r="AV376" s="814"/>
      <c r="AW376" s="814"/>
      <c r="AX376" s="814"/>
    </row>
    <row r="377" spans="1:50">
      <c r="A377" s="238" t="s">
        <v>430</v>
      </c>
      <c r="B377" s="264">
        <f>D12</f>
        <v>38</v>
      </c>
      <c r="C377" s="264">
        <v>17.7</v>
      </c>
      <c r="D377" s="264"/>
      <c r="E377" s="264"/>
      <c r="F377" s="264"/>
      <c r="G377" s="264"/>
      <c r="H377" s="238"/>
      <c r="I377" s="238"/>
      <c r="J377" s="238"/>
      <c r="K377" s="814"/>
      <c r="L377" s="814"/>
      <c r="M377" s="814"/>
      <c r="N377" s="814"/>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133</v>
      </c>
      <c r="C378" s="264">
        <v>117</v>
      </c>
      <c r="D378" s="264"/>
      <c r="E378" s="264"/>
      <c r="F378" s="264"/>
      <c r="G378" s="264"/>
      <c r="H378" s="238"/>
      <c r="I378" s="238"/>
      <c r="J378" s="238"/>
      <c r="K378" s="814"/>
      <c r="L378" s="814"/>
      <c r="M378" s="814"/>
      <c r="N378" s="814"/>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2.1482277121374865E-3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814"/>
      <c r="L379" s="814"/>
      <c r="M379" s="814"/>
      <c r="N379" s="814"/>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1"/>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1"/>
      <c r="P387" s="215"/>
      <c r="Q387" s="215"/>
      <c r="R387" s="215"/>
      <c r="S387" s="215"/>
      <c r="T387" s="215"/>
      <c r="U387" s="215"/>
      <c r="V387" s="215"/>
      <c r="W387" s="80"/>
      <c r="X387" s="80"/>
      <c r="Y387" s="80"/>
      <c r="Z387" s="80"/>
      <c r="AA387" s="80"/>
      <c r="AB387" s="80"/>
      <c r="AC387" s="80"/>
      <c r="AD387" s="80"/>
      <c r="AE387" s="80"/>
      <c r="AF387" s="80"/>
    </row>
    <row r="388" spans="1:32">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ht="15" customHeight="1">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82"/>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82"/>
      <c r="P393" s="215"/>
      <c r="Q393" s="215"/>
      <c r="R393" s="215"/>
      <c r="S393" s="215"/>
      <c r="T393" s="215"/>
      <c r="U393" s="215"/>
      <c r="V393" s="215"/>
      <c r="W393" s="80"/>
      <c r="X393" s="80"/>
      <c r="Y393" s="80"/>
      <c r="Z393" s="80"/>
      <c r="AA393" s="80"/>
      <c r="AB393" s="80"/>
      <c r="AC393" s="80"/>
      <c r="AD393" s="80"/>
      <c r="AE393" s="80"/>
      <c r="AF393" s="80"/>
    </row>
    <row r="394" spans="1:32">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ht="15" customHeight="1">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86"/>
      <c r="B415" s="86"/>
      <c r="C415" s="86"/>
      <c r="D415" s="86"/>
      <c r="E415" s="86"/>
      <c r="F415" s="86"/>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6"/>
      <c r="B416" s="86"/>
      <c r="C416" s="86"/>
      <c r="D416" s="86"/>
      <c r="E416" s="86"/>
      <c r="F416" s="86"/>
      <c r="G416" s="86"/>
      <c r="H416" s="86"/>
      <c r="I416" s="86"/>
      <c r="J416" s="86"/>
      <c r="K416" s="86"/>
      <c r="L416" s="86"/>
      <c r="M416" s="86"/>
      <c r="N416" s="86"/>
      <c r="O416" s="215"/>
      <c r="P416" s="215"/>
      <c r="Q416" s="215"/>
      <c r="R416" s="215"/>
      <c r="S416" s="215"/>
      <c r="T416" s="215"/>
      <c r="U416" s="215"/>
      <c r="V416" s="215"/>
      <c r="W416" s="80"/>
      <c r="X416" s="80"/>
      <c r="Y416" s="80"/>
      <c r="Z416" s="80"/>
      <c r="AA416" s="80"/>
      <c r="AB416" s="80"/>
      <c r="AC416" s="80"/>
      <c r="AD416" s="80"/>
      <c r="AE416" s="80"/>
      <c r="AF416" s="80"/>
    </row>
    <row r="417" spans="1:32">
      <c r="A417" s="1047" t="s">
        <v>404</v>
      </c>
      <c r="B417" s="1047"/>
      <c r="C417" s="1047"/>
      <c r="D417" s="1047"/>
      <c r="E417" s="1047"/>
      <c r="F417" s="86" t="str">
        <f>C43</f>
        <v>L.N. FANY CANO VARELA</v>
      </c>
      <c r="G417" s="86"/>
      <c r="H417" s="86"/>
      <c r="I417" s="86"/>
      <c r="J417" s="86"/>
      <c r="K417" s="86"/>
      <c r="L417" s="86"/>
      <c r="M417" s="86"/>
      <c r="N417" s="86"/>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85"/>
      <c r="B445" s="85"/>
      <c r="C445" s="85"/>
      <c r="D445" s="85"/>
      <c r="E445" s="85"/>
      <c r="F445" s="85"/>
      <c r="G445" s="85"/>
      <c r="H445" s="85"/>
      <c r="I445" s="85"/>
      <c r="J445" s="85"/>
      <c r="K445" s="85"/>
      <c r="L445" s="85"/>
      <c r="M445" s="85"/>
      <c r="N445" s="85"/>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85"/>
      <c r="G446" s="85"/>
      <c r="H446" s="85"/>
      <c r="I446" s="85"/>
      <c r="J446" s="85"/>
      <c r="K446" s="85"/>
      <c r="L446" s="85"/>
      <c r="M446" s="85"/>
      <c r="N446" s="85"/>
      <c r="O446" s="215"/>
      <c r="P446" s="215"/>
      <c r="Q446" s="215"/>
      <c r="R446" s="215"/>
      <c r="S446" s="215"/>
      <c r="T446" s="215"/>
      <c r="U446" s="215"/>
      <c r="V446" s="215"/>
      <c r="W446" s="80"/>
      <c r="X446" s="80"/>
      <c r="Y446" s="80"/>
      <c r="Z446" s="80"/>
      <c r="AA446" s="80"/>
      <c r="AB446" s="80"/>
      <c r="AC446" s="80"/>
      <c r="AD446" s="80"/>
      <c r="AE446" s="80"/>
      <c r="AF446" s="80"/>
    </row>
    <row r="447" spans="1:32">
      <c r="A447" s="1207"/>
      <c r="B447" s="1207"/>
      <c r="C447" s="1207"/>
      <c r="D447" s="1207"/>
      <c r="E447" s="1207"/>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1208"/>
      <c r="G451" s="1208"/>
      <c r="H451" s="1208"/>
      <c r="I451" s="1208"/>
      <c r="J451" s="1208"/>
      <c r="K451" s="1208"/>
      <c r="L451" s="1208"/>
      <c r="M451" s="1208"/>
      <c r="N451" s="1208"/>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1208"/>
      <c r="G452" s="1208"/>
      <c r="H452" s="1208"/>
      <c r="I452" s="1208"/>
      <c r="J452" s="1208"/>
      <c r="K452" s="1208"/>
      <c r="L452" s="1208"/>
      <c r="M452" s="1208"/>
      <c r="N452" s="1208"/>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A468" s="85"/>
      <c r="B468" s="85"/>
      <c r="C468" s="85"/>
      <c r="D468" s="85"/>
      <c r="E468" s="85"/>
      <c r="F468" s="85"/>
      <c r="G468" s="85"/>
      <c r="H468" s="85"/>
      <c r="I468" s="85"/>
      <c r="J468" s="85"/>
      <c r="K468" s="85"/>
      <c r="L468" s="85"/>
      <c r="M468" s="85"/>
      <c r="N468" s="85"/>
      <c r="O468" s="215"/>
      <c r="P468" s="215"/>
      <c r="Q468" s="215"/>
      <c r="R468" s="215"/>
      <c r="S468" s="215"/>
      <c r="T468" s="215"/>
      <c r="U468" s="215"/>
      <c r="V468" s="215"/>
      <c r="W468" s="80"/>
      <c r="X468" s="80"/>
      <c r="Y468" s="80"/>
      <c r="Z468" s="80"/>
      <c r="AA468" s="80"/>
      <c r="AB468" s="80"/>
      <c r="AC468" s="80"/>
      <c r="AD468" s="80"/>
      <c r="AE468" s="80"/>
      <c r="AF468" s="80"/>
    </row>
    <row r="469" spans="1:32">
      <c r="A469" s="85"/>
      <c r="B469" s="85"/>
      <c r="C469" s="85"/>
      <c r="D469" s="85"/>
      <c r="E469" s="85"/>
      <c r="F469" s="85"/>
      <c r="G469" s="85"/>
      <c r="H469" s="85"/>
      <c r="I469" s="85"/>
      <c r="J469" s="85"/>
      <c r="K469" s="85"/>
      <c r="L469" s="85"/>
      <c r="M469" s="85"/>
      <c r="N469" s="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6" t="s">
        <v>171</v>
      </c>
      <c r="B471" s="986"/>
      <c r="C471" s="986"/>
      <c r="D471" s="986"/>
      <c r="E471" s="985" t="s">
        <v>172</v>
      </c>
      <c r="F471" s="985"/>
      <c r="G471" s="985"/>
      <c r="H471" s="985"/>
      <c r="I471" s="985"/>
      <c r="J471" s="985"/>
      <c r="K471" s="985"/>
      <c r="L471" s="985"/>
      <c r="M471" s="985"/>
      <c r="N471" s="985"/>
      <c r="O471" s="215"/>
      <c r="P471" s="215"/>
      <c r="Q471" s="215"/>
      <c r="R471" s="215"/>
      <c r="S471" s="215"/>
      <c r="T471" s="215"/>
      <c r="U471" s="215"/>
      <c r="V471" s="215"/>
      <c r="W471" s="80"/>
      <c r="X471" s="80"/>
      <c r="Y471" s="80"/>
      <c r="Z471" s="80"/>
      <c r="AA471" s="80"/>
      <c r="AB471" s="80"/>
      <c r="AC471" s="80"/>
      <c r="AD471" s="80"/>
      <c r="AE471" s="80"/>
      <c r="AF471" s="80"/>
    </row>
    <row r="472" spans="1:32">
      <c r="O472" s="215"/>
      <c r="P472" s="215"/>
      <c r="Q472" s="215"/>
      <c r="R472" s="215"/>
      <c r="S472" s="215"/>
      <c r="T472" s="215"/>
      <c r="U472" s="215"/>
      <c r="V472" s="215"/>
      <c r="W472" s="80"/>
      <c r="X472" s="80"/>
      <c r="Y472" s="80"/>
      <c r="Z472" s="80"/>
      <c r="AA472" s="80"/>
      <c r="AB472" s="80"/>
      <c r="AC472" s="80"/>
      <c r="AD472" s="80"/>
      <c r="AE472" s="80"/>
      <c r="AF472" s="80"/>
    </row>
    <row r="473" spans="1:32">
      <c r="A473" s="981" t="s">
        <v>173</v>
      </c>
      <c r="B473" s="981"/>
      <c r="C473" s="981"/>
      <c r="D473" s="981"/>
      <c r="E473" s="1026" t="s">
        <v>174</v>
      </c>
      <c r="F473" s="1026"/>
      <c r="G473" s="1026"/>
      <c r="H473" s="1026"/>
      <c r="I473" s="1026"/>
      <c r="J473" s="1026"/>
      <c r="K473" s="1026"/>
      <c r="L473" s="1026"/>
      <c r="M473" s="1026"/>
      <c r="N473" s="1026"/>
      <c r="O473" s="215"/>
      <c r="P473" s="215"/>
      <c r="Q473" s="215"/>
      <c r="R473" s="215"/>
      <c r="S473" s="215"/>
      <c r="T473" s="215"/>
      <c r="U473" s="215"/>
      <c r="V473" s="215"/>
      <c r="W473" s="80"/>
      <c r="X473" s="80"/>
      <c r="Y473" s="80"/>
      <c r="Z473" s="80"/>
      <c r="AA473" s="80"/>
      <c r="AB473" s="80"/>
      <c r="AC473" s="80"/>
      <c r="AD473" s="80"/>
      <c r="AE473" s="80"/>
      <c r="AF473" s="80"/>
    </row>
    <row r="474" spans="1:32">
      <c r="E474" s="1026"/>
      <c r="F474" s="1026"/>
      <c r="G474" s="1026"/>
      <c r="H474" s="1026"/>
      <c r="I474" s="1026"/>
      <c r="J474" s="1026"/>
      <c r="K474" s="1026"/>
      <c r="L474" s="1026"/>
      <c r="M474" s="1026"/>
      <c r="N474" s="1026"/>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6" t="s">
        <v>175</v>
      </c>
      <c r="B476" s="996"/>
      <c r="C476" s="996"/>
      <c r="D476" s="996"/>
      <c r="E476" s="997" t="s">
        <v>176</v>
      </c>
      <c r="F476" s="997"/>
      <c r="G476" s="997"/>
      <c r="H476" s="997"/>
      <c r="I476" s="997"/>
      <c r="J476" s="997"/>
      <c r="K476" s="997"/>
      <c r="L476" s="997"/>
      <c r="M476" s="997"/>
      <c r="N476" s="997"/>
      <c r="O476" s="215"/>
      <c r="P476" s="215"/>
      <c r="Q476" s="215"/>
      <c r="R476" s="215"/>
      <c r="S476" s="215"/>
      <c r="T476" s="215"/>
      <c r="U476" s="215"/>
      <c r="V476" s="215"/>
      <c r="W476" s="80"/>
      <c r="X476" s="80"/>
      <c r="Y476" s="80"/>
      <c r="Z476" s="80"/>
      <c r="AA476" s="80"/>
      <c r="AB476" s="80"/>
      <c r="AC476" s="80"/>
      <c r="AD476" s="80"/>
      <c r="AE476" s="80"/>
      <c r="AF476" s="80"/>
    </row>
    <row r="477" spans="1:32">
      <c r="O477" s="215"/>
      <c r="P477" s="215"/>
      <c r="Q477" s="215"/>
      <c r="R477" s="215"/>
      <c r="S477" s="215"/>
      <c r="T477" s="215"/>
      <c r="U477" s="215"/>
      <c r="V477" s="215"/>
      <c r="W477" s="80"/>
      <c r="X477" s="80"/>
      <c r="Y477" s="80"/>
      <c r="Z477" s="80"/>
      <c r="AA477" s="80"/>
      <c r="AB477" s="80"/>
      <c r="AC477" s="80"/>
      <c r="AD477" s="80"/>
      <c r="AE477" s="80"/>
      <c r="AF477" s="80"/>
    </row>
    <row r="478" spans="1:32">
      <c r="A478" s="995" t="s">
        <v>177</v>
      </c>
      <c r="B478" s="995"/>
      <c r="C478" s="995"/>
      <c r="D478" s="995"/>
      <c r="E478" s="992" t="s">
        <v>178</v>
      </c>
      <c r="F478" s="992"/>
      <c r="G478" s="992"/>
      <c r="H478" s="992"/>
      <c r="I478" s="992"/>
      <c r="J478" s="992"/>
      <c r="K478" s="992"/>
      <c r="L478" s="992"/>
      <c r="M478" s="992"/>
      <c r="N478" s="992"/>
      <c r="O478" s="215"/>
      <c r="P478" s="215"/>
      <c r="Q478" s="215"/>
      <c r="R478" s="215"/>
      <c r="S478" s="215"/>
      <c r="T478" s="215"/>
      <c r="U478" s="215"/>
      <c r="V478" s="215"/>
      <c r="W478" s="80"/>
      <c r="X478" s="80"/>
      <c r="Y478" s="80"/>
      <c r="Z478" s="80"/>
      <c r="AA478" s="80"/>
      <c r="AB478" s="80"/>
      <c r="AC478" s="80"/>
      <c r="AD478" s="80"/>
      <c r="AE478" s="80"/>
      <c r="AF478" s="80"/>
    </row>
    <row r="479" spans="1:32">
      <c r="E479" s="992"/>
      <c r="F479" s="992"/>
      <c r="G479" s="992"/>
      <c r="H479" s="992"/>
      <c r="I479" s="992"/>
      <c r="J479" s="992"/>
      <c r="K479" s="992"/>
      <c r="L479" s="992"/>
      <c r="M479" s="992"/>
      <c r="N479" s="992"/>
      <c r="O479" s="215"/>
      <c r="P479" s="215"/>
      <c r="Q479" s="215"/>
      <c r="R479" s="215"/>
      <c r="S479" s="215"/>
      <c r="T479" s="215"/>
      <c r="U479" s="215"/>
      <c r="V479" s="215"/>
      <c r="W479" s="80"/>
      <c r="X479" s="80"/>
      <c r="Y479" s="80"/>
      <c r="Z479" s="80"/>
      <c r="AA479" s="80"/>
      <c r="AB479" s="80"/>
      <c r="AC479" s="80"/>
      <c r="AD479" s="80"/>
      <c r="AE479" s="80"/>
      <c r="AF479" s="80"/>
    </row>
    <row r="480" spans="1:32">
      <c r="O480" s="215"/>
      <c r="P480" s="215"/>
      <c r="Q480" s="215"/>
      <c r="R480" s="215"/>
      <c r="S480" s="215"/>
      <c r="T480" s="215"/>
      <c r="U480" s="215"/>
      <c r="V480" s="215"/>
      <c r="W480" s="80"/>
      <c r="X480" s="80"/>
      <c r="Y480" s="80"/>
      <c r="Z480" s="80"/>
      <c r="AA480" s="80"/>
      <c r="AB480" s="80"/>
      <c r="AC480" s="80"/>
      <c r="AD480" s="80"/>
      <c r="AE480" s="80"/>
      <c r="AF480" s="80"/>
    </row>
    <row r="481" spans="1:32">
      <c r="A481" s="981" t="s">
        <v>179</v>
      </c>
      <c r="B481" s="981"/>
      <c r="C481" s="981"/>
      <c r="D481" s="981"/>
      <c r="E481" s="998" t="s">
        <v>180</v>
      </c>
      <c r="F481" s="998"/>
      <c r="G481" s="998"/>
      <c r="H481" s="998"/>
      <c r="I481" s="998"/>
      <c r="J481" s="998"/>
      <c r="K481" s="998"/>
      <c r="L481" s="998"/>
      <c r="M481" s="998"/>
      <c r="N481" s="998"/>
      <c r="O481" s="215"/>
      <c r="P481" s="215"/>
      <c r="Q481" s="215"/>
      <c r="R481" s="215"/>
      <c r="S481" s="215"/>
      <c r="T481" s="215"/>
      <c r="U481" s="215"/>
      <c r="V481" s="215"/>
      <c r="W481" s="80"/>
      <c r="X481" s="80"/>
      <c r="Y481" s="80"/>
      <c r="Z481" s="80"/>
      <c r="AA481" s="80"/>
      <c r="AB481" s="80"/>
      <c r="AC481" s="80"/>
      <c r="AD481" s="80"/>
      <c r="AE481" s="80"/>
      <c r="AF481" s="80"/>
    </row>
    <row r="482" spans="1:32">
      <c r="E482" s="998"/>
      <c r="F482" s="998"/>
      <c r="G482" s="998"/>
      <c r="H482" s="998"/>
      <c r="I482" s="998"/>
      <c r="J482" s="998"/>
      <c r="K482" s="998"/>
      <c r="L482" s="998"/>
      <c r="M482" s="998"/>
      <c r="N482" s="998"/>
      <c r="O482" s="215"/>
      <c r="P482" s="215"/>
      <c r="Q482" s="215"/>
      <c r="R482" s="215"/>
      <c r="S482" s="215"/>
      <c r="T482" s="215"/>
      <c r="U482" s="215"/>
      <c r="V482" s="215"/>
      <c r="W482" s="80"/>
      <c r="X482" s="80"/>
      <c r="Y482" s="80"/>
      <c r="Z482" s="80"/>
      <c r="AA482" s="80"/>
      <c r="AB482" s="80"/>
      <c r="AC482" s="80"/>
      <c r="AD482" s="80"/>
      <c r="AE482" s="80"/>
      <c r="AF482" s="80"/>
    </row>
    <row r="483" spans="1:32">
      <c r="O483" s="215"/>
      <c r="P483" s="215"/>
      <c r="Q483" s="215"/>
      <c r="R483" s="215"/>
      <c r="S483" s="215"/>
      <c r="T483" s="215"/>
      <c r="U483" s="215"/>
      <c r="V483" s="215"/>
      <c r="W483" s="80"/>
      <c r="X483" s="80"/>
      <c r="Y483" s="80"/>
      <c r="Z483" s="80"/>
      <c r="AA483" s="80"/>
      <c r="AB483" s="80"/>
      <c r="AC483" s="80"/>
      <c r="AD483" s="80"/>
      <c r="AE483" s="80"/>
      <c r="AF483" s="80"/>
    </row>
    <row r="484" spans="1:32">
      <c r="A484" s="981" t="s">
        <v>181</v>
      </c>
      <c r="B484" s="981"/>
      <c r="C484" s="981"/>
      <c r="D484" s="981"/>
      <c r="E484" s="992" t="s">
        <v>182</v>
      </c>
      <c r="F484" s="992"/>
      <c r="G484" s="992"/>
      <c r="H484" s="992"/>
      <c r="I484" s="992"/>
      <c r="J484" s="992"/>
      <c r="K484" s="992"/>
      <c r="L484" s="992"/>
      <c r="M484" s="992"/>
      <c r="N484" s="992"/>
      <c r="O484" s="215"/>
      <c r="P484" s="215"/>
      <c r="Q484" s="215"/>
      <c r="R484" s="215"/>
      <c r="S484" s="215"/>
      <c r="T484" s="215"/>
      <c r="U484" s="215"/>
      <c r="V484" s="215"/>
      <c r="W484" s="80"/>
      <c r="X484" s="80"/>
      <c r="Y484" s="80"/>
      <c r="Z484" s="80"/>
      <c r="AA484" s="80"/>
      <c r="AB484" s="80"/>
      <c r="AC484" s="80"/>
      <c r="AD484" s="80"/>
      <c r="AE484" s="80"/>
      <c r="AF484" s="80"/>
    </row>
    <row r="485" spans="1:32">
      <c r="E485" s="992"/>
      <c r="F485" s="992"/>
      <c r="G485" s="992"/>
      <c r="H485" s="992"/>
      <c r="I485" s="992"/>
      <c r="J485" s="992"/>
      <c r="K485" s="992"/>
      <c r="L485" s="992"/>
      <c r="M485" s="992"/>
      <c r="N485" s="992"/>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4" t="s">
        <v>20</v>
      </c>
      <c r="B487" s="994"/>
      <c r="C487" s="994"/>
      <c r="D487" s="994"/>
      <c r="O487" s="215"/>
      <c r="P487" s="215"/>
      <c r="Q487" s="215"/>
      <c r="R487" s="215"/>
      <c r="S487" s="215"/>
      <c r="T487" s="215"/>
      <c r="U487" s="215"/>
      <c r="V487" s="215"/>
      <c r="W487" s="80"/>
      <c r="X487" s="80"/>
      <c r="Y487" s="80"/>
      <c r="Z487" s="80"/>
      <c r="AA487" s="80"/>
      <c r="AB487" s="80"/>
      <c r="AC487" s="80"/>
      <c r="AD487" s="80"/>
      <c r="AE487" s="80"/>
      <c r="AF487" s="80"/>
    </row>
    <row r="488" spans="1:32">
      <c r="O488" s="215"/>
      <c r="P488" s="215"/>
      <c r="Q488" s="215"/>
      <c r="R488" s="215"/>
      <c r="S488" s="215"/>
      <c r="T488" s="215"/>
      <c r="U488" s="215"/>
      <c r="V488" s="215"/>
      <c r="W488" s="80"/>
      <c r="X488" s="80"/>
      <c r="Y488" s="80"/>
      <c r="Z488" s="80"/>
      <c r="AA488" s="80"/>
      <c r="AB488" s="80"/>
      <c r="AC488" s="80"/>
      <c r="AD488" s="80"/>
      <c r="AE488" s="80"/>
      <c r="AF488" s="80"/>
    </row>
    <row r="489" spans="1:32">
      <c r="A489" s="995" t="s">
        <v>183</v>
      </c>
      <c r="B489" s="995"/>
      <c r="C489" s="995"/>
      <c r="D489" s="995"/>
      <c r="E489" s="985" t="s">
        <v>184</v>
      </c>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E493" s="985"/>
      <c r="F493" s="985"/>
      <c r="G493" s="985"/>
      <c r="H493" s="985"/>
      <c r="I493" s="985"/>
      <c r="J493" s="985"/>
      <c r="K493" s="985"/>
      <c r="L493" s="985"/>
      <c r="M493" s="985"/>
      <c r="N493" s="985"/>
      <c r="O493" s="215"/>
      <c r="P493" s="215"/>
      <c r="Q493" s="215"/>
      <c r="R493" s="215"/>
      <c r="S493" s="215"/>
      <c r="T493" s="215"/>
      <c r="U493" s="215"/>
      <c r="V493" s="215"/>
      <c r="W493" s="80"/>
      <c r="X493" s="80"/>
      <c r="Y493" s="80"/>
      <c r="Z493" s="80"/>
      <c r="AA493" s="80"/>
      <c r="AB493" s="80"/>
      <c r="AC493" s="80"/>
      <c r="AD493" s="80"/>
      <c r="AE493" s="80"/>
      <c r="AF493" s="80"/>
    </row>
    <row r="494" spans="1:32">
      <c r="E494" s="985"/>
      <c r="F494" s="985"/>
      <c r="G494" s="985"/>
      <c r="H494" s="985"/>
      <c r="I494" s="985"/>
      <c r="J494" s="985"/>
      <c r="K494" s="985"/>
      <c r="L494" s="985"/>
      <c r="M494" s="985"/>
      <c r="N494" s="985"/>
      <c r="O494" s="215"/>
      <c r="P494" s="215"/>
      <c r="Q494" s="215"/>
      <c r="R494" s="215"/>
      <c r="S494" s="215"/>
      <c r="T494" s="215"/>
      <c r="U494" s="215"/>
      <c r="V494" s="215"/>
      <c r="W494" s="80"/>
      <c r="X494" s="80"/>
      <c r="Y494" s="80"/>
      <c r="Z494" s="80"/>
      <c r="AA494" s="80"/>
      <c r="AB494" s="80"/>
      <c r="AC494" s="80"/>
      <c r="AD494" s="80"/>
      <c r="AE494" s="80"/>
      <c r="AF494" s="80"/>
    </row>
    <row r="495" spans="1:32">
      <c r="O495" s="215"/>
      <c r="P495" s="215"/>
      <c r="Q495" s="215"/>
      <c r="R495" s="215"/>
      <c r="S495" s="215"/>
      <c r="T495" s="215"/>
      <c r="U495" s="215"/>
      <c r="V495" s="215"/>
      <c r="W495" s="80"/>
      <c r="X495" s="80"/>
      <c r="Y495" s="80"/>
      <c r="Z495" s="80"/>
      <c r="AA495" s="80"/>
      <c r="AB495" s="80"/>
      <c r="AC495" s="80"/>
      <c r="AD495" s="80"/>
      <c r="AE495" s="80"/>
      <c r="AF495" s="80"/>
    </row>
    <row r="496" spans="1:32">
      <c r="O496" s="215"/>
      <c r="P496" s="215"/>
      <c r="Q496" s="215"/>
      <c r="R496" s="215"/>
      <c r="S496" s="215"/>
      <c r="T496" s="215"/>
      <c r="U496" s="215"/>
      <c r="V496" s="215"/>
      <c r="W496" s="80"/>
      <c r="X496" s="80"/>
      <c r="Y496" s="80"/>
      <c r="Z496" s="80"/>
      <c r="AA496" s="80"/>
      <c r="AB496" s="80"/>
      <c r="AC496" s="80"/>
      <c r="AD496" s="80"/>
      <c r="AE496" s="80"/>
      <c r="AF496" s="80"/>
    </row>
    <row r="497" spans="1:32">
      <c r="A497" s="995" t="s">
        <v>185</v>
      </c>
      <c r="B497" s="995"/>
      <c r="C497" s="995"/>
      <c r="D497" s="995"/>
      <c r="E497" s="992" t="s">
        <v>186</v>
      </c>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c r="E503" s="992"/>
      <c r="F503" s="992"/>
      <c r="G503" s="992"/>
      <c r="H503" s="992"/>
      <c r="I503" s="992"/>
      <c r="J503" s="992"/>
      <c r="K503" s="992"/>
      <c r="L503" s="992"/>
      <c r="M503" s="992"/>
      <c r="N503" s="992"/>
      <c r="O503" s="215"/>
      <c r="P503" s="215"/>
      <c r="Q503" s="215"/>
      <c r="R503" s="215"/>
      <c r="S503" s="215"/>
      <c r="T503" s="215"/>
      <c r="U503" s="215"/>
      <c r="V503" s="215"/>
      <c r="W503" s="80"/>
      <c r="X503" s="80"/>
      <c r="Y503" s="80"/>
      <c r="Z503" s="80"/>
      <c r="AA503" s="80"/>
      <c r="AB503" s="80"/>
      <c r="AC503" s="80"/>
      <c r="AD503" s="80"/>
      <c r="AE503" s="80"/>
      <c r="AF503" s="80"/>
    </row>
    <row r="504" spans="1:32">
      <c r="E504" s="992"/>
      <c r="F504" s="992"/>
      <c r="G504" s="992"/>
      <c r="H504" s="992"/>
      <c r="I504" s="992"/>
      <c r="J504" s="992"/>
      <c r="K504" s="992"/>
      <c r="L504" s="992"/>
      <c r="M504" s="992"/>
      <c r="N504" s="992"/>
      <c r="O504" s="215"/>
      <c r="P504" s="215"/>
      <c r="Q504" s="215"/>
      <c r="R504" s="215"/>
      <c r="S504" s="215"/>
      <c r="T504" s="215"/>
      <c r="U504" s="215"/>
      <c r="V504" s="215"/>
      <c r="W504" s="80"/>
      <c r="X504" s="80"/>
      <c r="Y504" s="80"/>
      <c r="Z504" s="80"/>
      <c r="AA504" s="80"/>
      <c r="AB504" s="80"/>
      <c r="AC504" s="80"/>
      <c r="AD504" s="80"/>
      <c r="AE504" s="80"/>
      <c r="AF504" s="80"/>
    </row>
    <row r="505" spans="1:32" ht="15.75" thickBot="1">
      <c r="O505" s="215"/>
      <c r="P505" s="215"/>
      <c r="Q505" s="215"/>
      <c r="R505" s="215"/>
      <c r="S505" s="215"/>
      <c r="T505" s="215"/>
      <c r="U505" s="215"/>
      <c r="V505" s="215"/>
      <c r="W505" s="80"/>
      <c r="X505" s="80"/>
      <c r="Y505" s="80"/>
      <c r="Z505" s="80"/>
      <c r="AA505" s="80"/>
      <c r="AB505" s="80"/>
      <c r="AC505" s="80"/>
      <c r="AD505" s="80"/>
      <c r="AE505" s="80"/>
      <c r="AF505" s="80"/>
    </row>
    <row r="506" spans="1:32" ht="15.75" thickBot="1">
      <c r="A506" s="986" t="s">
        <v>187</v>
      </c>
      <c r="B506" s="986"/>
      <c r="C506" s="986"/>
      <c r="D506" s="986"/>
      <c r="E506" s="990" t="s">
        <v>188</v>
      </c>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ht="15.75" thickBot="1">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ht="15.75" thickBot="1">
      <c r="E508" s="990"/>
      <c r="F508" s="990"/>
      <c r="G508" s="990"/>
      <c r="H508" s="990"/>
      <c r="I508" s="990"/>
      <c r="J508" s="990"/>
      <c r="K508" s="990"/>
      <c r="L508" s="990"/>
      <c r="M508" s="990"/>
      <c r="N508" s="990"/>
      <c r="O508" s="215"/>
      <c r="P508" s="215"/>
      <c r="Q508" s="215"/>
      <c r="R508" s="215"/>
      <c r="S508" s="215"/>
      <c r="T508" s="215"/>
      <c r="U508" s="215"/>
      <c r="V508" s="215"/>
      <c r="W508" s="80"/>
      <c r="X508" s="80"/>
      <c r="Y508" s="80"/>
      <c r="Z508" s="80"/>
      <c r="AA508" s="80"/>
      <c r="AB508" s="80"/>
      <c r="AC508" s="80"/>
      <c r="AD508" s="80"/>
      <c r="AE508" s="80"/>
      <c r="AF508" s="80"/>
    </row>
    <row r="509" spans="1:32">
      <c r="E509" s="990"/>
      <c r="F509" s="990"/>
      <c r="G509" s="990"/>
      <c r="H509" s="990"/>
      <c r="I509" s="990"/>
      <c r="J509" s="990"/>
      <c r="K509" s="990"/>
      <c r="L509" s="990"/>
      <c r="M509" s="990"/>
      <c r="N509" s="990"/>
      <c r="O509" s="215"/>
      <c r="P509" s="215"/>
      <c r="Q509" s="215"/>
      <c r="R509" s="215"/>
      <c r="S509" s="215"/>
      <c r="T509" s="215"/>
      <c r="U509" s="215"/>
      <c r="V509" s="215"/>
      <c r="W509" s="80"/>
      <c r="X509" s="80"/>
      <c r="Y509" s="80"/>
      <c r="Z509" s="80"/>
      <c r="AA509" s="80"/>
      <c r="AB509" s="80"/>
      <c r="AC509" s="80"/>
      <c r="AD509" s="80"/>
      <c r="AE509" s="80"/>
      <c r="AF509" s="80"/>
    </row>
    <row r="510" spans="1:32">
      <c r="E510" s="32"/>
      <c r="F510" s="32"/>
      <c r="G510" s="32"/>
      <c r="H510" s="32"/>
      <c r="I510" s="32"/>
      <c r="J510" s="32"/>
      <c r="K510" s="32"/>
      <c r="L510" s="32"/>
      <c r="M510" s="32"/>
      <c r="N510" s="32"/>
      <c r="O510" s="215"/>
      <c r="P510" s="215"/>
      <c r="Q510" s="215"/>
      <c r="R510" s="215"/>
      <c r="S510" s="215"/>
      <c r="T510" s="215"/>
      <c r="U510" s="215"/>
      <c r="V510" s="215"/>
      <c r="W510" s="80"/>
      <c r="X510" s="80"/>
      <c r="Y510" s="80"/>
      <c r="Z510" s="80"/>
      <c r="AA510" s="80"/>
      <c r="AB510" s="80"/>
      <c r="AC510" s="80"/>
      <c r="AD510" s="80"/>
      <c r="AE510" s="80"/>
      <c r="AF510" s="80"/>
    </row>
    <row r="511" spans="1:32">
      <c r="A511" s="991" t="s">
        <v>189</v>
      </c>
      <c r="B511" s="991"/>
      <c r="C511" s="991"/>
      <c r="D511" s="991"/>
      <c r="E511" s="992" t="s">
        <v>190</v>
      </c>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A512" s="33"/>
      <c r="B512" s="33"/>
      <c r="C512" s="33"/>
      <c r="D512" s="33"/>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c r="E513" s="992"/>
      <c r="F513" s="992"/>
      <c r="G513" s="992"/>
      <c r="H513" s="992"/>
      <c r="I513" s="992"/>
      <c r="J513" s="992"/>
      <c r="K513" s="992"/>
      <c r="L513" s="992"/>
      <c r="M513" s="992"/>
      <c r="N513" s="992"/>
      <c r="O513" s="215"/>
      <c r="P513" s="215"/>
      <c r="Q513" s="215"/>
      <c r="R513" s="215"/>
      <c r="S513" s="215"/>
      <c r="T513" s="215"/>
      <c r="U513" s="215"/>
      <c r="V513" s="215"/>
      <c r="W513" s="80"/>
      <c r="X513" s="80"/>
      <c r="Y513" s="80"/>
      <c r="Z513" s="80"/>
      <c r="AA513" s="80"/>
      <c r="AB513" s="80"/>
      <c r="AC513" s="80"/>
      <c r="AD513" s="80"/>
      <c r="AE513" s="80"/>
      <c r="AF513" s="80"/>
    </row>
    <row r="514" spans="1:32">
      <c r="E514" s="992"/>
      <c r="F514" s="992"/>
      <c r="G514" s="992"/>
      <c r="H514" s="992"/>
      <c r="I514" s="992"/>
      <c r="J514" s="992"/>
      <c r="K514" s="992"/>
      <c r="L514" s="992"/>
      <c r="M514" s="992"/>
      <c r="N514" s="992"/>
      <c r="O514" s="215"/>
      <c r="P514" s="215"/>
      <c r="Q514" s="215"/>
      <c r="R514" s="215"/>
      <c r="S514" s="215"/>
      <c r="T514" s="215"/>
      <c r="U514" s="215"/>
      <c r="V514" s="215"/>
      <c r="W514" s="80"/>
      <c r="X514" s="80"/>
      <c r="Y514" s="80"/>
      <c r="Z514" s="80"/>
      <c r="AA514" s="80"/>
      <c r="AB514" s="80"/>
      <c r="AC514" s="80"/>
      <c r="AD514" s="80"/>
      <c r="AE514" s="80"/>
      <c r="AF514" s="80"/>
    </row>
    <row r="515" spans="1:32" ht="15.75" thickBot="1">
      <c r="O515" s="215"/>
      <c r="P515" s="215"/>
      <c r="Q515" s="215"/>
      <c r="R515" s="215"/>
      <c r="S515" s="215"/>
      <c r="T515" s="215"/>
      <c r="U515" s="215"/>
      <c r="V515" s="215"/>
      <c r="W515" s="80"/>
      <c r="X515" s="80"/>
      <c r="Y515" s="80"/>
      <c r="Z515" s="80"/>
      <c r="AA515" s="80"/>
      <c r="AB515" s="80"/>
      <c r="AC515" s="80"/>
      <c r="AD515" s="80"/>
      <c r="AE515" s="80"/>
      <c r="AF515" s="80"/>
    </row>
    <row r="516" spans="1:32" ht="15.75" thickBot="1">
      <c r="A516" s="986" t="s">
        <v>191</v>
      </c>
      <c r="B516" s="986"/>
      <c r="C516" s="986"/>
      <c r="D516" s="986"/>
      <c r="E516" s="993" t="s">
        <v>192</v>
      </c>
      <c r="F516" s="993"/>
      <c r="G516" s="993"/>
      <c r="H516" s="993"/>
      <c r="I516" s="993"/>
      <c r="J516" s="993"/>
      <c r="K516" s="993"/>
      <c r="L516" s="993"/>
      <c r="M516" s="993"/>
      <c r="N516" s="993"/>
      <c r="O516" s="215"/>
      <c r="P516" s="215"/>
      <c r="Q516" s="215"/>
      <c r="R516" s="215"/>
      <c r="S516" s="215"/>
      <c r="T516" s="215"/>
      <c r="U516" s="215"/>
      <c r="V516" s="215"/>
      <c r="W516" s="80"/>
      <c r="X516" s="80"/>
      <c r="Y516" s="80"/>
      <c r="Z516" s="80"/>
      <c r="AA516" s="80"/>
      <c r="AB516" s="80"/>
      <c r="AC516" s="80"/>
      <c r="AD516" s="80"/>
      <c r="AE516" s="80"/>
      <c r="AF516" s="80"/>
    </row>
    <row r="517" spans="1:32">
      <c r="O517" s="215"/>
      <c r="P517" s="215"/>
      <c r="Q517" s="215"/>
      <c r="R517" s="215"/>
      <c r="S517" s="215"/>
      <c r="T517" s="215"/>
      <c r="U517" s="215"/>
      <c r="V517" s="215"/>
      <c r="W517" s="80"/>
      <c r="X517" s="80"/>
      <c r="Y517" s="80"/>
      <c r="Z517" s="80"/>
      <c r="AA517" s="80"/>
      <c r="AB517" s="80"/>
      <c r="AC517" s="80"/>
      <c r="AD517" s="80"/>
      <c r="AE517" s="80"/>
      <c r="AF517" s="80"/>
    </row>
    <row r="518" spans="1:32">
      <c r="A518" s="981" t="s">
        <v>193</v>
      </c>
      <c r="B518" s="981"/>
      <c r="C518" s="981"/>
      <c r="D518" s="981"/>
      <c r="E518" s="985" t="s">
        <v>194</v>
      </c>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c r="C525" s="4"/>
      <c r="E525" s="985"/>
      <c r="F525" s="985"/>
      <c r="G525" s="985"/>
      <c r="H525" s="985"/>
      <c r="I525" s="985"/>
      <c r="J525" s="985"/>
      <c r="K525" s="985"/>
      <c r="L525" s="985"/>
      <c r="M525" s="985"/>
      <c r="N525" s="985"/>
      <c r="O525" s="215"/>
      <c r="P525" s="215"/>
      <c r="Q525" s="215"/>
      <c r="R525" s="215"/>
      <c r="S525" s="215"/>
      <c r="T525" s="215"/>
      <c r="U525" s="215"/>
      <c r="V525" s="215"/>
      <c r="W525" s="80"/>
      <c r="X525" s="80"/>
      <c r="Y525" s="80"/>
      <c r="Z525" s="80"/>
      <c r="AA525" s="80"/>
      <c r="AB525" s="80"/>
      <c r="AC525" s="80"/>
      <c r="AD525" s="80"/>
      <c r="AE525" s="80"/>
      <c r="AF525" s="80"/>
    </row>
    <row r="526" spans="1:32">
      <c r="E526" s="985"/>
      <c r="F526" s="985"/>
      <c r="G526" s="985"/>
      <c r="H526" s="985"/>
      <c r="I526" s="985"/>
      <c r="J526" s="985"/>
      <c r="K526" s="985"/>
      <c r="L526" s="985"/>
      <c r="M526" s="985"/>
      <c r="N526" s="985"/>
      <c r="O526" s="215"/>
      <c r="P526" s="215"/>
      <c r="Q526" s="215"/>
      <c r="R526" s="215"/>
      <c r="S526" s="215"/>
      <c r="T526" s="215"/>
      <c r="U526" s="215"/>
      <c r="V526" s="215"/>
      <c r="W526" s="80"/>
      <c r="X526" s="80"/>
      <c r="Y526" s="80"/>
      <c r="Z526" s="80"/>
      <c r="AA526" s="80"/>
      <c r="AB526" s="80"/>
      <c r="AC526" s="80"/>
      <c r="AD526" s="80"/>
      <c r="AE526" s="80"/>
      <c r="AF526" s="80"/>
    </row>
    <row r="527" spans="1:32" ht="15.75" thickBot="1">
      <c r="E527" s="32"/>
      <c r="F527" s="32"/>
      <c r="G527" s="32"/>
      <c r="H527" s="32"/>
      <c r="I527" s="32"/>
      <c r="J527" s="32"/>
      <c r="K527" s="32"/>
      <c r="L527" s="32"/>
      <c r="M527" s="32"/>
      <c r="N527" s="32"/>
      <c r="O527" s="215"/>
      <c r="P527" s="215"/>
      <c r="Q527" s="215"/>
      <c r="R527" s="215"/>
      <c r="S527" s="215"/>
      <c r="T527" s="215"/>
      <c r="U527" s="215"/>
      <c r="V527" s="215"/>
      <c r="W527" s="80"/>
      <c r="X527" s="80"/>
      <c r="Y527" s="80"/>
      <c r="Z527" s="80"/>
      <c r="AA527" s="80"/>
      <c r="AB527" s="80"/>
      <c r="AC527" s="80"/>
      <c r="AD527" s="80"/>
      <c r="AE527" s="80"/>
      <c r="AF527" s="80"/>
    </row>
    <row r="528" spans="1:32" ht="15.75" thickBot="1">
      <c r="A528" s="986" t="s">
        <v>195</v>
      </c>
      <c r="B528" s="986"/>
      <c r="C528" s="986"/>
      <c r="D528" s="986"/>
      <c r="E528" s="987" t="s">
        <v>196</v>
      </c>
      <c r="F528" s="987"/>
      <c r="G528" s="987"/>
      <c r="H528" s="987"/>
      <c r="I528" s="987"/>
      <c r="J528" s="987"/>
      <c r="K528" s="987"/>
      <c r="L528" s="987"/>
      <c r="M528" s="987"/>
      <c r="N528" s="987"/>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c r="O530" s="215"/>
      <c r="P530" s="215"/>
      <c r="Q530" s="215"/>
      <c r="R530" s="215"/>
      <c r="S530" s="215"/>
      <c r="T530" s="215"/>
      <c r="U530" s="215"/>
      <c r="V530" s="215"/>
      <c r="W530" s="80"/>
      <c r="X530" s="80"/>
      <c r="Y530" s="80"/>
      <c r="Z530" s="80"/>
      <c r="AA530" s="80"/>
      <c r="AB530" s="80"/>
      <c r="AC530" s="80"/>
      <c r="AD530" s="80"/>
      <c r="AE530" s="80"/>
      <c r="AF530" s="80"/>
    </row>
    <row r="531" spans="1:32">
      <c r="O531" s="215"/>
      <c r="P531" s="215"/>
      <c r="Q531" s="215"/>
      <c r="R531" s="215"/>
      <c r="S531" s="215"/>
      <c r="T531" s="215"/>
      <c r="U531" s="215"/>
      <c r="V531" s="215"/>
      <c r="W531" s="80"/>
      <c r="X531" s="80"/>
      <c r="Y531" s="80"/>
      <c r="Z531" s="80"/>
      <c r="AA531" s="80"/>
      <c r="AB531" s="80"/>
      <c r="AC531" s="80"/>
      <c r="AD531" s="80"/>
      <c r="AE531" s="80"/>
      <c r="AF531" s="80"/>
    </row>
    <row r="532" spans="1:32" ht="15.75">
      <c r="A532" s="988" t="s">
        <v>29</v>
      </c>
      <c r="B532" s="988"/>
      <c r="O532" s="215"/>
      <c r="P532" s="215"/>
      <c r="Q532" s="215"/>
      <c r="R532" s="215"/>
      <c r="S532" s="215"/>
      <c r="T532" s="215"/>
      <c r="U532" s="215"/>
      <c r="V532" s="215"/>
      <c r="W532" s="80"/>
      <c r="X532" s="80"/>
      <c r="Y532" s="80"/>
      <c r="Z532" s="80"/>
      <c r="AA532" s="80"/>
      <c r="AB532" s="80"/>
      <c r="AC532" s="80"/>
      <c r="AD532" s="80"/>
      <c r="AE532" s="80"/>
      <c r="AF532" s="80"/>
    </row>
    <row r="533" spans="1:32" ht="15.75" thickBot="1">
      <c r="O533" s="215"/>
      <c r="P533" s="215"/>
      <c r="Q533" s="215"/>
      <c r="R533" s="215"/>
      <c r="S533" s="215"/>
      <c r="T533" s="215"/>
      <c r="U533" s="215"/>
      <c r="V533" s="215"/>
      <c r="W533" s="80"/>
      <c r="X533" s="80"/>
      <c r="Y533" s="80"/>
      <c r="Z533" s="80"/>
      <c r="AA533" s="80"/>
      <c r="AB533" s="80"/>
      <c r="AC533" s="80"/>
      <c r="AD533" s="80"/>
      <c r="AE533" s="80"/>
      <c r="AF533" s="80"/>
    </row>
    <row r="534" spans="1:32" ht="15.75" thickBot="1">
      <c r="A534" s="989" t="s">
        <v>197</v>
      </c>
      <c r="B534" s="989"/>
      <c r="C534" s="989"/>
      <c r="D534" s="989"/>
      <c r="E534" s="989"/>
      <c r="F534" s="34" t="s">
        <v>198</v>
      </c>
      <c r="G534" s="35"/>
      <c r="H534" s="35"/>
      <c r="I534" s="35"/>
      <c r="J534" s="35"/>
      <c r="K534" s="35"/>
      <c r="L534" s="35"/>
      <c r="M534" s="35"/>
      <c r="N534" s="35"/>
      <c r="O534" s="215"/>
      <c r="P534" s="215"/>
      <c r="Q534" s="215"/>
      <c r="R534" s="215"/>
      <c r="S534" s="215"/>
      <c r="T534" s="215"/>
      <c r="U534" s="215"/>
      <c r="V534" s="215"/>
      <c r="W534" s="80"/>
      <c r="X534" s="80"/>
      <c r="Y534" s="80"/>
      <c r="Z534" s="80"/>
      <c r="AA534" s="80"/>
      <c r="AB534" s="80"/>
      <c r="AC534" s="80"/>
      <c r="AD534" s="80"/>
      <c r="AE534" s="80"/>
      <c r="AF534" s="80"/>
    </row>
    <row r="535" spans="1:32">
      <c r="O535" s="215"/>
      <c r="P535" s="215"/>
      <c r="Q535" s="215"/>
      <c r="R535" s="215"/>
      <c r="S535" s="215"/>
      <c r="T535" s="215"/>
      <c r="U535" s="215"/>
      <c r="V535" s="215"/>
      <c r="W535" s="80"/>
      <c r="X535" s="80"/>
      <c r="Y535" s="80"/>
      <c r="Z535" s="80"/>
      <c r="AA535" s="80"/>
      <c r="AB535" s="80"/>
      <c r="AC535" s="80"/>
      <c r="AD535" s="80"/>
      <c r="AE535" s="80"/>
      <c r="AF535" s="80"/>
    </row>
    <row r="536" spans="1:32">
      <c r="A536" s="981" t="s">
        <v>199</v>
      </c>
      <c r="B536" s="981"/>
      <c r="C536" s="981"/>
      <c r="D536" s="981"/>
      <c r="E536" s="981"/>
      <c r="F536" s="982" t="s">
        <v>200</v>
      </c>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F537" s="982"/>
      <c r="G537" s="982"/>
      <c r="H537" s="982"/>
      <c r="I537" s="982"/>
      <c r="J537" s="982"/>
      <c r="K537" s="982"/>
      <c r="L537" s="982"/>
      <c r="M537" s="982"/>
      <c r="N537" s="982"/>
      <c r="O537" s="215"/>
      <c r="P537" s="215"/>
      <c r="Q537" s="215"/>
      <c r="R537" s="215"/>
      <c r="S537" s="215"/>
      <c r="T537" s="215"/>
      <c r="U537" s="215"/>
      <c r="V537" s="215"/>
      <c r="W537" s="80"/>
      <c r="X537" s="80"/>
      <c r="Y537" s="80"/>
      <c r="Z537" s="80"/>
      <c r="AA537" s="80"/>
      <c r="AB537" s="80"/>
      <c r="AC537" s="80"/>
      <c r="AD537" s="80"/>
      <c r="AE537" s="80"/>
      <c r="AF537" s="80"/>
    </row>
    <row r="538" spans="1:32">
      <c r="F538" s="982"/>
      <c r="G538" s="982"/>
      <c r="H538" s="982"/>
      <c r="I538" s="982"/>
      <c r="J538" s="982"/>
      <c r="K538" s="982"/>
      <c r="L538" s="982"/>
      <c r="M538" s="982"/>
      <c r="N538" s="982"/>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A540" s="983" t="s">
        <v>31</v>
      </c>
      <c r="B540" s="983"/>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O542" s="215"/>
      <c r="P542" s="215"/>
      <c r="Q542" s="215"/>
      <c r="R542" s="215"/>
      <c r="S542" s="215"/>
      <c r="T542" s="215"/>
      <c r="U542" s="215"/>
      <c r="V542" s="215"/>
      <c r="W542" s="80"/>
      <c r="X542" s="80"/>
      <c r="Y542" s="80"/>
      <c r="Z542" s="80"/>
      <c r="AA542" s="80"/>
      <c r="AB542" s="80"/>
      <c r="AC542" s="80"/>
      <c r="AD542" s="80"/>
      <c r="AE542" s="80"/>
      <c r="AF542" s="80"/>
    </row>
    <row r="543" spans="1:32">
      <c r="O543" s="215"/>
      <c r="P543" s="215"/>
      <c r="Q543" s="215"/>
      <c r="R543" s="215"/>
      <c r="S543" s="215"/>
      <c r="T543" s="215"/>
      <c r="U543" s="215"/>
      <c r="V543" s="215"/>
      <c r="W543" s="80"/>
      <c r="X543" s="80"/>
      <c r="Y543" s="80"/>
      <c r="Z543" s="80"/>
      <c r="AA543" s="80"/>
      <c r="AB543" s="80"/>
      <c r="AC543" s="80"/>
      <c r="AD543" s="80"/>
      <c r="AE543" s="80"/>
      <c r="AF543" s="80"/>
    </row>
    <row r="544" spans="1:32">
      <c r="A544" s="984" t="s">
        <v>32</v>
      </c>
      <c r="B544" s="984"/>
      <c r="C544" s="984"/>
      <c r="D544" s="984"/>
      <c r="E544" s="984"/>
      <c r="O544" s="215"/>
      <c r="P544" s="215"/>
      <c r="Q544" s="215"/>
      <c r="R544" s="215"/>
      <c r="S544" s="215"/>
      <c r="T544" s="215"/>
      <c r="U544" s="215"/>
      <c r="V544" s="215"/>
      <c r="W544" s="80"/>
      <c r="X544" s="80"/>
      <c r="Y544" s="80"/>
      <c r="Z544" s="80"/>
      <c r="AA544" s="80"/>
      <c r="AB544" s="80"/>
      <c r="AC544" s="80"/>
      <c r="AD544" s="80"/>
      <c r="AE544" s="80"/>
      <c r="AF544" s="80"/>
    </row>
    <row r="545" spans="1:32">
      <c r="I545" s="4"/>
      <c r="O545" s="215"/>
      <c r="P545" s="215"/>
      <c r="Q545" s="215"/>
      <c r="R545" s="215"/>
      <c r="S545" s="215"/>
      <c r="T545" s="215"/>
      <c r="U545" s="215"/>
      <c r="V545" s="215"/>
      <c r="W545" s="80"/>
      <c r="X545" s="80"/>
      <c r="Y545" s="80"/>
      <c r="Z545" s="80"/>
      <c r="AA545" s="80"/>
      <c r="AB545" s="80"/>
      <c r="AC545" s="80"/>
      <c r="AD545" s="80"/>
      <c r="AE545" s="80"/>
      <c r="AF545" s="80"/>
    </row>
    <row r="546" spans="1:32">
      <c r="O546" s="215"/>
      <c r="P546" s="215"/>
      <c r="Q546" s="215"/>
      <c r="R546" s="215"/>
      <c r="S546" s="215"/>
      <c r="T546" s="215"/>
      <c r="U546" s="215"/>
      <c r="V546" s="215"/>
      <c r="W546" s="80"/>
      <c r="X546" s="80"/>
      <c r="Y546" s="80"/>
      <c r="Z546" s="80"/>
      <c r="AA546" s="80"/>
      <c r="AB546" s="80"/>
      <c r="AC546" s="80"/>
      <c r="AD546" s="80"/>
      <c r="AE546" s="80"/>
      <c r="AF546" s="80"/>
    </row>
    <row r="547" spans="1:32">
      <c r="A547" s="981" t="s">
        <v>201</v>
      </c>
      <c r="B547" s="981"/>
      <c r="C547" s="981"/>
      <c r="D547" s="981"/>
      <c r="E547" s="981"/>
      <c r="F547" s="985" t="s">
        <v>202</v>
      </c>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985"/>
      <c r="G553" s="985"/>
      <c r="H553" s="985"/>
      <c r="I553" s="985"/>
      <c r="J553" s="985"/>
      <c r="K553" s="985"/>
      <c r="L553" s="985"/>
      <c r="M553" s="985"/>
      <c r="N553" s="985"/>
      <c r="O553" s="215"/>
      <c r="P553" s="215"/>
      <c r="Q553" s="215"/>
      <c r="R553" s="215"/>
      <c r="S553" s="215"/>
      <c r="T553" s="215"/>
      <c r="U553" s="215"/>
      <c r="V553" s="215"/>
      <c r="W553" s="80"/>
      <c r="X553" s="80"/>
      <c r="Y553" s="80"/>
      <c r="Z553" s="80"/>
      <c r="AA553" s="80"/>
      <c r="AB553" s="80"/>
      <c r="AC553" s="80"/>
      <c r="AD553" s="80"/>
      <c r="AE553" s="80"/>
      <c r="AF553" s="80"/>
    </row>
    <row r="554" spans="1:32">
      <c r="F554" s="985"/>
      <c r="G554" s="985"/>
      <c r="H554" s="985"/>
      <c r="I554" s="985"/>
      <c r="J554" s="985"/>
      <c r="K554" s="985"/>
      <c r="L554" s="985"/>
      <c r="M554" s="985"/>
      <c r="N554" s="985"/>
      <c r="O554" s="215"/>
      <c r="P554" s="215"/>
      <c r="Q554" s="215"/>
      <c r="R554" s="215"/>
      <c r="S554" s="215"/>
      <c r="T554" s="215"/>
      <c r="U554" s="215"/>
      <c r="V554" s="215"/>
      <c r="W554" s="80"/>
      <c r="X554" s="80"/>
      <c r="Y554" s="80"/>
      <c r="Z554" s="80"/>
      <c r="AA554" s="80"/>
      <c r="AB554" s="80"/>
      <c r="AC554" s="80"/>
      <c r="AD554" s="80"/>
      <c r="AE554" s="80"/>
      <c r="AF554" s="80"/>
    </row>
    <row r="555" spans="1:32">
      <c r="F555" s="32"/>
      <c r="G555" s="32"/>
      <c r="H555" s="32"/>
      <c r="I555" s="32"/>
      <c r="J555" s="32"/>
      <c r="K555" s="32"/>
      <c r="L555" s="32"/>
      <c r="M555" s="32"/>
      <c r="N555" s="32"/>
      <c r="O555" s="215"/>
      <c r="P555" s="215"/>
      <c r="Q555" s="215"/>
      <c r="R555" s="215"/>
      <c r="S555" s="215"/>
      <c r="T555" s="215"/>
      <c r="U555" s="215"/>
      <c r="V555" s="215"/>
      <c r="W555" s="80"/>
      <c r="X555" s="80"/>
      <c r="Y555" s="80"/>
      <c r="Z555" s="80"/>
      <c r="AA555" s="80"/>
      <c r="AB555" s="80"/>
      <c r="AC555" s="80"/>
      <c r="AD555" s="80"/>
      <c r="AE555" s="80"/>
      <c r="AF555" s="80"/>
    </row>
    <row r="556" spans="1:32">
      <c r="A556" s="981" t="s">
        <v>203</v>
      </c>
      <c r="B556" s="981"/>
      <c r="C556" s="981"/>
      <c r="D556" s="981"/>
      <c r="E556" s="981"/>
      <c r="F556" s="982" t="s">
        <v>204</v>
      </c>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O558" s="215"/>
      <c r="P558" s="215"/>
      <c r="Q558" s="215"/>
      <c r="R558" s="215"/>
      <c r="S558" s="215"/>
      <c r="T558" s="215"/>
      <c r="U558" s="215"/>
      <c r="V558" s="215"/>
      <c r="W558" s="80"/>
      <c r="X558" s="80"/>
      <c r="Y558" s="80"/>
      <c r="Z558" s="80"/>
      <c r="AA558" s="80"/>
      <c r="AB558" s="80"/>
      <c r="AC558" s="80"/>
      <c r="AD558" s="80"/>
      <c r="AE558" s="80"/>
      <c r="AF558" s="80"/>
    </row>
    <row r="559" spans="1:32">
      <c r="F559" s="982"/>
      <c r="G559" s="982"/>
      <c r="H559" s="982"/>
      <c r="I559" s="982"/>
      <c r="J559" s="982"/>
      <c r="K559" s="982"/>
      <c r="L559" s="982"/>
      <c r="M559" s="982"/>
      <c r="N559" s="982"/>
      <c r="O559" s="215"/>
      <c r="P559" s="215"/>
      <c r="Q559" s="215"/>
      <c r="R559" s="215"/>
      <c r="S559" s="215"/>
      <c r="T559" s="215"/>
      <c r="U559" s="215"/>
      <c r="V559" s="215"/>
      <c r="W559" s="80"/>
      <c r="X559" s="80"/>
      <c r="Y559" s="80"/>
      <c r="Z559" s="80"/>
      <c r="AA559" s="80"/>
      <c r="AB559" s="80"/>
      <c r="AC559" s="80"/>
      <c r="AD559" s="80"/>
      <c r="AE559" s="80"/>
      <c r="AF559" s="80"/>
    </row>
    <row r="560" spans="1:32">
      <c r="F560" s="982"/>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1:32">
      <c r="Q561" s="80"/>
      <c r="R561" s="80"/>
      <c r="S561" s="80"/>
      <c r="T561" s="80"/>
      <c r="U561" s="80"/>
      <c r="V561" s="80"/>
      <c r="W561" s="80"/>
      <c r="X561" s="80"/>
      <c r="Y561" s="80"/>
      <c r="Z561" s="80"/>
      <c r="AA561" s="80"/>
      <c r="AB561" s="80"/>
      <c r="AC561" s="80"/>
      <c r="AD561" s="80"/>
      <c r="AE561" s="80"/>
      <c r="AF561" s="80"/>
    </row>
    <row r="562" spans="1:32">
      <c r="A562" s="981" t="s">
        <v>205</v>
      </c>
      <c r="B562" s="981"/>
      <c r="C562" s="981"/>
      <c r="D562" s="981"/>
      <c r="E562" s="981"/>
      <c r="F562" s="982" t="s">
        <v>206</v>
      </c>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1: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1: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1: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row r="566" spans="1:32">
      <c r="F566" s="982"/>
      <c r="G566" s="982"/>
      <c r="H566" s="982"/>
      <c r="I566" s="982"/>
      <c r="J566" s="982"/>
      <c r="K566" s="982"/>
      <c r="L566" s="982"/>
      <c r="M566" s="982"/>
      <c r="N566" s="982"/>
      <c r="Q566" s="80"/>
      <c r="R566" s="80"/>
      <c r="S566" s="80"/>
      <c r="T566" s="80"/>
      <c r="U566" s="80"/>
      <c r="V566" s="80"/>
      <c r="W566" s="80"/>
      <c r="X566" s="80"/>
      <c r="Y566" s="80"/>
      <c r="Z566" s="80"/>
      <c r="AA566" s="80"/>
      <c r="AB566" s="80"/>
      <c r="AC566" s="80"/>
      <c r="AD566" s="80"/>
      <c r="AE566" s="80"/>
      <c r="AF566" s="80"/>
    </row>
    <row r="567" spans="1:32">
      <c r="F567" s="982"/>
      <c r="G567" s="982"/>
      <c r="H567" s="982"/>
      <c r="I567" s="982"/>
      <c r="J567" s="982"/>
      <c r="K567" s="982"/>
      <c r="L567" s="982"/>
      <c r="M567" s="982"/>
      <c r="N567" s="982"/>
      <c r="Q567" s="80"/>
      <c r="R567" s="80"/>
      <c r="S567" s="80"/>
      <c r="T567" s="80"/>
      <c r="U567" s="80"/>
      <c r="V567" s="80"/>
      <c r="W567" s="80"/>
      <c r="X567" s="80"/>
      <c r="Y567" s="80"/>
      <c r="Z567" s="80"/>
      <c r="AA567" s="80"/>
      <c r="AB567" s="80"/>
      <c r="AC567" s="80"/>
      <c r="AD567" s="80"/>
      <c r="AE567" s="80"/>
      <c r="AF567" s="80"/>
    </row>
  </sheetData>
  <mergeCells count="272">
    <mergeCell ref="B4:I4"/>
    <mergeCell ref="K4:L4"/>
    <mergeCell ref="M4:N4"/>
    <mergeCell ref="B5:C5"/>
    <mergeCell ref="D6:E6"/>
    <mergeCell ref="G6:K6"/>
    <mergeCell ref="A14:C14"/>
    <mergeCell ref="H14:I14"/>
    <mergeCell ref="C18:D18"/>
    <mergeCell ref="A19:C19"/>
    <mergeCell ref="F19:M19"/>
    <mergeCell ref="E20:F20"/>
    <mergeCell ref="G20:L20"/>
    <mergeCell ref="D8:E8"/>
    <mergeCell ref="H8:I8"/>
    <mergeCell ref="H11:I11"/>
    <mergeCell ref="H12:I12"/>
    <mergeCell ref="A13:C13"/>
    <mergeCell ref="H13:I13"/>
    <mergeCell ref="A35:B35"/>
    <mergeCell ref="A36:B36"/>
    <mergeCell ref="H36:J36"/>
    <mergeCell ref="L36:M36"/>
    <mergeCell ref="A37:B37"/>
    <mergeCell ref="A38:B38"/>
    <mergeCell ref="E21:F21"/>
    <mergeCell ref="A23:L23"/>
    <mergeCell ref="A25:C25"/>
    <mergeCell ref="A26:C26"/>
    <mergeCell ref="A27:C27"/>
    <mergeCell ref="A28:C28"/>
    <mergeCell ref="A58:D58"/>
    <mergeCell ref="A59:C59"/>
    <mergeCell ref="A60:B60"/>
    <mergeCell ref="A62:B62"/>
    <mergeCell ref="A64:B64"/>
    <mergeCell ref="A65:C65"/>
    <mergeCell ref="A39:B39"/>
    <mergeCell ref="L39:M39"/>
    <mergeCell ref="A40:B40"/>
    <mergeCell ref="L40:M40"/>
    <mergeCell ref="A43:B43"/>
    <mergeCell ref="A44:E44"/>
    <mergeCell ref="F44:N46"/>
    <mergeCell ref="A75:C75"/>
    <mergeCell ref="A78:B78"/>
    <mergeCell ref="A80:C80"/>
    <mergeCell ref="A83:B83"/>
    <mergeCell ref="C84:F84"/>
    <mergeCell ref="A85:C85"/>
    <mergeCell ref="A66:C66"/>
    <mergeCell ref="A67:B67"/>
    <mergeCell ref="A69:B69"/>
    <mergeCell ref="A71:B71"/>
    <mergeCell ref="A73:B73"/>
    <mergeCell ref="A74:C74"/>
    <mergeCell ref="D108:E108"/>
    <mergeCell ref="A109:F109"/>
    <mergeCell ref="D121:E121"/>
    <mergeCell ref="D122:E122"/>
    <mergeCell ref="D123:E123"/>
    <mergeCell ref="A124:F124"/>
    <mergeCell ref="A88:B88"/>
    <mergeCell ref="A93:C93"/>
    <mergeCell ref="F93:J93"/>
    <mergeCell ref="A94:F94"/>
    <mergeCell ref="D106:E106"/>
    <mergeCell ref="D107:E107"/>
    <mergeCell ref="A160:D160"/>
    <mergeCell ref="A161:D161"/>
    <mergeCell ref="A162:D162"/>
    <mergeCell ref="A181:C181"/>
    <mergeCell ref="A183:N183"/>
    <mergeCell ref="A184:N184"/>
    <mergeCell ref="D136:E136"/>
    <mergeCell ref="D137:E137"/>
    <mergeCell ref="D138:E138"/>
    <mergeCell ref="A140:F140"/>
    <mergeCell ref="A158:D158"/>
    <mergeCell ref="A159:D159"/>
    <mergeCell ref="A189:B189"/>
    <mergeCell ref="C189:H189"/>
    <mergeCell ref="I189:K189"/>
    <mergeCell ref="A191:B191"/>
    <mergeCell ref="C191:D191"/>
    <mergeCell ref="E191:F191"/>
    <mergeCell ref="G191:H191"/>
    <mergeCell ref="I191:K191"/>
    <mergeCell ref="A185:N185"/>
    <mergeCell ref="B186:G186"/>
    <mergeCell ref="M186:N186"/>
    <mergeCell ref="B187:C187"/>
    <mergeCell ref="K187:L187"/>
    <mergeCell ref="A188:B188"/>
    <mergeCell ref="E188:F188"/>
    <mergeCell ref="I188:J188"/>
    <mergeCell ref="J195:K195"/>
    <mergeCell ref="A196:B196"/>
    <mergeCell ref="J196:K196"/>
    <mergeCell ref="A197:B197"/>
    <mergeCell ref="J197:K197"/>
    <mergeCell ref="A198:B198"/>
    <mergeCell ref="J198:K198"/>
    <mergeCell ref="L191:M191"/>
    <mergeCell ref="A192:B192"/>
    <mergeCell ref="J192:K192"/>
    <mergeCell ref="A193:B193"/>
    <mergeCell ref="J193:K193"/>
    <mergeCell ref="A194:B194"/>
    <mergeCell ref="J194:K194"/>
    <mergeCell ref="A210:B210"/>
    <mergeCell ref="A211:B211"/>
    <mergeCell ref="A212:B212"/>
    <mergeCell ref="A213:C213"/>
    <mergeCell ref="A214:B214"/>
    <mergeCell ref="E220:F220"/>
    <mergeCell ref="A199:B199"/>
    <mergeCell ref="J199:K199"/>
    <mergeCell ref="I201:J201"/>
    <mergeCell ref="A206:B206"/>
    <mergeCell ref="A207:B207"/>
    <mergeCell ref="A209:B209"/>
    <mergeCell ref="E227:F227"/>
    <mergeCell ref="E228:F228"/>
    <mergeCell ref="I228:K228"/>
    <mergeCell ref="E229:F229"/>
    <mergeCell ref="I229:K229"/>
    <mergeCell ref="E230:F230"/>
    <mergeCell ref="E221:F221"/>
    <mergeCell ref="E222:F222"/>
    <mergeCell ref="E223:F223"/>
    <mergeCell ref="E224:F224"/>
    <mergeCell ref="E225:F225"/>
    <mergeCell ref="E226:F226"/>
    <mergeCell ref="E238:F238"/>
    <mergeCell ref="E239:F239"/>
    <mergeCell ref="E240:F240"/>
    <mergeCell ref="E241:F241"/>
    <mergeCell ref="E242:F242"/>
    <mergeCell ref="J242:K242"/>
    <mergeCell ref="E231:F231"/>
    <mergeCell ref="E232:F232"/>
    <mergeCell ref="E233:F233"/>
    <mergeCell ref="E234:F234"/>
    <mergeCell ref="E235:G235"/>
    <mergeCell ref="E237:F237"/>
    <mergeCell ref="D262:F262"/>
    <mergeCell ref="A272:N272"/>
    <mergeCell ref="A277:N277"/>
    <mergeCell ref="A278:N278"/>
    <mergeCell ref="A279:N279"/>
    <mergeCell ref="B280:G280"/>
    <mergeCell ref="I280:J280"/>
    <mergeCell ref="M280:N280"/>
    <mergeCell ref="J243:K243"/>
    <mergeCell ref="I251:L251"/>
    <mergeCell ref="I252:L252"/>
    <mergeCell ref="I253:L253"/>
    <mergeCell ref="I254:L254"/>
    <mergeCell ref="I255:L255"/>
    <mergeCell ref="A287:B287"/>
    <mergeCell ref="A289:B289"/>
    <mergeCell ref="A290:B290"/>
    <mergeCell ref="H290:J290"/>
    <mergeCell ref="L290:M290"/>
    <mergeCell ref="A291:B291"/>
    <mergeCell ref="A281:F281"/>
    <mergeCell ref="D282:E282"/>
    <mergeCell ref="F282:G282"/>
    <mergeCell ref="I282:J282"/>
    <mergeCell ref="K282:M282"/>
    <mergeCell ref="E283:F283"/>
    <mergeCell ref="A305:D305"/>
    <mergeCell ref="K305:L305"/>
    <mergeCell ref="A306:D306"/>
    <mergeCell ref="K306:L306"/>
    <mergeCell ref="A307:D307"/>
    <mergeCell ref="K307:L307"/>
    <mergeCell ref="A292:B292"/>
    <mergeCell ref="A293:B293"/>
    <mergeCell ref="L293:M293"/>
    <mergeCell ref="A294:B294"/>
    <mergeCell ref="L294:M294"/>
    <mergeCell ref="A304:D304"/>
    <mergeCell ref="E304:F304"/>
    <mergeCell ref="H304:I304"/>
    <mergeCell ref="K304:M304"/>
    <mergeCell ref="A326:C326"/>
    <mergeCell ref="A327:C327"/>
    <mergeCell ref="A328:C328"/>
    <mergeCell ref="A329:C329"/>
    <mergeCell ref="A330:C330"/>
    <mergeCell ref="A331:C331"/>
    <mergeCell ref="A308:D308"/>
    <mergeCell ref="K308:L308"/>
    <mergeCell ref="A309:F309"/>
    <mergeCell ref="C310:D310"/>
    <mergeCell ref="F310:N310"/>
    <mergeCell ref="E325:F325"/>
    <mergeCell ref="A338:C338"/>
    <mergeCell ref="A339:C339"/>
    <mergeCell ref="A340:C340"/>
    <mergeCell ref="A342:D342"/>
    <mergeCell ref="E342:N342"/>
    <mergeCell ref="A347:N347"/>
    <mergeCell ref="A332:C332"/>
    <mergeCell ref="A333:C333"/>
    <mergeCell ref="A334:C334"/>
    <mergeCell ref="A335:C335"/>
    <mergeCell ref="A336:C336"/>
    <mergeCell ref="A337:C337"/>
    <mergeCell ref="A354:N354"/>
    <mergeCell ref="A355:N355"/>
    <mergeCell ref="A356:N356"/>
    <mergeCell ref="A358:E358"/>
    <mergeCell ref="F363:I363"/>
    <mergeCell ref="A366:B366"/>
    <mergeCell ref="A348:N348"/>
    <mergeCell ref="A349:N349"/>
    <mergeCell ref="A350:N350"/>
    <mergeCell ref="A351:N351"/>
    <mergeCell ref="A352:N352"/>
    <mergeCell ref="A353:N353"/>
    <mergeCell ref="A417:E417"/>
    <mergeCell ref="A447:E447"/>
    <mergeCell ref="F447:N452"/>
    <mergeCell ref="A471:D471"/>
    <mergeCell ref="E471:N471"/>
    <mergeCell ref="A473:D473"/>
    <mergeCell ref="E473:N474"/>
    <mergeCell ref="A368:E368"/>
    <mergeCell ref="A369:B369"/>
    <mergeCell ref="A371:N371"/>
    <mergeCell ref="A372:N372"/>
    <mergeCell ref="A373:N373"/>
    <mergeCell ref="B374:I374"/>
    <mergeCell ref="L374:N374"/>
    <mergeCell ref="A484:D484"/>
    <mergeCell ref="E484:N485"/>
    <mergeCell ref="A487:D487"/>
    <mergeCell ref="A489:D489"/>
    <mergeCell ref="E489:N494"/>
    <mergeCell ref="A497:D497"/>
    <mergeCell ref="E497:N504"/>
    <mergeCell ref="A476:D476"/>
    <mergeCell ref="E476:N476"/>
    <mergeCell ref="A478:D478"/>
    <mergeCell ref="E478:N479"/>
    <mergeCell ref="A481:D481"/>
    <mergeCell ref="E481:N482"/>
    <mergeCell ref="A518:D518"/>
    <mergeCell ref="E518:N526"/>
    <mergeCell ref="A528:D528"/>
    <mergeCell ref="E528:N528"/>
    <mergeCell ref="A532:B532"/>
    <mergeCell ref="A534:E534"/>
    <mergeCell ref="A506:D506"/>
    <mergeCell ref="E506:N509"/>
    <mergeCell ref="A511:D511"/>
    <mergeCell ref="E511:N514"/>
    <mergeCell ref="A516:D516"/>
    <mergeCell ref="E516:N516"/>
    <mergeCell ref="A556:E556"/>
    <mergeCell ref="F556:N560"/>
    <mergeCell ref="A562:E562"/>
    <mergeCell ref="F562:N567"/>
    <mergeCell ref="A536:E536"/>
    <mergeCell ref="F536:N538"/>
    <mergeCell ref="A540:B540"/>
    <mergeCell ref="A544:E544"/>
    <mergeCell ref="A547:E547"/>
    <mergeCell ref="F547:N554"/>
  </mergeCells>
  <dataValidations count="13">
    <dataValidation type="list" allowBlank="1" showInputMessage="1" showErrorMessage="1" sqref="C43">
      <formula1>$O$33:$O$36</formula1>
    </dataValidation>
    <dataValidation type="list" allowBlank="1" showInputMessage="1" showErrorMessage="1" sqref="C369:C370">
      <formula1>$O$363:$O$364</formula1>
    </dataValidation>
    <dataValidation type="list" allowBlank="1" showInputMessage="1" showErrorMessage="1" sqref="L294:M294 L40:M41">
      <formula1>$R$279:$R$280</formula1>
    </dataValidation>
    <dataValidation type="list" allowBlank="1" showInputMessage="1" showErrorMessage="1" sqref="C287 C28:C33 C343:C346">
      <formula1>$P$279:$P$280</formula1>
    </dataValidation>
    <dataValidation type="list" allowBlank="1" showInputMessage="1" showErrorMessage="1" sqref="G283">
      <formula1>$U$269:$U$279</formula1>
    </dataValidation>
    <dataValidation type="list" allowBlank="1" showInputMessage="1" showErrorMessage="1" sqref="D283 D26">
      <formula1>$T$269:$T$279</formula1>
    </dataValidation>
    <dataValidation type="list" allowBlank="1" showInputMessage="1" showErrorMessage="1" sqref="K282:M282 K25">
      <formula1>$R$269:$R$277</formula1>
    </dataValidation>
    <dataValidation type="list" allowBlank="1" showInputMessage="1" showErrorMessage="1" sqref="F282:G282 F25">
      <formula1>$P$269:$P$277</formula1>
    </dataValidation>
    <dataValidation type="list" showDropDown="1" showInputMessage="1" showErrorMessage="1" sqref="G26">
      <formula1>$U$269:$U$279</formula1>
    </dataValidation>
    <dataValidation type="list" allowBlank="1" showInputMessage="1" showErrorMessage="1" sqref="D15">
      <formula1>$O$6:$O$14</formula1>
    </dataValidation>
    <dataValidation type="list" allowBlank="1" showInputMessage="1" showErrorMessage="1" sqref="D16">
      <formula1>$O$6:$O$15</formula1>
    </dataValidation>
    <dataValidation type="list" allowBlank="1" showInputMessage="1" showErrorMessage="1" sqref="D17">
      <formula1>$O$6:$O$10</formula1>
    </dataValidation>
    <dataValidation type="list" allowBlank="1" showInputMessage="1" showErrorMessage="1" sqref="C18:D18">
      <formula1>$O$16:$O$19</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X567"/>
  <sheetViews>
    <sheetView showGridLines="0" showRowColHeaders="0" zoomScaleNormal="100" zoomScalePageLayoutView="60" workbookViewId="0">
      <selection activeCell="F417" sqref="F417"/>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G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t="s">
        <v>619</v>
      </c>
      <c r="C4" s="1252"/>
      <c r="D4" s="1252"/>
      <c r="E4" s="1252"/>
      <c r="F4" s="1252"/>
      <c r="G4" s="1252"/>
      <c r="H4" s="1252"/>
      <c r="I4" s="1252"/>
      <c r="J4" s="358"/>
      <c r="K4" s="1172" t="s">
        <v>291</v>
      </c>
      <c r="L4" s="1172"/>
      <c r="M4" s="1253"/>
      <c r="N4" s="1254"/>
      <c r="O4" s="80"/>
      <c r="P4" s="80"/>
      <c r="Q4" s="80"/>
      <c r="R4" s="80"/>
      <c r="S4" s="80"/>
      <c r="T4" s="80"/>
      <c r="U4" s="80"/>
    </row>
    <row r="5" spans="1:22">
      <c r="A5" s="380" t="s">
        <v>3</v>
      </c>
      <c r="B5" s="1255">
        <v>41501</v>
      </c>
      <c r="C5" s="1255"/>
      <c r="D5" s="825"/>
      <c r="E5" s="825"/>
      <c r="F5" s="825"/>
      <c r="G5" s="825"/>
      <c r="H5" s="825"/>
      <c r="I5" s="825"/>
      <c r="J5" s="79"/>
      <c r="K5" s="825"/>
      <c r="L5" s="825"/>
      <c r="M5" s="78"/>
      <c r="N5" s="359"/>
      <c r="O5" s="80"/>
      <c r="P5" s="80"/>
      <c r="Q5" s="80"/>
      <c r="R5" s="80"/>
      <c r="S5" s="80"/>
      <c r="T5" s="80"/>
      <c r="U5" s="80"/>
    </row>
    <row r="6" spans="1:22">
      <c r="A6" s="380" t="s">
        <v>234</v>
      </c>
      <c r="B6" s="825"/>
      <c r="C6" s="825"/>
      <c r="D6" s="1256">
        <v>38357</v>
      </c>
      <c r="E6" s="1255"/>
      <c r="F6" s="825"/>
      <c r="G6" s="1118" t="str">
        <f ca="1">DATEDIF(D6,TODAY(),"y")&amp;"_años_"&amp;DATEDIF(D6,TODAY(),"ym")&amp;"_meses_"&amp;DATEDIF(D6,TODAY(),"md")&amp;"_dias_"</f>
        <v>13_años_3_meses_13_dias_</v>
      </c>
      <c r="H6" s="1118"/>
      <c r="I6" s="1118"/>
      <c r="J6" s="1118"/>
      <c r="K6" s="1118"/>
      <c r="L6" s="825"/>
      <c r="M6" s="825"/>
      <c r="N6" s="360"/>
      <c r="O6" s="275">
        <v>1</v>
      </c>
      <c r="P6" s="215"/>
      <c r="Q6" s="215"/>
      <c r="R6" s="215"/>
      <c r="S6" s="215"/>
      <c r="T6" s="215"/>
      <c r="U6" s="215"/>
      <c r="V6" s="215"/>
    </row>
    <row r="7" spans="1:22">
      <c r="A7" s="380"/>
      <c r="B7" s="825"/>
      <c r="C7" s="825"/>
      <c r="D7" s="825"/>
      <c r="E7" s="825"/>
      <c r="F7" s="825"/>
      <c r="G7" s="825"/>
      <c r="H7" s="825"/>
      <c r="I7" s="825"/>
      <c r="J7" s="79"/>
      <c r="K7" s="825"/>
      <c r="L7" s="825"/>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826"/>
      <c r="M8" s="361"/>
      <c r="N8" s="360"/>
      <c r="O8" s="275">
        <v>3</v>
      </c>
      <c r="P8" s="215"/>
      <c r="Q8" s="215"/>
      <c r="R8" s="215"/>
      <c r="S8" s="215"/>
      <c r="T8" s="215"/>
      <c r="U8" s="215"/>
      <c r="V8" s="215"/>
    </row>
    <row r="9" spans="1:22">
      <c r="A9" s="380" t="s">
        <v>418</v>
      </c>
      <c r="B9" s="79"/>
      <c r="C9" s="79"/>
      <c r="D9" s="824" t="s">
        <v>5</v>
      </c>
      <c r="E9" s="824"/>
      <c r="F9" s="169"/>
      <c r="G9" s="79"/>
      <c r="H9" s="824"/>
      <c r="I9" s="824"/>
      <c r="J9" s="169"/>
      <c r="K9" s="171"/>
      <c r="L9" s="826"/>
      <c r="M9" s="361"/>
      <c r="N9" s="360"/>
      <c r="O9" s="275">
        <v>4</v>
      </c>
      <c r="P9" s="215"/>
      <c r="Q9" s="215"/>
      <c r="R9" s="215"/>
      <c r="S9" s="215"/>
      <c r="T9" s="215"/>
      <c r="U9" s="215"/>
      <c r="V9" s="215"/>
    </row>
    <row r="10" spans="1:22">
      <c r="A10" s="380" t="s">
        <v>412</v>
      </c>
      <c r="B10" s="79"/>
      <c r="C10" s="79"/>
      <c r="D10" s="824" t="s">
        <v>5</v>
      </c>
      <c r="E10" s="824"/>
      <c r="F10" s="169"/>
      <c r="G10" s="79"/>
      <c r="H10" s="824"/>
      <c r="I10" s="824"/>
      <c r="J10" s="169"/>
      <c r="K10" s="171"/>
      <c r="L10" s="826"/>
      <c r="M10" s="361"/>
      <c r="N10" s="360"/>
      <c r="O10" s="275">
        <v>5</v>
      </c>
      <c r="P10" s="215"/>
      <c r="Q10" s="215"/>
      <c r="R10" s="215"/>
      <c r="S10" s="215"/>
      <c r="T10" s="215"/>
      <c r="U10" s="215"/>
      <c r="V10" s="215"/>
    </row>
    <row r="11" spans="1:22" ht="15.75">
      <c r="A11" s="380" t="s">
        <v>417</v>
      </c>
      <c r="B11" s="79"/>
      <c r="C11" s="79"/>
      <c r="D11" s="139">
        <v>10</v>
      </c>
      <c r="E11" s="79" t="s">
        <v>5</v>
      </c>
      <c r="F11" s="169" t="s">
        <v>408</v>
      </c>
      <c r="G11" s="289">
        <v>4</v>
      </c>
      <c r="H11" s="1257" t="s">
        <v>407</v>
      </c>
      <c r="I11" s="1257"/>
      <c r="J11" s="783"/>
      <c r="K11" s="169"/>
      <c r="L11" s="824"/>
      <c r="M11" s="79"/>
      <c r="N11" s="360"/>
      <c r="O11" s="275">
        <v>6</v>
      </c>
      <c r="P11" s="215"/>
      <c r="Q11" s="215"/>
      <c r="R11" s="215"/>
      <c r="S11" s="215"/>
      <c r="T11" s="215"/>
      <c r="U11" s="215"/>
      <c r="V11" s="215"/>
    </row>
    <row r="12" spans="1:22" ht="15.75">
      <c r="A12" s="380" t="s">
        <v>6</v>
      </c>
      <c r="B12" s="79"/>
      <c r="C12" s="79"/>
      <c r="D12" s="139">
        <v>38</v>
      </c>
      <c r="E12" s="79" t="s">
        <v>7</v>
      </c>
      <c r="F12" s="79"/>
      <c r="G12" s="79"/>
      <c r="H12" s="1173"/>
      <c r="I12" s="1173"/>
      <c r="J12" s="824"/>
      <c r="K12" s="171"/>
      <c r="L12" s="826"/>
      <c r="M12" s="169"/>
      <c r="N12" s="488"/>
      <c r="O12" s="275">
        <v>7</v>
      </c>
      <c r="P12" s="215"/>
      <c r="Q12" s="215"/>
      <c r="R12" s="215"/>
      <c r="S12" s="215"/>
      <c r="T12" s="215"/>
      <c r="U12" s="215"/>
      <c r="V12" s="215"/>
    </row>
    <row r="13" spans="1:22" s="81" customFormat="1" ht="15.75">
      <c r="A13" s="1177" t="s">
        <v>11</v>
      </c>
      <c r="B13" s="1178"/>
      <c r="C13" s="1178"/>
      <c r="D13" s="139">
        <v>133</v>
      </c>
      <c r="E13" s="79" t="s">
        <v>17</v>
      </c>
      <c r="F13" s="79"/>
      <c r="G13" s="79"/>
      <c r="H13" s="1173"/>
      <c r="I13" s="1173"/>
      <c r="J13" s="824"/>
      <c r="K13" s="171"/>
      <c r="L13" s="826"/>
      <c r="M13" s="79"/>
      <c r="N13" s="360"/>
      <c r="O13" s="275">
        <v>8</v>
      </c>
      <c r="P13" s="215"/>
      <c r="Q13" s="215"/>
      <c r="R13" s="215"/>
      <c r="S13" s="215"/>
      <c r="T13" s="215"/>
      <c r="U13" s="215"/>
      <c r="V13" s="215"/>
    </row>
    <row r="14" spans="1:22" ht="15.75">
      <c r="A14" s="1177" t="s">
        <v>13</v>
      </c>
      <c r="B14" s="1178"/>
      <c r="C14" s="1178"/>
      <c r="D14" s="613">
        <f>D12/(D13*D13)*10000</f>
        <v>21.482277121374864</v>
      </c>
      <c r="E14" s="364" t="s">
        <v>14</v>
      </c>
      <c r="F14" s="79"/>
      <c r="G14" s="79"/>
      <c r="H14" s="1173"/>
      <c r="I14" s="1173"/>
      <c r="J14" s="824"/>
      <c r="K14" s="171"/>
      <c r="L14" s="826"/>
      <c r="M14" s="79"/>
      <c r="N14" s="360"/>
      <c r="O14" s="275">
        <v>9</v>
      </c>
      <c r="P14" s="215"/>
      <c r="Q14" s="215"/>
      <c r="R14" s="215"/>
      <c r="S14" s="215"/>
      <c r="T14" s="215"/>
      <c r="U14" s="215"/>
      <c r="V14" s="215"/>
    </row>
    <row r="15" spans="1:22" s="80" customFormat="1" ht="15.75">
      <c r="A15" s="481" t="s">
        <v>419</v>
      </c>
      <c r="B15" s="254"/>
      <c r="C15" s="254"/>
      <c r="D15" s="482">
        <v>2</v>
      </c>
      <c r="E15" s="364" t="s">
        <v>407</v>
      </c>
      <c r="F15" s="79"/>
      <c r="G15" s="79"/>
      <c r="H15" s="824"/>
      <c r="I15" s="824"/>
      <c r="J15" s="824"/>
      <c r="K15" s="171"/>
      <c r="L15" s="79"/>
      <c r="M15" s="79"/>
      <c r="N15" s="360"/>
      <c r="O15" s="215"/>
      <c r="P15" s="215"/>
      <c r="Q15" s="215"/>
      <c r="R15" s="215"/>
      <c r="S15" s="215"/>
      <c r="T15" s="215"/>
      <c r="U15" s="215"/>
      <c r="V15" s="215"/>
    </row>
    <row r="16" spans="1:22" ht="15.75">
      <c r="A16" s="481" t="s">
        <v>420</v>
      </c>
      <c r="B16" s="254"/>
      <c r="C16" s="254"/>
      <c r="D16" s="482">
        <v>6</v>
      </c>
      <c r="E16" s="364" t="s">
        <v>407</v>
      </c>
      <c r="F16" s="79"/>
      <c r="G16" s="79"/>
      <c r="H16" s="824"/>
      <c r="I16" s="824"/>
      <c r="J16" s="824"/>
      <c r="K16" s="171"/>
      <c r="L16" s="79"/>
      <c r="M16" s="79"/>
      <c r="N16" s="360"/>
      <c r="O16" s="215" t="s">
        <v>424</v>
      </c>
      <c r="P16" s="215"/>
      <c r="Q16" s="215"/>
      <c r="R16" s="215"/>
      <c r="S16" s="215"/>
      <c r="T16" s="215"/>
      <c r="U16" s="215"/>
      <c r="V16" s="215"/>
    </row>
    <row r="17" spans="1:22">
      <c r="A17" s="483" t="s">
        <v>421</v>
      </c>
      <c r="B17" s="255"/>
      <c r="C17" s="255"/>
      <c r="D17" s="484">
        <v>3</v>
      </c>
      <c r="E17" s="364" t="s">
        <v>422</v>
      </c>
      <c r="F17" s="79"/>
      <c r="G17" s="79"/>
      <c r="H17" s="824"/>
      <c r="I17" s="824"/>
      <c r="J17" s="824"/>
      <c r="K17" s="169"/>
      <c r="L17" s="79"/>
      <c r="M17" s="79"/>
      <c r="N17" s="360"/>
      <c r="O17" s="215" t="s">
        <v>423</v>
      </c>
      <c r="P17" s="215"/>
      <c r="Q17" s="215"/>
      <c r="R17" s="215"/>
      <c r="S17" s="215"/>
      <c r="T17" s="215"/>
      <c r="U17" s="215"/>
      <c r="V17" s="215"/>
    </row>
    <row r="18" spans="1:22" ht="15.75" customHeight="1">
      <c r="A18" s="822" t="s">
        <v>323</v>
      </c>
      <c r="B18" s="823"/>
      <c r="C18" s="1178" t="s">
        <v>425</v>
      </c>
      <c r="D18" s="1178"/>
      <c r="E18" s="364"/>
      <c r="F18" s="79"/>
      <c r="G18" s="79"/>
      <c r="H18" s="824"/>
      <c r="I18" s="824"/>
      <c r="J18" s="824"/>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f>D11</f>
        <v>10</v>
      </c>
      <c r="C20" s="238" t="s">
        <v>5</v>
      </c>
      <c r="D20" s="239">
        <v>0</v>
      </c>
      <c r="E20" s="1246" t="s">
        <v>407</v>
      </c>
      <c r="F20" s="1247"/>
      <c r="G20" s="1244"/>
      <c r="H20" s="1245"/>
      <c r="I20" s="1245"/>
      <c r="J20" s="1245"/>
      <c r="K20" s="1245"/>
      <c r="L20" s="1245"/>
      <c r="M20" s="844"/>
      <c r="N20" s="489"/>
      <c r="O20" s="215"/>
      <c r="P20" s="215"/>
      <c r="Q20" s="215"/>
      <c r="R20" s="215"/>
      <c r="S20" s="215"/>
      <c r="T20" s="215"/>
      <c r="U20" s="215"/>
      <c r="V20" s="215"/>
    </row>
    <row r="21" spans="1:22">
      <c r="A21" s="238" t="s">
        <v>4</v>
      </c>
      <c r="B21" s="239">
        <f>(B20*12)+D20</f>
        <v>120</v>
      </c>
      <c r="C21" s="238" t="s">
        <v>407</v>
      </c>
      <c r="D21" s="844"/>
      <c r="E21" s="1248" t="s">
        <v>74</v>
      </c>
      <c r="F21" s="1248"/>
      <c r="G21" s="240">
        <v>4</v>
      </c>
      <c r="H21" s="238" t="s">
        <v>409</v>
      </c>
      <c r="I21" s="844"/>
      <c r="J21" s="246" t="s">
        <v>11</v>
      </c>
      <c r="K21" s="239">
        <v>55</v>
      </c>
      <c r="L21" s="238" t="s">
        <v>410</v>
      </c>
      <c r="M21" s="844"/>
      <c r="N21" s="489"/>
      <c r="O21" s="215"/>
      <c r="P21" s="215"/>
      <c r="Q21" s="215"/>
      <c r="R21" s="215"/>
      <c r="S21" s="215"/>
      <c r="T21" s="215"/>
      <c r="U21" s="215"/>
      <c r="V21" s="215"/>
    </row>
    <row r="22" spans="1:22">
      <c r="A22" s="843"/>
      <c r="B22" s="844"/>
      <c r="C22" s="844"/>
      <c r="D22" s="844"/>
      <c r="E22" s="844"/>
      <c r="F22" s="844"/>
      <c r="G22" s="844"/>
      <c r="H22" s="844"/>
      <c r="I22" s="844"/>
      <c r="J22" s="844"/>
      <c r="K22" s="844"/>
      <c r="L22" s="844"/>
      <c r="M22" s="844"/>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844"/>
      <c r="N23" s="489"/>
      <c r="O23" s="215"/>
      <c r="P23" s="215"/>
      <c r="Q23" s="215"/>
      <c r="R23" s="215"/>
      <c r="S23" s="215"/>
      <c r="T23" s="215"/>
      <c r="U23" s="215"/>
      <c r="V23" s="215"/>
    </row>
    <row r="24" spans="1:22">
      <c r="A24" s="843"/>
      <c r="B24" s="844"/>
      <c r="C24" s="844"/>
      <c r="D24" s="844"/>
      <c r="E24" s="844"/>
      <c r="F24" s="238" t="s">
        <v>411</v>
      </c>
      <c r="G24" s="844"/>
      <c r="H24" s="844"/>
      <c r="I24" s="844"/>
      <c r="J24" s="844"/>
      <c r="K24" s="844"/>
      <c r="L24" s="844"/>
      <c r="M24" s="844"/>
      <c r="N24" s="489"/>
      <c r="O24" s="215"/>
      <c r="P24" s="215"/>
      <c r="Q24" s="215"/>
      <c r="R24" s="215"/>
      <c r="S24" s="215"/>
      <c r="T24" s="215"/>
      <c r="U24" s="215"/>
      <c r="V24" s="215"/>
    </row>
    <row r="25" spans="1:22">
      <c r="A25" s="1238" t="s">
        <v>412</v>
      </c>
      <c r="B25" s="1239"/>
      <c r="C25" s="1239"/>
      <c r="D25" s="239">
        <v>2.2000000000000002</v>
      </c>
      <c r="E25" s="842" t="s">
        <v>409</v>
      </c>
      <c r="F25" s="241">
        <f>(D25-3.2)*(100)/3.2</f>
        <v>-31.25</v>
      </c>
      <c r="G25" s="247">
        <f>3.2-D25</f>
        <v>1</v>
      </c>
      <c r="H25" s="242" t="s">
        <v>402</v>
      </c>
      <c r="I25" s="844"/>
      <c r="J25" s="844"/>
      <c r="K25" s="844"/>
      <c r="L25" s="844"/>
      <c r="M25" s="844"/>
      <c r="N25" s="489"/>
      <c r="O25" s="215"/>
      <c r="P25" s="215"/>
      <c r="Q25" s="215"/>
      <c r="R25" s="215"/>
      <c r="S25" s="215"/>
      <c r="T25" s="215"/>
      <c r="U25" s="215"/>
      <c r="V25" s="215"/>
    </row>
    <row r="26" spans="1:22">
      <c r="A26" s="1238" t="s">
        <v>413</v>
      </c>
      <c r="B26" s="1239"/>
      <c r="C26" s="1239"/>
      <c r="D26" s="239">
        <v>50</v>
      </c>
      <c r="E26" s="842" t="s">
        <v>410</v>
      </c>
      <c r="F26" s="241">
        <f>(D26-49)*(100)/49</f>
        <v>2.0408163265306123</v>
      </c>
      <c r="G26" s="239"/>
      <c r="H26" s="242" t="s">
        <v>414</v>
      </c>
      <c r="I26" s="844"/>
      <c r="J26" s="844"/>
      <c r="K26" s="844"/>
      <c r="L26" s="844"/>
      <c r="M26" s="844"/>
      <c r="N26" s="489"/>
      <c r="O26" s="215"/>
      <c r="P26" s="215">
        <f>50-D26</f>
        <v>0</v>
      </c>
      <c r="Q26" s="215"/>
      <c r="R26" s="215"/>
      <c r="S26" s="215"/>
      <c r="T26" s="215"/>
      <c r="U26" s="215"/>
      <c r="V26" s="215"/>
    </row>
    <row r="27" spans="1:22" ht="15.75">
      <c r="A27" s="1238" t="s">
        <v>415</v>
      </c>
      <c r="B27" s="1239"/>
      <c r="C27" s="1240"/>
      <c r="D27" s="815">
        <f>IF(B21=72,20.2,IF(B21=73,20.3,IF(B21=74,20.5,IF(B21=75,20.7,IF(B21=76,20.9,IF(B21=77,21,IF(B21=78,21.2,IF(B21=79,21.4,IF(B21=80,21.6,IF(B21=81,21.8,IF(B21=82,22,IF(B21=83,22.2,IF(B21=84,22.4,IF(B21=85,22.6,IF(B21=86,22.8,IF(B21=87,23,IF(B21=88,23.2,IF(B21=89,23.4,IF(B21=90,23.6,IF(B21=91,23.9,IF(B21=92,24.1,IF(B21=93,24.1,IF(B21=94,24.5,IF(B21=95,24.8,IF(B21=96,25,IF(B21=97,25.3,IF(B21=98,25.5,IF(B21=99,25.8,IF(B21=100,26,IF(B21=101,26.3,IF(B21=102,26.6,IF(B21=103,26.8,IF(B21=104,27.1,IF(B21=105,27.4,IF(B21=106,27.6,IF(B21=107,27.9,IF(B21=108,28.2,IF(B21=109,28.5,IF(B21=110,28.8,IF(B21=111,29.1,IF(B21=112,29.4,IF(B21=113,29.7,IF(B21=114,30,IF(B21=115,30.3,IF(B21=116,30.6,IF(B21=117,30.9,IF(B21=118,31.2,IF(B21=119,31.5,IF(B21=120,31.9)))))))))))))))))))))))))))))))))))))))))))))))))</f>
        <v>31.9</v>
      </c>
      <c r="E27" s="238" t="s">
        <v>409</v>
      </c>
      <c r="F27" s="241">
        <f>(G21-D27)*(100)/D27</f>
        <v>-87.460815047021953</v>
      </c>
      <c r="G27" s="250">
        <f>D27-G21</f>
        <v>27.9</v>
      </c>
      <c r="H27" s="243" t="s">
        <v>402</v>
      </c>
      <c r="I27" s="844"/>
      <c r="J27" s="844"/>
      <c r="K27" s="844"/>
      <c r="L27" s="844"/>
      <c r="M27" s="844"/>
      <c r="N27" s="489"/>
      <c r="O27" s="215"/>
      <c r="P27" s="215"/>
      <c r="Q27" s="215"/>
      <c r="R27" s="215"/>
      <c r="S27" s="215"/>
      <c r="T27" s="215"/>
      <c r="U27" s="215"/>
      <c r="V27" s="215"/>
    </row>
    <row r="28" spans="1:22">
      <c r="A28" s="1238" t="s">
        <v>416</v>
      </c>
      <c r="B28" s="1239"/>
      <c r="C28" s="1240"/>
      <c r="D28" s="816">
        <f>IF(B21=72,115.1,IF(B21=73,115.6,IF(B21=74,116.1,IF(B21=75,116.6,IF(B21=76,117,IF(B21=77,117.5,IF(B21=78,118,IF(B21=79,118.4,IF(B21=80,118.9,IF(B21=81,119.4,IF(B21=82,119.9,IF(B21=83,120.3,IF(B21=84,120.8,IF(B21=85,121.3,IF(B21=86,121.8,IF(B21=87,122.2,IF(B21=88,122.7,IF(B21=89,123.2,IF(B21=90,123.7,IF(B21=91,124.1,IF(B21=92,124.6,IF(B22=93,125.1,IF(B21=94,125.6,IF(B25=95,126.1,IF(B21=96,126.6,IF(B21=97,127,IF(B21=98,127.5,IF(B21=99,128,IF(B21=100,128.5,IF(B21=101,129,IF(B21=102,129.5,IF(B21=103,130,IF(B21=104,130.5,IF(B21=105,131,IF(B21=106,131.5,IF(B21=107,132,IF(B21=108,132.5,IF(B21=109,133,IF(B21=110,133.5,IF(B22=111,134,IF(B21=112,134.5,IF(B21=113,135,IF(B21=114,135.5,IF(B21=115,136.1,IF(B21=116,136.6,IF(B21=117,137.1,IF(B21=118,137.6,IF(B21=119,138.1,IF(B21=120,138.6,IF(B21=121,139.2,IF(B21=122,139.7,IF(B21=123,140.2,IF(B21=124,140.7,IF(B21=125,141.3,IF(B21=126,141.8,IF(B21=127,142.3,IF(B21=128,142.9,IF(B21=129,143.4,IF(B21=130,143.9,IF(B21=131,144.5,IF(B21=132,145)))))))))))))))))))))))))))))))))))))))))))))))))))))))))))))</f>
        <v>138.6</v>
      </c>
      <c r="E28" s="238" t="s">
        <v>410</v>
      </c>
      <c r="F28" s="241">
        <f>(K21-D28)*(100)/D28</f>
        <v>-60.317460317460323</v>
      </c>
      <c r="G28" s="239">
        <f>D28-K21</f>
        <v>83.6</v>
      </c>
      <c r="H28" s="243" t="s">
        <v>414</v>
      </c>
      <c r="I28" s="844"/>
      <c r="J28" s="844"/>
      <c r="K28" s="844"/>
      <c r="L28" s="844"/>
      <c r="M28" s="844"/>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12.539184952978058</v>
      </c>
      <c r="I30" s="293" t="str">
        <f>IF(H30&gt;110,"EXCESO O SOBREPESO",IF(H30=109.9,"NORMAL",IF(H30&gt;=90,"NORMAL",IF(H30=88.9,"DESNUTRICION LEVE 1ER GRADO",IF(H30&gt;=80,"DESNUTRICION LEVE 1ER GRADO",IF(H30=79.9,"DESNUTRICION MODERADA 2DO GRADO",IF(H30&gt;=70,"DESNUTRICION MODERADA 2DO GRADO",IF(H30&lt;70,"DESNUTRICION SEVERA 3ER GRADO"))))))))</f>
        <v>DESNUTRICION SEVERA 3ER GRADO</v>
      </c>
      <c r="J30" s="293"/>
      <c r="K30" s="293"/>
      <c r="L30" s="293"/>
      <c r="M30" s="293"/>
      <c r="N30" s="490"/>
      <c r="O30" s="215"/>
      <c r="P30" s="215"/>
      <c r="Q30" s="215"/>
      <c r="R30" s="215"/>
      <c r="S30" s="215"/>
      <c r="T30" s="215"/>
      <c r="U30" s="215"/>
      <c r="V30" s="215"/>
    </row>
    <row r="31" spans="1:22">
      <c r="A31" s="843" t="s">
        <v>436</v>
      </c>
      <c r="B31" s="844"/>
      <c r="C31" s="844"/>
      <c r="D31" s="251"/>
      <c r="E31" s="844"/>
      <c r="F31" s="252"/>
      <c r="G31" s="251"/>
      <c r="H31" s="253">
        <f>(G21/D27)*100</f>
        <v>12.539184952978058</v>
      </c>
      <c r="I31" s="844" t="str">
        <f>IF(H31&gt;=90,"NORMAL",IF(H31=89.9,"DESNUTRICION LEVE 1ER GRADO",IF(H31&gt;=75,"DESNUTRICION LEVE 1ER GRADO",IF(H31=74.9,"DESNUTRICION MODERADA 2DO GRADO",IF(H31&gt;=60,"DESNUTRICION MODERADA 2DO GRADO",IF(H31&lt;59.9,"DESNUTRICION SEVERA 3ER GRADO"))))))</f>
        <v>DESNUTRICION SEVERA 3ER GRADO</v>
      </c>
      <c r="J31" s="844"/>
      <c r="K31" s="844"/>
      <c r="L31" s="844"/>
      <c r="M31" s="844"/>
      <c r="N31" s="489"/>
      <c r="O31" s="215"/>
      <c r="P31" s="215"/>
      <c r="Q31" s="215"/>
      <c r="R31" s="215"/>
      <c r="S31" s="215"/>
      <c r="T31" s="215"/>
      <c r="U31" s="215"/>
      <c r="V31" s="215"/>
    </row>
    <row r="32" spans="1:22">
      <c r="A32" s="843" t="s">
        <v>437</v>
      </c>
      <c r="B32" s="844"/>
      <c r="C32" s="844"/>
      <c r="D32" s="251"/>
      <c r="E32" s="844"/>
      <c r="F32" s="252"/>
      <c r="G32" s="251"/>
      <c r="H32" s="253">
        <f>(K21/D28)*100</f>
        <v>39.682539682539684</v>
      </c>
      <c r="I32" s="844" t="str">
        <f>IF(H32&gt;95,"NORMAL",IF(H32=94.9,"DESNUTRICION LEVE 1ER GRADO",IF(H32&gt;=90,"DESNUTRICION LEVE 1ER GRADO",IF(H32=89.9,"DESNUTRICION MODERADA 2DO GRADO",IF(H32&gt;=85,"DESNUTRICION MODERADA 2DO GRADO",IF(H32&lt;84.9,"DESNUTRICION SEVERA 3ER GRADO"))))))</f>
        <v>DESNUTRICION SEVERA 3ER GRADO</v>
      </c>
      <c r="J32" s="844"/>
      <c r="K32" s="844"/>
      <c r="L32" s="844"/>
      <c r="M32" s="844"/>
      <c r="N32" s="489"/>
      <c r="O32" s="215"/>
      <c r="P32" s="215"/>
      <c r="Q32" s="215"/>
      <c r="R32" s="215"/>
      <c r="S32" s="215"/>
      <c r="T32" s="215"/>
      <c r="U32" s="215"/>
      <c r="V32" s="215"/>
    </row>
    <row r="33" spans="1:32">
      <c r="A33" s="843"/>
      <c r="B33" s="844"/>
      <c r="C33" s="844"/>
      <c r="D33" s="251"/>
      <c r="E33" s="844"/>
      <c r="F33" s="252"/>
      <c r="G33" s="251"/>
      <c r="H33" s="253"/>
      <c r="I33" s="844"/>
      <c r="J33" s="844"/>
      <c r="K33" s="844"/>
      <c r="L33" s="844"/>
      <c r="M33" s="844"/>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827"/>
      <c r="D37" s="370" t="s">
        <v>349</v>
      </c>
      <c r="E37" s="370"/>
      <c r="F37" s="370"/>
      <c r="G37" s="827"/>
      <c r="H37" s="370" t="s">
        <v>354</v>
      </c>
      <c r="I37" s="370"/>
      <c r="J37" s="827"/>
      <c r="K37" s="370"/>
      <c r="L37" s="370" t="s">
        <v>358</v>
      </c>
      <c r="M37" s="370"/>
      <c r="N37" s="377"/>
      <c r="O37" s="215"/>
      <c r="P37" s="215"/>
      <c r="Q37" s="215"/>
      <c r="R37" s="215"/>
      <c r="S37" s="215"/>
      <c r="T37" s="215"/>
      <c r="U37" s="215"/>
      <c r="V37" s="215"/>
    </row>
    <row r="38" spans="1:32">
      <c r="A38" s="1074" t="s">
        <v>345</v>
      </c>
      <c r="B38" s="1075"/>
      <c r="C38" s="827"/>
      <c r="D38" s="370" t="s">
        <v>350</v>
      </c>
      <c r="E38" s="370"/>
      <c r="F38" s="370"/>
      <c r="G38" s="827"/>
      <c r="H38" s="370" t="s">
        <v>355</v>
      </c>
      <c r="I38" s="370"/>
      <c r="J38" s="827"/>
      <c r="K38" s="370"/>
      <c r="L38" s="370" t="s">
        <v>359</v>
      </c>
      <c r="M38" s="370"/>
      <c r="N38" s="377"/>
      <c r="O38" s="215"/>
      <c r="P38" s="215"/>
      <c r="Q38" s="215"/>
      <c r="R38" s="215"/>
      <c r="S38" s="215"/>
      <c r="T38" s="215"/>
      <c r="U38" s="215"/>
      <c r="V38" s="215"/>
    </row>
    <row r="39" spans="1:32">
      <c r="A39" s="1074" t="s">
        <v>346</v>
      </c>
      <c r="B39" s="1075"/>
      <c r="C39" s="827" t="s">
        <v>405</v>
      </c>
      <c r="D39" s="370" t="s">
        <v>351</v>
      </c>
      <c r="E39" s="370"/>
      <c r="F39" s="370"/>
      <c r="G39" s="827"/>
      <c r="H39" s="370" t="s">
        <v>356</v>
      </c>
      <c r="I39" s="370"/>
      <c r="J39" s="827"/>
      <c r="K39" s="370"/>
      <c r="L39" s="1076" t="s">
        <v>360</v>
      </c>
      <c r="M39" s="1076"/>
      <c r="N39" s="377" t="s">
        <v>403</v>
      </c>
      <c r="O39" s="215"/>
      <c r="P39" s="215"/>
      <c r="Q39" s="215"/>
      <c r="R39" s="215"/>
      <c r="S39" s="215"/>
      <c r="T39" s="215"/>
      <c r="U39" s="215"/>
      <c r="V39" s="215"/>
      <c r="W39" s="80"/>
      <c r="X39" s="80"/>
      <c r="Y39" s="80"/>
      <c r="Z39" s="80"/>
      <c r="AA39" s="80"/>
      <c r="AB39" s="80"/>
      <c r="AC39" s="80"/>
      <c r="AD39" s="80"/>
      <c r="AE39" s="80"/>
      <c r="AF39" s="80"/>
    </row>
    <row r="40" spans="1:32">
      <c r="A40" s="1074" t="s">
        <v>347</v>
      </c>
      <c r="B40" s="1075"/>
      <c r="C40" s="827"/>
      <c r="D40" s="370" t="s">
        <v>352</v>
      </c>
      <c r="E40" s="370"/>
      <c r="F40" s="370"/>
      <c r="G40" s="827"/>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828"/>
      <c r="B41" s="829"/>
      <c r="C41" s="827"/>
      <c r="D41" s="370"/>
      <c r="E41" s="370"/>
      <c r="F41" s="370"/>
      <c r="G41" s="827"/>
      <c r="H41" s="370"/>
      <c r="I41" s="370"/>
      <c r="J41" s="370"/>
      <c r="K41" s="370"/>
      <c r="L41" s="829"/>
      <c r="M41" s="829"/>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442</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830"/>
      <c r="B50" s="830"/>
      <c r="C50" s="830"/>
      <c r="D50" s="3"/>
      <c r="O50" s="215"/>
      <c r="P50" s="215"/>
      <c r="Q50" s="215"/>
      <c r="R50" s="215"/>
      <c r="S50" s="215"/>
      <c r="T50" s="215"/>
      <c r="U50" s="215"/>
      <c r="V50" s="215"/>
      <c r="W50" s="80"/>
      <c r="X50" s="80"/>
      <c r="Y50" s="80"/>
      <c r="Z50" s="80"/>
      <c r="AA50" s="80"/>
      <c r="AB50" s="80"/>
      <c r="AC50" s="80"/>
      <c r="AD50" s="80"/>
      <c r="AE50" s="80"/>
      <c r="AF50" s="80"/>
    </row>
    <row r="51" spans="1:32" s="62" customFormat="1" ht="15.75">
      <c r="A51" s="830"/>
      <c r="B51" s="830"/>
      <c r="C51" s="830"/>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830"/>
      <c r="B52" s="830"/>
      <c r="C52" s="830"/>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834" t="s">
        <v>211</v>
      </c>
      <c r="D53" s="834"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0</v>
      </c>
      <c r="F60" s="1" t="str">
        <f>IF(E60=0,"ND",IF(E60&lt;12,"BAJO",IF(E60=11.9,"BAJO",IF(E60=12,"NORMAL",IF(E60&lt;=16,"NORMAL",IF(E60&gt;=16.1,"ALTO"))))))</f>
        <v>ND</v>
      </c>
      <c r="G60" s="141"/>
      <c r="H60" s="1" t="str">
        <f>IF(G60=0,"ND",IF(G60&lt;12,"BAJO",IF(G60=11.9,"BAJO",IF(G60=12,"NORMAL",IF(G60&lt;=16,"NORMAL",IF(G60&gt;=16.1,"ALTO"))))))</f>
        <v>ND</v>
      </c>
      <c r="I60" s="141"/>
      <c r="J60" s="1" t="str">
        <f>IF(I60=0,"ND",IF(I60&lt;12,"BAJO",IF(I60=11.9,"BAJO",IF(I60=12,"NORMAL",IF(I60&lt;=16,"NORMAL",IF(I60&gt;=16.1,"ALTO"))))))</f>
        <v>ND</v>
      </c>
      <c r="K60" s="141"/>
      <c r="L60" s="1" t="str">
        <f>IF(K60=0,"ND",IF(K60&lt;12,"BAJO",IF(K60=11.9,"BAJO",IF(K60=12,"NORMAL",IF(K60&lt;=16,"NORMAL",IF(K60&gt;=16.1,"ALTO"))))))</f>
        <v>ND</v>
      </c>
      <c r="M60" s="141"/>
      <c r="N60" s="1" t="str">
        <f>IF(M60=0,"ND",IF(M60&lt;12,"BAJO",IF(M60=11.9,"BAJO",IF(M60=12,"NORMAL",IF(M60&lt;=16,"NORMAL",IF(M60&gt;=16.1,"ALTO"))))))</f>
        <v>ND</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0</v>
      </c>
      <c r="F62" s="1" t="str">
        <f>IF(E62=0,"ND",IF(E62&lt;36,"BAJO",IF(E62=35.9,"BAJO",IF(E62=36,"NORMAL",IF(E62&lt;=47,"NORMAL",IF(E62&gt;=47.1,"ALTO"))))))</f>
        <v>ND</v>
      </c>
      <c r="G62" s="141"/>
      <c r="H62" s="1" t="str">
        <f>IF(G62=0,"ND",IF(G62&lt;36,"BAJO",IF(G62=35.9,"BAJO",IF(G62=36,"NORMAL",IF(G62&lt;=47,"NORMAL",IF(G62&gt;=47.1,"ALTO"))))))</f>
        <v>ND</v>
      </c>
      <c r="I62" s="141"/>
      <c r="J62" s="1" t="str">
        <f>IF(I62=0,"ND",IF(I62&lt;36,"BAJO",IF(I62=35.9,"BAJO",IF(I62=36,"NORMAL",IF(I62&lt;=47,"NORMAL",IF(I62&gt;=47.1,"ALTO"))))))</f>
        <v>ND</v>
      </c>
      <c r="K62" s="141"/>
      <c r="L62" s="1" t="str">
        <f>IF(K62=0,"ND",IF(K62&lt;36,"BAJO",IF(K62=35.9,"BAJO",IF(K62=36,"NORMAL",IF(K62&lt;=47,"NORMAL",IF(K62&gt;=47.1,"ALTO"))))))</f>
        <v>ND</v>
      </c>
      <c r="M62" s="141"/>
      <c r="N62" s="1" t="str">
        <f>IF(M62=0,"ND",IF(M62&lt;36,"BAJO",IF(M62=35.9,"BAJO",IF(M62=36,"NORMAL",IF(M62&lt;=47,"NORMAL",IF(M62&gt;=47.1,"ALTO"))))))</f>
        <v>ND</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141">
        <v>0</v>
      </c>
      <c r="F64" s="1" t="str">
        <f>IF(E64=0,"ND",IF(E64&lt;4000,"BAJO",IF(E64=4000,"NORMAL",IF(E64&lt;=11000,"NORMAL",IF(E64&gt;=11001,"ALTO")))))</f>
        <v>ND</v>
      </c>
      <c r="G64" s="141"/>
      <c r="H64" s="1" t="str">
        <f>IF(G64=0,"ND",IF(G64&lt;4000,"BAJO",IF(G64=4000,"NORMAL",IF(G64&lt;=11000,"NORMAL",IF(G64&gt;=11001,"ALTO")))))</f>
        <v>ND</v>
      </c>
      <c r="I64" s="143"/>
      <c r="J64" s="1" t="str">
        <f>IF(I64=0,"ND",IF(I64&lt;4000,"BAJO",IF(I64=4000,"NORMAL",IF(I64&lt;=11000,"NORMAL",IF(I64&gt;=11001,"ALTO")))))</f>
        <v>ND</v>
      </c>
      <c r="K64" s="143"/>
      <c r="L64" s="1" t="str">
        <f>IF(K64=0,"ND",IF(K64&lt;4000,"BAJO",IF(K64=4000,"NORMAL",IF(K64&lt;=11000,"NORMAL",IF(K64&gt;=11001,"ALTO")))))</f>
        <v>ND</v>
      </c>
      <c r="M64" s="143"/>
      <c r="N64" s="1" t="str">
        <f>IF(M64=0,"ND",IF(M64&lt;4000,"BAJO",IF(M64=4000,"NORMAL",IF(M64&lt;=11000,"NORMAL",IF(M64&gt;=11001,"ALTO")))))</f>
        <v>ND</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0</v>
      </c>
      <c r="F67" s="1" t="str">
        <f>IF(E67=0,"ND",IF(E67&lt;65,"BAJO",IF(E67=64.9,"BAJO",IF(E67=65,"NORMAL",IF(E67&lt;=110,"NORMAL",IF(E67&gt;=110.1,"ALTO"))))))</f>
        <v>ND</v>
      </c>
      <c r="G67" s="144"/>
      <c r="H67" s="1" t="str">
        <f>IF(G67=0,"ND",IF(G67&lt;65,"BAJO",IF(G67=64.9,"BAJO",IF(G67=65,"NORMAL",IF(G67&lt;=110,"NORMAL",IF(G67&gt;=110.1,"ALTO"))))))</f>
        <v>ND</v>
      </c>
      <c r="I67" s="144"/>
      <c r="J67" s="1" t="str">
        <f>IF(I67=0,"ND",IF(I67&lt;65,"BAJO",IF(I67=64.9,"BAJO",IF(I67=65,"NORMAL",IF(I67&lt;=110,"NORMAL",IF(I67&gt;=110.1,"ALTO"))))))</f>
        <v>ND</v>
      </c>
      <c r="K67" s="144"/>
      <c r="L67" s="1" t="str">
        <f>IF(K67=0,"ND",IF(K67&lt;65,"BAJO",IF(K67=64.9,"BAJO",IF(K67=65,"NORMAL",IF(K67&lt;=110,"NORMAL",IF(K67&gt;=110.1,"ALTO"))))))</f>
        <v>ND</v>
      </c>
      <c r="M67" s="144"/>
      <c r="N67" s="1" t="str">
        <f>IF(M67=0,"ND",IF(M67&lt;65,"BAJO",IF(M67=64.9,"BAJO",IF(M67=65,"NORMAL",IF(M67&lt;=110,"NORMAL",IF(M67&gt;=110.1,"ALTO"))))))</f>
        <v>ND</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IF(E69=0,"ND",IF(E69&lt;14,"BAJO",IF(E69=13.9,"BAJO",IF(E69=14,"NORMAL",IF(E69&lt;=44,"NORMAL",IF(E69&gt;=44.1,"ALTO"))))))</f>
        <v>ND</v>
      </c>
      <c r="G69" s="145"/>
      <c r="H69" s="1" t="str">
        <f>IF(G69=0,"ND",IF(G69&lt;14,"BAJO",IF(G69=13.9,"BAJO",IF(G69=14,"NORMAL",IF(G69&lt;=44,"NORMAL",IF(G69&gt;=44.1,"ALTO"))))))</f>
        <v>ND</v>
      </c>
      <c r="I69" s="145"/>
      <c r="J69" s="1" t="str">
        <f>IF(I69=0,"ND",IF(I69&lt;14,"BAJO",IF(I69=13.9,"BAJO",IF(I69=14,"NORMAL",IF(I69&lt;=44,"NORMAL",IF(I69&gt;=44.1,"ALTO"))))))</f>
        <v>ND</v>
      </c>
      <c r="K69" s="145"/>
      <c r="L69" s="1" t="str">
        <f>IF(K69=0,"ND",IF(K69&lt;14,"BAJO",IF(K69=13.9,"BAJO",IF(K69=14,"NORMAL",IF(K69&lt;=44,"NORMAL",IF(K69&gt;=44.1,"ALTO"))))))</f>
        <v>ND</v>
      </c>
      <c r="M69" s="145"/>
      <c r="N69" s="1" t="str">
        <f>IF(M69=0,"ND",IF(M69&lt;14,"BAJO",IF(M69=13.9,"BAJO",IF(M69=14,"NORMAL",IF(M69&lt;=44,"NORMAL",IF(M69&gt;=44.1,"ALTO"))))))</f>
        <v>ND</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IF(E71=0,"ND",IF(E71&lt;3.4,"BAJO",IF(E71&lt;=3.39,"BAJO",IF(E71=3.4,"NORMAL",IF(E71&lt;=7,"NORMAL",IF(E71&gt;=7.1,"ALTO"))))))</f>
        <v>ND</v>
      </c>
      <c r="G71" s="145"/>
      <c r="H71" s="1" t="str">
        <f>IF(G71=0,"ND",IF(G71&lt;3.4,"BAJO",IF(G71&lt;=3.39,"BAJO",IF(G71=3.4,"NORMAL",IF(G71&lt;=7,"NORMAL",IF(G71&gt;=7.1,"ALTO"))))))</f>
        <v>ND</v>
      </c>
      <c r="I71" s="145"/>
      <c r="J71" s="1" t="str">
        <f>IF(I71=0,"ND",IF(I71&lt;3.4,"BAJO",IF(I71&lt;=3.39,"BAJO",IF(I71=3.4,"NORMAL",IF(I71&lt;=7,"NORMAL",IF(I71&gt;=7.1,"ALTO"))))))</f>
        <v>ND</v>
      </c>
      <c r="K71" s="145"/>
      <c r="L71" s="1" t="str">
        <f>IF(K71=0,"ND",IF(K71&lt;3.4,"BAJO",IF(K71&lt;=3.39,"BAJO",IF(K71=3.4,"NORMAL",IF(K71&lt;=7,"NORMAL",IF(K71&gt;=7.1,"ALTO"))))))</f>
        <v>ND</v>
      </c>
      <c r="M71" s="145"/>
      <c r="N71" s="1" t="str">
        <f>IF(M71=0,"ND",IF(M71&lt;3.4,"BAJO",IF(M71&lt;=3.39,"BAJO",IF(M71=3.4,"NORMAL",IF(M71&lt;=7,"NORMAL",IF(M71&gt;=7.1,"ALTO"))))))</f>
        <v>ND</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IF(E73=0,"ND",IF(E73&lt;0.5,"BAJO",IF(E73=0.49,"BAJO",IF(E73=0.5,"NORMAL",IF(E73&lt;=1.6,"NORMAL",IF(E73&gt;=1.61,"ALTO"))))))</f>
        <v>ND</v>
      </c>
      <c r="G73" s="143"/>
      <c r="H73" s="1" t="str">
        <f>IF(G73=0,"ND",IF(G73&lt;0.5,"BAJO",IF(G73=0.49,"BAJO",IF(G73=0.5,"NORMAL",IF(G73&lt;=1.6,"NORMAL",IF(G73&gt;=1.61,"ALTO"))))))</f>
        <v>ND</v>
      </c>
      <c r="I73" s="143"/>
      <c r="J73" s="1" t="str">
        <f>IF(I73=0,"ND",IF(I73&lt;0.5,"BAJO",IF(I73=0.49,"BAJO",IF(I73=0.5,"NORMAL",IF(I73&lt;=1.6,"NORMAL",IF(I73&gt;=1.61,"ALTO"))))))</f>
        <v>ND</v>
      </c>
      <c r="K73" s="143"/>
      <c r="L73" s="1" t="str">
        <f>IF(K73=0,"ND",IF(K73&lt;0.5,"BAJO",IF(K73=0.49,"BAJO",IF(K73=0.5,"NORMAL",IF(K73&lt;=1.6,"NORMAL",IF(K73&gt;=1.61,"ALTO"))))))</f>
        <v>ND</v>
      </c>
      <c r="M73" s="143"/>
      <c r="N73" s="1" t="str">
        <f>IF(M73=0,"ND",IF(M73&lt;0.5,"BAJO",IF(M73=0.49,"BAJO",IF(M73=0.5,"NORMAL",IF(M73&lt;=1.6,"NORMAL",IF(M73&gt;=1.61,"ALTO"))))))</f>
        <v>ND</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834" t="s">
        <v>30</v>
      </c>
      <c r="B76" s="834"/>
      <c r="C76" s="56" t="s">
        <v>224</v>
      </c>
      <c r="D76" s="57" t="s">
        <v>219</v>
      </c>
      <c r="E76" s="144">
        <v>0</v>
      </c>
      <c r="F76" s="1" t="str">
        <f>IF(E76=0,"ND",IF(E76&lt;6.4,"BAJO",IF(E76=6.39,"BAJO",IF(E76=6.4,"NORMAL",IF(E76&lt;=8.3,"NORMAL",IF(E76&gt;=8.31,"ALTO"))))))</f>
        <v>ND</v>
      </c>
      <c r="G76" s="144"/>
      <c r="H76" s="1" t="str">
        <f>IF(G76=0,"ND",IF(G76&lt;6.4,"BAJO",IF(G76=6.39,"BAJO",IF(G76=6.4,"NORMAL",IF(G76&lt;=8.3,"NORMAL",IF(G76&gt;=8.31,"ALTO"))))))</f>
        <v>ND</v>
      </c>
      <c r="I76" s="144"/>
      <c r="J76" s="1" t="str">
        <f>IF(I76=0,"ND",IF(I76&lt;6.4,"BAJO",IF(I76=6.39,"BAJO",IF(I76=6.4,"NORMAL",IF(I76&lt;=8.3,"NORMAL",IF(I76&gt;=8.31,"ALTO"))))))</f>
        <v>ND</v>
      </c>
      <c r="K76" s="144"/>
      <c r="L76" s="1" t="str">
        <f>IF(K76=0,"ND",IF(K76&lt;6.4,"BAJO",IF(K76=6.39,"BAJO",IF(K76=6.4,"NORMAL",IF(K76&lt;=8.3,"NORMAL",IF(K76&gt;=8.31,"ALTO"))))))</f>
        <v>ND</v>
      </c>
      <c r="M76" s="144"/>
      <c r="N76" s="1" t="str">
        <f>IF(M76=0,"ND",IF(M76&lt;6.4,"BAJO",IF(M76=6.39,"BAJO",IF(M76=6.4,"NORMAL",IF(M76&lt;=8.3,"NORMAL",IF(M76&gt;=8.31,"ALTO"))))))</f>
        <v>ND</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v>0</v>
      </c>
      <c r="F78" s="1" t="str">
        <f>IF(E78=0,"ND",IF(E78&lt;3.4,"BAJO",IF(E78=3.39,"BAJO",IF(E78=3.4,"NORMAL",IF(E78&lt;=5,"NORMAL",IF(E78&gt;=5.01,"ALTO"))))))</f>
        <v>ND</v>
      </c>
      <c r="G78" s="143"/>
      <c r="H78" s="1" t="str">
        <f>IF(G78=0,"ND",IF(G78&lt;3.4,"BAJO",IF(G78=3.39,"BAJO",IF(G78=3.4,"NORMAL",IF(G78&lt;=5,"NORMAL",IF(G78&gt;=5.01,"ALTO"))))))</f>
        <v>ND</v>
      </c>
      <c r="I78" s="143"/>
      <c r="J78" s="1" t="str">
        <f>IF(I78=0,"ND",IF(I78&lt;3.4,"BAJO",IF(I78=3.39,"BAJO",IF(I78=3.4,"NORMAL",IF(I78&lt;=5,"NORMAL",IF(I78&gt;=5.01,"ALTO"))))))</f>
        <v>ND</v>
      </c>
      <c r="K78" s="143"/>
      <c r="L78" s="1" t="str">
        <f>IF(K78=0,"ND",IF(K78&lt;3.4,"BAJO",IF(K78=3.39,"BAJO",IF(K78=3.4,"NORMAL",IF(K78&lt;=5,"NORMAL",IF(K78&gt;=5.01,"ALTO"))))))</f>
        <v>ND</v>
      </c>
      <c r="M78" s="143"/>
      <c r="N78" s="1" t="str">
        <f>IF(M78=0,"ND",IF(M78&lt;3.4,"BAJO",IF(M78=3.39,"BAJO",IF(M78=3.4,"NORMAL",IF(M78&lt;=5,"NORMAL",IF(M78&gt;=5.01,"ALTO"))))))</f>
        <v>ND</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831" t="s">
        <v>33</v>
      </c>
      <c r="B81" s="831"/>
      <c r="C81" s="46" t="s">
        <v>232</v>
      </c>
      <c r="D81" s="42" t="s">
        <v>221</v>
      </c>
      <c r="E81" s="141">
        <v>0</v>
      </c>
      <c r="F81" s="1" t="str">
        <f>IF(E81=0,"ND",IF(E81&lt;140,"BAJO",IF(E81=139.9,"BAJO",IF(E81=140,"NORMAL",IF(E81&lt;=200,"NORMAL",IF(E81&gt;=200.1,"ALTO"))))))</f>
        <v>ND</v>
      </c>
      <c r="G81" s="141"/>
      <c r="H81" s="1" t="str">
        <f>IF(G81=0,"ND",IF(G81&lt;140,"BAJO",IF(G81=139.9,"BAJO",IF(G81=140,"NORMAL",IF(G81&lt;=200,"NORMAL",IF(G81&gt;=200.1,"ALTO"))))))</f>
        <v>ND</v>
      </c>
      <c r="I81" s="141"/>
      <c r="J81" s="1" t="str">
        <f>IF(I81=0,"ND",IF(I81&lt;140,"BAJO",IF(I81=139.9,"BAJO",IF(I81=140,"NORMAL",IF(I81&lt;=200,"NORMAL",IF(I81&gt;=200.1,"ALTO"))))))</f>
        <v>ND</v>
      </c>
      <c r="K81" s="141"/>
      <c r="L81" s="1" t="str">
        <f>IF(K81=0,"ND",IF(K81&lt;140,"BAJO",IF(K81=139.9,"BAJO",IF(K81=140,"NORMAL",IF(K81&lt;=200,"NORMAL",IF(K81&gt;=200.1,"ALTO"))))))</f>
        <v>ND</v>
      </c>
      <c r="M81" s="141"/>
      <c r="N81" s="1" t="str">
        <f>IF(M81=0,"ND",IF(M81&lt;140,"BAJO",IF(M81=139.9,"BAJO",IF(M81=140,"NORMAL",IF(M81&lt;=200,"NORMAL",IF(M81&gt;=200.1,"ALTO"))))))</f>
        <v>ND</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IF(E83=0,"ND",IF(E83&lt;40,"BAJO",IF(E83=39.9,"BAJO",IF(E83=40,"NORMAL",IF(E83&lt;=160,"NORMAL",IF(E83&gt;=160.1,"ALTO"))))))</f>
        <v>ND</v>
      </c>
      <c r="G83" s="141"/>
      <c r="H83" s="1" t="str">
        <f>IF(G83=0,"ND",IF(G83&lt;40,"BAJO",IF(G83=39.9,"BAJO",IF(G83=40,"NORMAL",IF(G83&lt;=160,"NORMAL",IF(G83&gt;=160.1,"ALTO"))))))</f>
        <v>ND</v>
      </c>
      <c r="I83" s="141"/>
      <c r="J83" s="1" t="str">
        <f>IF(I83=0,"ND",IF(I83&lt;40,"BAJO",IF(I83=39.9,"BAJO",IF(I83=40,"NORMAL",IF(I83&lt;=160,"NORMAL",IF(I83&gt;=160.1,"ALTO"))))))</f>
        <v>ND</v>
      </c>
      <c r="K83" s="141"/>
      <c r="L83" s="1" t="str">
        <f>IF(K83=0,"ND",IF(K83&lt;40,"BAJO",IF(K83=39.9,"BAJO",IF(K83=40,"NORMAL",IF(K83&lt;=160,"NORMAL",IF(K83&gt;=160.1,"ALTO"))))))</f>
        <v>ND</v>
      </c>
      <c r="M83" s="141"/>
      <c r="N83" s="1" t="str">
        <f>IF(M83=0,"ND",IF(M83&lt;40,"BAJO",IF(M83=39.9,"BAJO",IF(M83=40,"NORMAL",IF(M83&lt;=160,"NORMAL",IF(M83&gt;=160.1,"ALTO"))))))</f>
        <v>ND</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833"/>
      <c r="B86" s="833"/>
      <c r="C86" s="833"/>
      <c r="D86" s="4"/>
      <c r="E86" s="45"/>
      <c r="O86" s="215"/>
      <c r="P86" s="215"/>
      <c r="Q86" s="215"/>
      <c r="R86" s="215"/>
      <c r="S86" s="215"/>
      <c r="T86" s="215"/>
      <c r="U86" s="215"/>
      <c r="V86" s="215"/>
      <c r="W86" s="80"/>
      <c r="X86" s="80"/>
      <c r="Y86" s="80"/>
      <c r="Z86" s="80"/>
      <c r="AA86" s="80"/>
      <c r="AB86" s="80"/>
      <c r="AC86" s="80"/>
      <c r="AD86" s="80"/>
      <c r="AE86" s="80"/>
      <c r="AF86" s="80"/>
    </row>
    <row r="87" spans="1:32">
      <c r="A87" s="833"/>
      <c r="B87" s="833"/>
      <c r="C87" s="833"/>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IF(E88=0,"ND",IF(E88&lt;9,"BAJO",IF(E88=8.9,"BAJO",IF(E88=9,"NORMAL",IF(E88&lt;=20,"NORMAL",IF(E88&gt;=20.1,"ALTO"))))))</f>
        <v>ND</v>
      </c>
      <c r="G88" s="141"/>
      <c r="H88" s="1" t="str">
        <f>IF(G88=0,"ND",IF(G88&lt;9,"BAJO",IF(G88=8.9,"BAJO",IF(G88=9,"NORMAL",IF(G88&lt;=20,"NORMAL",IF(G88&gt;=20.1,"ALTO"))))))</f>
        <v>ND</v>
      </c>
      <c r="I88" s="141"/>
      <c r="J88" s="1" t="str">
        <f>IF(I88=0,"ND",IF(I88&lt;9,"BAJO",IF(I88=8.9,"BAJO",IF(I88=9,"NORMAL",IF(I88&lt;=20,"NORMAL",IF(I88&gt;=20.1,"ALTO"))))))</f>
        <v>ND</v>
      </c>
      <c r="K88" s="141"/>
      <c r="L88" s="1" t="str">
        <f>IF(K88=0,"ND",IF(K88&lt;9,"BAJO",IF(K88=8.9,"BAJO",IF(K88=9,"NORMAL",IF(K88&lt;=20,"NORMAL",IF(K88&gt;=20.1,"ALTO"))))))</f>
        <v>ND</v>
      </c>
      <c r="M88" s="141"/>
      <c r="N88" s="1" t="str">
        <f>IF(M88=0,"ND",IF(M88&lt;9,"BAJO",IF(M88=8.9,"BAJO",IF(M88=9,"NORMAL",IF(M88&lt;=20,"NORMAL",IF(M88&gt;=20.1,"ALTO"))))))</f>
        <v>ND</v>
      </c>
      <c r="O88" s="215"/>
      <c r="P88" s="215"/>
      <c r="Q88" s="215"/>
      <c r="R88" s="215"/>
      <c r="S88" s="215"/>
      <c r="T88" s="215"/>
      <c r="U88" s="215"/>
      <c r="V88" s="215"/>
      <c r="W88" s="80"/>
      <c r="X88" s="80"/>
      <c r="Y88" s="80"/>
      <c r="Z88" s="80"/>
      <c r="AA88" s="80"/>
      <c r="AB88" s="80"/>
      <c r="AC88" s="80"/>
      <c r="AD88" s="80"/>
      <c r="AE88" s="80"/>
      <c r="AF88" s="80"/>
    </row>
    <row r="89" spans="1:32">
      <c r="A89" s="831"/>
      <c r="B89" s="831"/>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831"/>
      <c r="B90" s="831"/>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831"/>
      <c r="B91" s="831"/>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831"/>
      <c r="B92" s="831"/>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1</v>
      </c>
      <c r="C96" s="50">
        <f>B96*12</f>
        <v>12</v>
      </c>
      <c r="D96" s="51">
        <f>B96*9</f>
        <v>9</v>
      </c>
      <c r="E96" s="52">
        <f>B96*5</f>
        <v>5</v>
      </c>
      <c r="F96" s="9">
        <f t="shared" ref="F96:F103" si="0">(C96*4)+(D96*4)+(E96*9)</f>
        <v>129</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2</v>
      </c>
      <c r="C97" s="6">
        <v>0</v>
      </c>
      <c r="D97" s="7">
        <f>B97*7</f>
        <v>14</v>
      </c>
      <c r="E97" s="8">
        <f>B97*4</f>
        <v>8</v>
      </c>
      <c r="F97" s="9">
        <f t="shared" si="0"/>
        <v>128</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1</v>
      </c>
      <c r="C98" s="6">
        <f>B98*15</f>
        <v>15</v>
      </c>
      <c r="D98" s="7">
        <f>B98*0</f>
        <v>0</v>
      </c>
      <c r="E98" s="8">
        <f>B98*0</f>
        <v>0</v>
      </c>
      <c r="F98" s="9">
        <f t="shared" si="0"/>
        <v>60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2</v>
      </c>
      <c r="C99" s="6">
        <f>B99*4</f>
        <v>8</v>
      </c>
      <c r="D99" s="7">
        <f>B99*2</f>
        <v>4</v>
      </c>
      <c r="E99" s="8"/>
      <c r="F99" s="9">
        <f t="shared" si="0"/>
        <v>48</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2</v>
      </c>
      <c r="C100" s="6">
        <f>B100*15</f>
        <v>30</v>
      </c>
      <c r="D100" s="7">
        <f>B100*2</f>
        <v>4</v>
      </c>
      <c r="E100" s="8">
        <f>B100*0</f>
        <v>0</v>
      </c>
      <c r="F100" s="9">
        <f t="shared" si="0"/>
        <v>136</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2</v>
      </c>
      <c r="C102" s="6">
        <f>B102*0</f>
        <v>0</v>
      </c>
      <c r="D102" s="7">
        <f>B102*0</f>
        <v>0</v>
      </c>
      <c r="E102" s="8">
        <f>B102*5</f>
        <v>10</v>
      </c>
      <c r="F102" s="9">
        <f t="shared" si="0"/>
        <v>90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1</v>
      </c>
      <c r="C103" s="6">
        <f>B103*10</f>
        <v>10</v>
      </c>
      <c r="D103" s="7">
        <f>B103*0</f>
        <v>0</v>
      </c>
      <c r="E103" s="10">
        <f>B103*0</f>
        <v>0</v>
      </c>
      <c r="F103" s="11">
        <f t="shared" si="0"/>
        <v>40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75</v>
      </c>
      <c r="D104" s="7">
        <f>SUM(D96:D103)</f>
        <v>31</v>
      </c>
      <c r="E104" s="10">
        <f>SUM(E96:E103)</f>
        <v>23</v>
      </c>
      <c r="F104" s="11">
        <f>SUM(F96:F103)</f>
        <v>631</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f>(D106*100)/F104</f>
        <v>47.543581616481774</v>
      </c>
      <c r="C106" s="1">
        <f>C104</f>
        <v>75</v>
      </c>
      <c r="D106" s="1130">
        <f>C106*4</f>
        <v>300</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f>(D107*100)/F104</f>
        <v>19.6513470681458</v>
      </c>
      <c r="C107" s="1">
        <f>D104</f>
        <v>31</v>
      </c>
      <c r="D107" s="1130">
        <f>C107*4</f>
        <v>124</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f>(D108*100)/F104</f>
        <v>32.805071315372423</v>
      </c>
      <c r="C108" s="1">
        <f>E104</f>
        <v>23</v>
      </c>
      <c r="D108" s="1130">
        <f>C108*9</f>
        <v>207</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2</v>
      </c>
      <c r="C112" s="6">
        <v>0</v>
      </c>
      <c r="D112" s="7">
        <f>B112*7</f>
        <v>14</v>
      </c>
      <c r="E112" s="8">
        <f>B112*4</f>
        <v>8</v>
      </c>
      <c r="F112" s="9">
        <f t="shared" si="1"/>
        <v>128</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2</v>
      </c>
      <c r="C113" s="6">
        <f>B113*15</f>
        <v>30</v>
      </c>
      <c r="D113" s="7">
        <f>B113*0</f>
        <v>0</v>
      </c>
      <c r="E113" s="8">
        <f>B113*0</f>
        <v>0</v>
      </c>
      <c r="F113" s="9">
        <f t="shared" si="1"/>
        <v>120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2</v>
      </c>
      <c r="C114" s="6">
        <f>B114*4</f>
        <v>8</v>
      </c>
      <c r="D114" s="7">
        <f>B114*2</f>
        <v>4</v>
      </c>
      <c r="E114" s="8"/>
      <c r="F114" s="9">
        <f t="shared" si="1"/>
        <v>48</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3</v>
      </c>
      <c r="C115" s="6">
        <f>B115*15</f>
        <v>45</v>
      </c>
      <c r="D115" s="7">
        <f>B115*2</f>
        <v>6</v>
      </c>
      <c r="E115" s="8">
        <f>B115*0</f>
        <v>0</v>
      </c>
      <c r="F115" s="9">
        <f t="shared" si="1"/>
        <v>204</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1</v>
      </c>
      <c r="C116" s="6">
        <f>B116*20</f>
        <v>20</v>
      </c>
      <c r="D116" s="7">
        <f>B116*8</f>
        <v>8</v>
      </c>
      <c r="E116" s="8">
        <f>B116*1</f>
        <v>1</v>
      </c>
      <c r="F116" s="9">
        <f t="shared" si="1"/>
        <v>121</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4</v>
      </c>
      <c r="C117" s="6">
        <f>B117*0</f>
        <v>0</v>
      </c>
      <c r="D117" s="7">
        <f>B117*0</f>
        <v>0</v>
      </c>
      <c r="E117" s="8">
        <f>B117*5</f>
        <v>20</v>
      </c>
      <c r="F117" s="9">
        <f t="shared" si="1"/>
        <v>180</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1</v>
      </c>
      <c r="C118" s="6">
        <f>B118*10</f>
        <v>10</v>
      </c>
      <c r="D118" s="7">
        <f>B118*0</f>
        <v>0</v>
      </c>
      <c r="E118" s="10">
        <f>B118*0</f>
        <v>0</v>
      </c>
      <c r="F118" s="11">
        <f t="shared" si="1"/>
        <v>40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113</v>
      </c>
      <c r="D119" s="7">
        <f>SUM(D111:D118)</f>
        <v>32</v>
      </c>
      <c r="E119" s="10">
        <f>SUM(E111:E118)</f>
        <v>29</v>
      </c>
      <c r="F119" s="11">
        <f>SUM(F111:F118)</f>
        <v>841</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f>(D121*100)/F119</f>
        <v>53.74554102259215</v>
      </c>
      <c r="C121" s="1">
        <f>C119</f>
        <v>113</v>
      </c>
      <c r="D121" s="1130">
        <f>C121*4</f>
        <v>452</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f>(D122*100)/F119</f>
        <v>15.219976218787158</v>
      </c>
      <c r="C122" s="1">
        <f>D119</f>
        <v>32</v>
      </c>
      <c r="D122" s="1130">
        <f>C122*4</f>
        <v>128</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f>(D123*100)/F119</f>
        <v>31.03448275862069</v>
      </c>
      <c r="C123" s="1">
        <f>E119</f>
        <v>29</v>
      </c>
      <c r="D123" s="1130">
        <f>C123*9</f>
        <v>261</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1</v>
      </c>
      <c r="C126" s="50">
        <f>B126*12</f>
        <v>12</v>
      </c>
      <c r="D126" s="51">
        <f>B126*9</f>
        <v>9</v>
      </c>
      <c r="E126" s="52">
        <f>B126*5</f>
        <v>5</v>
      </c>
      <c r="F126" s="9">
        <f t="shared" ref="F126:F133" si="2">(C126*4)+(D126*4)+(E126*9)</f>
        <v>129</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0</v>
      </c>
      <c r="C127" s="6">
        <v>0</v>
      </c>
      <c r="D127" s="7">
        <f>B127*7</f>
        <v>0</v>
      </c>
      <c r="E127" s="8">
        <f>B127*4</f>
        <v>0</v>
      </c>
      <c r="F127" s="9">
        <f t="shared" si="2"/>
        <v>0</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1</v>
      </c>
      <c r="C128" s="6">
        <f>B128*15</f>
        <v>15</v>
      </c>
      <c r="D128" s="7">
        <f>B128*0</f>
        <v>0</v>
      </c>
      <c r="E128" s="8">
        <f>B128*0</f>
        <v>0</v>
      </c>
      <c r="F128" s="9">
        <f t="shared" si="2"/>
        <v>60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1</v>
      </c>
      <c r="C129" s="6">
        <f>B129*4</f>
        <v>4</v>
      </c>
      <c r="D129" s="7">
        <f>B129*2</f>
        <v>2</v>
      </c>
      <c r="E129" s="8"/>
      <c r="F129" s="9">
        <f t="shared" si="2"/>
        <v>24</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1</v>
      </c>
      <c r="C130" s="6">
        <f>B130*15</f>
        <v>15</v>
      </c>
      <c r="D130" s="7">
        <f>B130*2</f>
        <v>2</v>
      </c>
      <c r="E130" s="8">
        <f>B130*0</f>
        <v>0</v>
      </c>
      <c r="F130" s="9">
        <f t="shared" si="2"/>
        <v>68</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1</v>
      </c>
      <c r="C132" s="6">
        <f>B132*0</f>
        <v>0</v>
      </c>
      <c r="D132" s="7">
        <f>B132*0</f>
        <v>0</v>
      </c>
      <c r="E132" s="8">
        <f>B132*5</f>
        <v>5</v>
      </c>
      <c r="F132" s="9">
        <f t="shared" si="2"/>
        <v>45</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1</v>
      </c>
      <c r="C133" s="6">
        <f>B133*10</f>
        <v>10</v>
      </c>
      <c r="D133" s="7">
        <f>B133*0</f>
        <v>0</v>
      </c>
      <c r="E133" s="10">
        <f>B133*0</f>
        <v>0</v>
      </c>
      <c r="F133" s="11">
        <f t="shared" si="2"/>
        <v>40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56</v>
      </c>
      <c r="D134" s="7">
        <f>SUM(D126:D133)</f>
        <v>13</v>
      </c>
      <c r="E134" s="10">
        <f>SUM(E126:E133)</f>
        <v>10</v>
      </c>
      <c r="F134" s="11">
        <f>SUM(F126:F133)</f>
        <v>366</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f>(D136*100)/F134</f>
        <v>61.202185792349724</v>
      </c>
      <c r="C136" s="1">
        <f>C134</f>
        <v>56</v>
      </c>
      <c r="D136" s="1130">
        <f>C136*4</f>
        <v>224</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f>(D137*100)/F134</f>
        <v>14.207650273224044</v>
      </c>
      <c r="C137" s="1">
        <f>D134</f>
        <v>13</v>
      </c>
      <c r="D137" s="1130">
        <f>C137*4</f>
        <v>52</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f>(D138*100)/F134</f>
        <v>24.590163934426229</v>
      </c>
      <c r="C138" s="1">
        <f>E134</f>
        <v>10</v>
      </c>
      <c r="D138" s="1130">
        <f>C138*9</f>
        <v>90</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2</v>
      </c>
      <c r="C142" s="50">
        <f>B142*12</f>
        <v>24</v>
      </c>
      <c r="D142" s="51">
        <f>B142*9</f>
        <v>18</v>
      </c>
      <c r="E142" s="52">
        <f>B142*5</f>
        <v>10</v>
      </c>
      <c r="F142" s="9">
        <f t="shared" ref="F142:F149" si="4">(C142*4)+(D142*4)+(E142*9)</f>
        <v>258</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4</v>
      </c>
      <c r="C143" s="6">
        <v>0</v>
      </c>
      <c r="D143" s="7">
        <f>B143*7</f>
        <v>28</v>
      </c>
      <c r="E143" s="8">
        <f>B143*4</f>
        <v>16</v>
      </c>
      <c r="F143" s="9">
        <f t="shared" si="4"/>
        <v>256</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4</v>
      </c>
      <c r="C144" s="6">
        <f>B144*15</f>
        <v>60</v>
      </c>
      <c r="D144" s="7">
        <f>B144*0</f>
        <v>0</v>
      </c>
      <c r="E144" s="8">
        <f>B144*0</f>
        <v>0</v>
      </c>
      <c r="F144" s="9">
        <f t="shared" si="4"/>
        <v>240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5</v>
      </c>
      <c r="C145" s="6">
        <f>B145*4</f>
        <v>20</v>
      </c>
      <c r="D145" s="7">
        <f>B145*2</f>
        <v>10</v>
      </c>
      <c r="E145" s="8"/>
      <c r="F145" s="9">
        <f t="shared" si="4"/>
        <v>120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6</v>
      </c>
      <c r="C146" s="6">
        <f>B146*15</f>
        <v>90</v>
      </c>
      <c r="D146" s="7">
        <f>B146*2</f>
        <v>12</v>
      </c>
      <c r="E146" s="8">
        <f>B146*0</f>
        <v>0</v>
      </c>
      <c r="F146" s="9">
        <f t="shared" si="4"/>
        <v>408</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1</v>
      </c>
      <c r="C147" s="6">
        <f>B147*20</f>
        <v>20</v>
      </c>
      <c r="D147" s="7">
        <f>B147*8</f>
        <v>8</v>
      </c>
      <c r="E147" s="8">
        <f>B147*1</f>
        <v>1</v>
      </c>
      <c r="F147" s="9">
        <f t="shared" si="4"/>
        <v>121</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7</v>
      </c>
      <c r="C148" s="6">
        <f>B148*0</f>
        <v>0</v>
      </c>
      <c r="D148" s="7">
        <f>B148*0</f>
        <v>0</v>
      </c>
      <c r="E148" s="8">
        <f>B148*5</f>
        <v>35</v>
      </c>
      <c r="F148" s="9">
        <f t="shared" si="4"/>
        <v>315</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3</v>
      </c>
      <c r="C149" s="6">
        <f>B149*10</f>
        <v>30</v>
      </c>
      <c r="D149" s="7">
        <f>B149*0</f>
        <v>0</v>
      </c>
      <c r="E149" s="10">
        <f>B149*0</f>
        <v>0</v>
      </c>
      <c r="F149" s="11">
        <f t="shared" si="4"/>
        <v>120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244</v>
      </c>
      <c r="D150" s="7">
        <f>SUM(D142:D149)</f>
        <v>76</v>
      </c>
      <c r="E150" s="10">
        <f>SUM(E142:E149)</f>
        <v>62</v>
      </c>
      <c r="F150" s="11">
        <f>SUM(F142:F149)</f>
        <v>1838</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244</v>
      </c>
      <c r="D152" s="74">
        <f>C152*4</f>
        <v>976</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76</v>
      </c>
      <c r="D153" s="74">
        <f>C153*4</f>
        <v>304</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62</v>
      </c>
      <c r="D154" s="74">
        <f>C154*9</f>
        <v>558</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1838</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IF(J11&lt;=73,"95"*D27,IF(J11&lt;=96,"90"*D27,IF(J11&lt;=120,"78"*D27,IF(J11&lt;=144,2200))))</f>
        <v>3030.5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1666.7750000000001</v>
      </c>
      <c r="F159" s="257">
        <f>E159/4</f>
        <v>416.69375000000002</v>
      </c>
      <c r="G159" s="258">
        <f>(E159*100)/E158</f>
        <v>55</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127.6</v>
      </c>
      <c r="F160" s="257">
        <f>IF(J11&lt;=144,"1.0"*D27)</f>
        <v>31.9</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1236.125</v>
      </c>
      <c r="F161" s="258">
        <f>E161/9</f>
        <v>137.34722222222223</v>
      </c>
      <c r="G161" s="258">
        <f>(E161*100)/E158</f>
        <v>40.789473684210527</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1740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2</v>
      </c>
      <c r="C166" s="22">
        <f>B166*12</f>
        <v>24</v>
      </c>
      <c r="D166" s="27">
        <f>B166*9</f>
        <v>18</v>
      </c>
      <c r="E166" s="23">
        <f>B166*5</f>
        <v>10</v>
      </c>
      <c r="F166" s="150">
        <f t="shared" ref="F166:F173" si="5">(C166*4)+(D166*4)+(E166*9)</f>
        <v>258</v>
      </c>
      <c r="G166" s="24">
        <f t="shared" ref="G166:G173" si="6">B166</f>
        <v>2</v>
      </c>
      <c r="H166" s="148">
        <v>1</v>
      </c>
      <c r="I166" s="148">
        <v>0</v>
      </c>
      <c r="J166" s="148">
        <v>0</v>
      </c>
      <c r="K166" s="148">
        <v>0</v>
      </c>
      <c r="L166" s="149">
        <v>1</v>
      </c>
      <c r="M166" s="4">
        <f t="shared" ref="M166:M175" si="7">SUM(H166:L166)</f>
        <v>2</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4</v>
      </c>
      <c r="C167" s="22">
        <v>0</v>
      </c>
      <c r="D167" s="27">
        <f>B167*7</f>
        <v>28</v>
      </c>
      <c r="E167" s="23">
        <f>B167*4</f>
        <v>16</v>
      </c>
      <c r="F167" s="150">
        <f t="shared" si="5"/>
        <v>256</v>
      </c>
      <c r="G167" s="24">
        <f t="shared" si="6"/>
        <v>4</v>
      </c>
      <c r="H167" s="148">
        <v>1</v>
      </c>
      <c r="I167" s="148">
        <v>0</v>
      </c>
      <c r="J167" s="148">
        <v>2</v>
      </c>
      <c r="K167" s="148">
        <v>0</v>
      </c>
      <c r="L167" s="148">
        <v>1</v>
      </c>
      <c r="M167" s="4">
        <f t="shared" si="7"/>
        <v>4</v>
      </c>
      <c r="N167" s="40" t="str">
        <f>IF(M167&lt;G167, "te falta",IF(M167=G167,"muy bien",IF(M167&gt;G167,"te pasaste")))</f>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5</v>
      </c>
      <c r="C168" s="22">
        <f>B168*15</f>
        <v>75</v>
      </c>
      <c r="D168" s="27">
        <f>B168*0</f>
        <v>0</v>
      </c>
      <c r="E168" s="23">
        <f>B168*0</f>
        <v>0</v>
      </c>
      <c r="F168" s="150">
        <f t="shared" si="5"/>
        <v>300</v>
      </c>
      <c r="G168" s="24">
        <f t="shared" si="6"/>
        <v>5</v>
      </c>
      <c r="H168" s="148">
        <v>1</v>
      </c>
      <c r="I168" s="148">
        <v>1</v>
      </c>
      <c r="J168" s="148">
        <v>1</v>
      </c>
      <c r="K168" s="148">
        <v>1</v>
      </c>
      <c r="L168" s="148">
        <v>1</v>
      </c>
      <c r="M168" s="4">
        <f t="shared" si="7"/>
        <v>5</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7</v>
      </c>
      <c r="C169" s="22">
        <f>B169*4</f>
        <v>28</v>
      </c>
      <c r="D169" s="27">
        <f>B169*2</f>
        <v>14</v>
      </c>
      <c r="E169" s="23"/>
      <c r="F169" s="150">
        <f t="shared" si="5"/>
        <v>168</v>
      </c>
      <c r="G169" s="24">
        <f t="shared" si="6"/>
        <v>7</v>
      </c>
      <c r="H169" s="148">
        <v>2</v>
      </c>
      <c r="I169" s="148">
        <v>1</v>
      </c>
      <c r="J169" s="148">
        <v>2</v>
      </c>
      <c r="K169" s="148">
        <v>1</v>
      </c>
      <c r="L169" s="148">
        <v>1</v>
      </c>
      <c r="M169" s="4">
        <f t="shared" si="7"/>
        <v>7</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6</v>
      </c>
      <c r="C170" s="22">
        <f>B170*15</f>
        <v>90</v>
      </c>
      <c r="D170" s="27">
        <f>B170*2</f>
        <v>12</v>
      </c>
      <c r="E170" s="23">
        <f>B170*0</f>
        <v>0</v>
      </c>
      <c r="F170" s="150">
        <f t="shared" si="5"/>
        <v>408</v>
      </c>
      <c r="G170" s="24">
        <f t="shared" si="6"/>
        <v>6</v>
      </c>
      <c r="H170" s="148">
        <v>1</v>
      </c>
      <c r="I170" s="148">
        <v>1</v>
      </c>
      <c r="J170" s="148">
        <v>2</v>
      </c>
      <c r="K170" s="148">
        <v>1</v>
      </c>
      <c r="L170" s="148">
        <v>1</v>
      </c>
      <c r="M170" s="4">
        <f t="shared" si="7"/>
        <v>6</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1</v>
      </c>
      <c r="C171" s="22">
        <f>B171*20</f>
        <v>20</v>
      </c>
      <c r="D171" s="27">
        <f>B171*8</f>
        <v>8</v>
      </c>
      <c r="E171" s="23">
        <f>B171*1</f>
        <v>1</v>
      </c>
      <c r="F171" s="150">
        <f t="shared" si="5"/>
        <v>121</v>
      </c>
      <c r="G171" s="24">
        <f t="shared" si="6"/>
        <v>1</v>
      </c>
      <c r="H171" s="148">
        <v>0</v>
      </c>
      <c r="I171" s="148">
        <v>0</v>
      </c>
      <c r="J171" s="148">
        <v>1</v>
      </c>
      <c r="K171" s="148">
        <v>0</v>
      </c>
      <c r="L171" s="148">
        <v>0</v>
      </c>
      <c r="M171" s="4">
        <f t="shared" si="7"/>
        <v>1</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3</v>
      </c>
      <c r="C172" s="22">
        <f>B172*0</f>
        <v>0</v>
      </c>
      <c r="D172" s="27">
        <f>B172*0</f>
        <v>0</v>
      </c>
      <c r="E172" s="23">
        <f>B172*5</f>
        <v>15</v>
      </c>
      <c r="F172" s="150">
        <f t="shared" si="5"/>
        <v>135</v>
      </c>
      <c r="G172" s="24">
        <f t="shared" si="6"/>
        <v>3</v>
      </c>
      <c r="H172" s="148">
        <v>1</v>
      </c>
      <c r="I172" s="148">
        <v>0</v>
      </c>
      <c r="J172" s="148">
        <v>1</v>
      </c>
      <c r="K172" s="148">
        <v>0</v>
      </c>
      <c r="L172" s="148">
        <v>1</v>
      </c>
      <c r="M172" s="4">
        <f t="shared" si="7"/>
        <v>3</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3</v>
      </c>
      <c r="C173" s="22">
        <f>B173*10</f>
        <v>30</v>
      </c>
      <c r="D173" s="27">
        <f>B173*0</f>
        <v>0</v>
      </c>
      <c r="E173" s="23">
        <f>B173*0</f>
        <v>0</v>
      </c>
      <c r="F173" s="152">
        <f t="shared" si="5"/>
        <v>120</v>
      </c>
      <c r="G173" s="24">
        <f t="shared" si="6"/>
        <v>3</v>
      </c>
      <c r="H173" s="148">
        <v>1</v>
      </c>
      <c r="I173" s="148">
        <v>0</v>
      </c>
      <c r="J173" s="148">
        <v>1</v>
      </c>
      <c r="K173" s="148">
        <v>0</v>
      </c>
      <c r="L173" s="148">
        <v>1</v>
      </c>
      <c r="M173" s="4">
        <f t="shared" si="7"/>
        <v>3</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267</v>
      </c>
      <c r="D174" s="154">
        <f>SUM(D166:D173)</f>
        <v>80</v>
      </c>
      <c r="E174" s="155">
        <f>SUM(E166:E173)</f>
        <v>42</v>
      </c>
      <c r="F174" s="151">
        <f>SUM(F166:F173)</f>
        <v>1766</v>
      </c>
      <c r="G174" s="4"/>
      <c r="H174" s="4">
        <f>($H$166*129)+($H$167*64)+($H$168*60)+($H$169*24)+($H$170*68)+($H$171*121)+($H$172*45)+($H$173*40)</f>
        <v>454</v>
      </c>
      <c r="I174" s="4">
        <f>(I166*129)+(I167*64)+(I168*60)+(I169*24)+(I170*68)+(I171*121)+(I172*45)+(I173*40)</f>
        <v>152</v>
      </c>
      <c r="J174" s="4">
        <f>(J166*129)+(J167*64)+(J168*60)+(J169*24)+(J170*68)+(J171*121)+(J172*45)+(J173*40)</f>
        <v>578</v>
      </c>
      <c r="K174" s="4">
        <f>(K166*129)+(K167*64)+(K168*60)+(K169*24)+(K170*68)+(K171*121)+(K172*45)+(K173*40)</f>
        <v>152</v>
      </c>
      <c r="L174" s="4">
        <f>(L166*129)+(L167*64)+(L168*60)+(L169*24)+(L170*68)+(L171*121)+(L172*45)+(L173*40)</f>
        <v>430</v>
      </c>
      <c r="M174" s="24">
        <f t="shared" si="7"/>
        <v>1766</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f>(H174*100)/F174</f>
        <v>25.707814269535675</v>
      </c>
      <c r="I175" s="4">
        <f>(I174*100)/F174</f>
        <v>8.6070215175537932</v>
      </c>
      <c r="J175" s="4">
        <f>(J174*100)/F174</f>
        <v>32.729331823329559</v>
      </c>
      <c r="K175" s="4">
        <f>(K174*100)/F174</f>
        <v>8.6070215175537932</v>
      </c>
      <c r="L175" s="4">
        <f>(L174*100)/F174</f>
        <v>24.34881087202718</v>
      </c>
      <c r="M175" s="24">
        <f t="shared" si="7"/>
        <v>100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f>(C177*100)/F174</f>
        <v>60.475651189127973</v>
      </c>
      <c r="C177" s="19">
        <f>D177*4</f>
        <v>1068</v>
      </c>
      <c r="D177" s="156">
        <f>C174</f>
        <v>267</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f>(C178*100)/F174</f>
        <v>18.120045300113251</v>
      </c>
      <c r="C178" s="19">
        <f>D178*4</f>
        <v>320</v>
      </c>
      <c r="D178" s="156">
        <f>D174</f>
        <v>80</v>
      </c>
      <c r="E178" s="28" t="s">
        <v>68</v>
      </c>
      <c r="F178" s="28">
        <f>D166+D167</f>
        <v>46</v>
      </c>
      <c r="G178" s="477" t="s">
        <v>69</v>
      </c>
      <c r="H178" s="29">
        <f>(F178*100)/D174</f>
        <v>57.5</v>
      </c>
      <c r="I178" s="11" t="s">
        <v>52</v>
      </c>
      <c r="J178" s="138" t="s">
        <v>70</v>
      </c>
      <c r="K178" s="29">
        <f>D169+D170+D171</f>
        <v>34</v>
      </c>
      <c r="L178" s="11" t="s">
        <v>69</v>
      </c>
      <c r="M178" s="30">
        <f>(K178*100)/D174</f>
        <v>42.5</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f>(C179*100)/F174</f>
        <v>21.404303510758776</v>
      </c>
      <c r="C179" s="19">
        <f>D179*9</f>
        <v>378</v>
      </c>
      <c r="D179" s="156">
        <f>E174</f>
        <v>42</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2.5078369905956115</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836"/>
      <c r="B182" s="837"/>
      <c r="C182" s="837"/>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t="str">
        <f>B4</f>
        <v>MENDOZA RIVAS GRECIA</v>
      </c>
      <c r="C186" s="1088"/>
      <c r="D186" s="1088"/>
      <c r="E186" s="1088"/>
      <c r="F186" s="1088"/>
      <c r="G186" s="1088"/>
      <c r="H186" s="173" t="s">
        <v>4</v>
      </c>
      <c r="I186" s="174">
        <f>D11</f>
        <v>10</v>
      </c>
      <c r="J186" s="175" t="s">
        <v>72</v>
      </c>
      <c r="K186" s="176"/>
      <c r="L186" s="177" t="s">
        <v>291</v>
      </c>
      <c r="M186" s="1223">
        <f>M4</f>
        <v>0</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41501</v>
      </c>
      <c r="C187" s="1090"/>
      <c r="D187" s="839"/>
      <c r="E187" s="839" t="s">
        <v>4</v>
      </c>
      <c r="F187" s="178">
        <f>D11</f>
        <v>10</v>
      </c>
      <c r="G187" s="839" t="s">
        <v>72</v>
      </c>
      <c r="H187" s="179"/>
      <c r="I187" s="180" t="s">
        <v>73</v>
      </c>
      <c r="J187" s="175" t="s">
        <v>208</v>
      </c>
      <c r="K187" s="1229" t="s">
        <v>74</v>
      </c>
      <c r="L187" s="1229"/>
      <c r="M187" s="181">
        <f>D12</f>
        <v>38</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133</v>
      </c>
      <c r="D188" s="175" t="s">
        <v>432</v>
      </c>
      <c r="E188" s="1111" t="s">
        <v>433</v>
      </c>
      <c r="F188" s="1111"/>
      <c r="G188" s="180">
        <f>D27</f>
        <v>31.9</v>
      </c>
      <c r="H188" s="175" t="s">
        <v>75</v>
      </c>
      <c r="I188" s="1111" t="s">
        <v>13</v>
      </c>
      <c r="J188" s="1111"/>
      <c r="K188" s="183">
        <f>D14</f>
        <v>21.482277121374864</v>
      </c>
      <c r="L188" s="845" t="s">
        <v>434</v>
      </c>
      <c r="M188" s="845"/>
      <c r="N188" s="271">
        <f>D28</f>
        <v>138.6</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c r="D189" s="1114"/>
      <c r="E189" s="1114"/>
      <c r="F189" s="1114"/>
      <c r="G189" s="1114"/>
      <c r="H189" s="1114"/>
      <c r="I189" s="1115" t="s">
        <v>79</v>
      </c>
      <c r="J189" s="1115"/>
      <c r="K189" s="1115"/>
      <c r="L189" s="180">
        <f>M174</f>
        <v>1766</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1</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1</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1</v>
      </c>
      <c r="D193" s="186" t="s">
        <v>59</v>
      </c>
      <c r="E193" s="185">
        <f t="shared" si="10"/>
        <v>0</v>
      </c>
      <c r="F193" s="187" t="s">
        <v>59</v>
      </c>
      <c r="G193" s="185">
        <f t="shared" si="11"/>
        <v>2</v>
      </c>
      <c r="H193" s="187" t="s">
        <v>59</v>
      </c>
      <c r="I193" s="185">
        <f t="shared" si="12"/>
        <v>0</v>
      </c>
      <c r="J193" s="1107" t="s">
        <v>59</v>
      </c>
      <c r="K193" s="1107"/>
      <c r="L193" s="185">
        <f t="shared" si="13"/>
        <v>1</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1</v>
      </c>
      <c r="D194" s="186" t="s">
        <v>59</v>
      </c>
      <c r="E194" s="185">
        <f t="shared" si="10"/>
        <v>1</v>
      </c>
      <c r="F194" s="187" t="s">
        <v>59</v>
      </c>
      <c r="G194" s="185">
        <f t="shared" si="11"/>
        <v>1</v>
      </c>
      <c r="H194" s="187" t="s">
        <v>59</v>
      </c>
      <c r="I194" s="185">
        <f t="shared" si="12"/>
        <v>1</v>
      </c>
      <c r="J194" s="1107" t="s">
        <v>59</v>
      </c>
      <c r="K194" s="1107"/>
      <c r="L194" s="185">
        <f t="shared" si="13"/>
        <v>1</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838" t="s">
        <v>90</v>
      </c>
      <c r="B195" s="838"/>
      <c r="C195" s="185">
        <f t="shared" si="9"/>
        <v>2</v>
      </c>
      <c r="D195" s="186" t="s">
        <v>59</v>
      </c>
      <c r="E195" s="185">
        <f t="shared" si="10"/>
        <v>1</v>
      </c>
      <c r="F195" s="187" t="s">
        <v>59</v>
      </c>
      <c r="G195" s="185">
        <f t="shared" si="11"/>
        <v>2</v>
      </c>
      <c r="H195" s="187" t="s">
        <v>59</v>
      </c>
      <c r="I195" s="185">
        <f t="shared" si="12"/>
        <v>1</v>
      </c>
      <c r="J195" s="1107" t="s">
        <v>59</v>
      </c>
      <c r="K195" s="1107"/>
      <c r="L195" s="185">
        <f t="shared" si="13"/>
        <v>1</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1</v>
      </c>
      <c r="D196" s="186" t="s">
        <v>59</v>
      </c>
      <c r="E196" s="185">
        <f t="shared" si="10"/>
        <v>1</v>
      </c>
      <c r="F196" s="187" t="s">
        <v>59</v>
      </c>
      <c r="G196" s="185">
        <f t="shared" si="11"/>
        <v>2</v>
      </c>
      <c r="H196" s="187" t="s">
        <v>59</v>
      </c>
      <c r="I196" s="185">
        <f t="shared" si="12"/>
        <v>1</v>
      </c>
      <c r="J196" s="1107" t="s">
        <v>59</v>
      </c>
      <c r="K196" s="1107"/>
      <c r="L196" s="185">
        <f t="shared" si="13"/>
        <v>1</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1</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1</v>
      </c>
      <c r="D198" s="186" t="s">
        <v>59</v>
      </c>
      <c r="E198" s="188">
        <f t="shared" si="10"/>
        <v>0</v>
      </c>
      <c r="F198" s="189" t="s">
        <v>59</v>
      </c>
      <c r="G198" s="185">
        <f t="shared" si="11"/>
        <v>1</v>
      </c>
      <c r="H198" s="187" t="s">
        <v>59</v>
      </c>
      <c r="I198" s="185">
        <f t="shared" si="12"/>
        <v>0</v>
      </c>
      <c r="J198" s="1107" t="s">
        <v>59</v>
      </c>
      <c r="K198" s="1107"/>
      <c r="L198" s="185">
        <f t="shared" si="13"/>
        <v>1</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1</v>
      </c>
      <c r="D199" s="191" t="s">
        <v>59</v>
      </c>
      <c r="E199" s="185">
        <f t="shared" si="10"/>
        <v>0</v>
      </c>
      <c r="F199" s="187" t="s">
        <v>59</v>
      </c>
      <c r="G199" s="190">
        <f t="shared" si="11"/>
        <v>1</v>
      </c>
      <c r="H199" s="192" t="s">
        <v>59</v>
      </c>
      <c r="I199" s="190">
        <f t="shared" si="12"/>
        <v>0</v>
      </c>
      <c r="J199" s="1106" t="s">
        <v>59</v>
      </c>
      <c r="K199" s="1106"/>
      <c r="L199" s="190">
        <f t="shared" si="13"/>
        <v>1</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848"/>
      <c r="I201" s="1215" t="s">
        <v>254</v>
      </c>
      <c r="J201" s="1215"/>
      <c r="K201" s="848"/>
      <c r="L201" s="175"/>
      <c r="M201" s="847"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846"/>
      <c r="I202" s="846" t="s">
        <v>256</v>
      </c>
      <c r="J202" s="846"/>
      <c r="K202" s="846"/>
      <c r="L202" s="175"/>
      <c r="M202" s="847"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846" t="s">
        <v>242</v>
      </c>
      <c r="F203" s="175"/>
      <c r="G203" s="848"/>
      <c r="H203" s="846"/>
      <c r="I203" s="846" t="s">
        <v>258</v>
      </c>
      <c r="J203" s="846"/>
      <c r="K203" s="846"/>
      <c r="L203" s="848"/>
      <c r="M203" s="847"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848"/>
      <c r="H204" s="846"/>
      <c r="I204" s="846" t="s">
        <v>260</v>
      </c>
      <c r="J204" s="846"/>
      <c r="K204" s="846"/>
      <c r="L204" s="848"/>
      <c r="M204" s="847"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846"/>
      <c r="I205" s="846" t="s">
        <v>261</v>
      </c>
      <c r="J205" s="846"/>
      <c r="K205" s="846"/>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848"/>
      <c r="H206" s="846"/>
      <c r="I206" s="846" t="s">
        <v>262</v>
      </c>
      <c r="J206" s="846"/>
      <c r="K206" s="846"/>
      <c r="L206" s="848"/>
      <c r="M206" s="847" t="s">
        <v>263</v>
      </c>
      <c r="N206" s="835"/>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847"/>
      <c r="G207" s="848"/>
      <c r="H207" s="846"/>
      <c r="I207" s="846" t="s">
        <v>264</v>
      </c>
      <c r="J207" s="846"/>
      <c r="K207" s="846"/>
      <c r="L207" s="848"/>
      <c r="M207" s="847"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847"/>
      <c r="G208" s="848"/>
      <c r="H208" s="846"/>
      <c r="I208" s="846" t="s">
        <v>265</v>
      </c>
      <c r="J208" s="846"/>
      <c r="K208" s="846"/>
      <c r="L208" s="848"/>
      <c r="M208" s="847"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847"/>
      <c r="G209" s="175"/>
      <c r="H209" s="846"/>
      <c r="I209" s="846" t="s">
        <v>266</v>
      </c>
      <c r="J209" s="846"/>
      <c r="K209" s="846"/>
      <c r="L209" s="175"/>
      <c r="M209" s="847"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847"/>
      <c r="G210" s="175"/>
      <c r="H210" s="846"/>
      <c r="I210" s="846" t="s">
        <v>267</v>
      </c>
      <c r="J210" s="846"/>
      <c r="K210" s="846"/>
      <c r="L210" s="175"/>
      <c r="M210" s="847"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847"/>
      <c r="G211" s="175"/>
      <c r="H211" s="846"/>
      <c r="I211" s="846" t="s">
        <v>269</v>
      </c>
      <c r="J211" s="846"/>
      <c r="K211" s="846"/>
      <c r="L211" s="175"/>
      <c r="M211" s="847"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847"/>
      <c r="G212" s="175"/>
      <c r="H212" s="846"/>
      <c r="I212" s="846" t="s">
        <v>272</v>
      </c>
      <c r="J212" s="846"/>
      <c r="K212" s="846"/>
      <c r="L212" s="175"/>
      <c r="M212" s="847"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846"/>
      <c r="I213" s="846" t="s">
        <v>273</v>
      </c>
      <c r="J213" s="846"/>
      <c r="K213" s="846"/>
      <c r="L213" s="175"/>
      <c r="M213" s="847"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846"/>
      <c r="I214" s="846" t="s">
        <v>275</v>
      </c>
      <c r="J214" s="846"/>
      <c r="K214" s="846"/>
      <c r="L214" s="175"/>
      <c r="M214" s="847"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846"/>
      <c r="I215" s="846" t="s">
        <v>276</v>
      </c>
      <c r="J215" s="846"/>
      <c r="K215" s="846"/>
      <c r="L215" s="175"/>
      <c r="M215" s="847"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846"/>
      <c r="I216" s="846" t="s">
        <v>278</v>
      </c>
      <c r="J216" s="846"/>
      <c r="K216" s="846"/>
      <c r="L216" s="175"/>
      <c r="M216" s="847"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846"/>
      <c r="I217" s="846" t="s">
        <v>279</v>
      </c>
      <c r="J217" s="846"/>
      <c r="K217" s="846"/>
      <c r="L217" s="175"/>
      <c r="M217" s="847"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846"/>
      <c r="I218" s="846" t="s">
        <v>280</v>
      </c>
      <c r="J218" s="846"/>
      <c r="K218" s="846"/>
      <c r="L218" s="175"/>
      <c r="M218" s="847"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847" t="s">
        <v>247</v>
      </c>
      <c r="F219" s="847"/>
      <c r="G219" s="847"/>
      <c r="H219" s="846"/>
      <c r="I219" s="846" t="s">
        <v>281</v>
      </c>
      <c r="J219" s="846"/>
      <c r="K219" s="846"/>
      <c r="L219" s="175"/>
      <c r="M219" s="847"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847"/>
      <c r="H220" s="846"/>
      <c r="I220" s="846" t="s">
        <v>282</v>
      </c>
      <c r="J220" s="846"/>
      <c r="K220" s="846"/>
      <c r="L220" s="175"/>
      <c r="M220" s="847"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847"/>
      <c r="H221" s="846"/>
      <c r="I221" s="846" t="s">
        <v>283</v>
      </c>
      <c r="J221" s="846"/>
      <c r="K221" s="846"/>
      <c r="L221" s="175"/>
      <c r="M221" s="847"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847"/>
      <c r="H222" s="846"/>
      <c r="I222" s="846" t="s">
        <v>284</v>
      </c>
      <c r="J222" s="846"/>
      <c r="K222" s="846"/>
      <c r="L222" s="175"/>
      <c r="M222" s="847"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847"/>
      <c r="H223" s="846"/>
      <c r="I223" s="846" t="s">
        <v>285</v>
      </c>
      <c r="J223" s="846"/>
      <c r="K223" s="846"/>
      <c r="L223" s="175"/>
      <c r="M223" s="847"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847"/>
      <c r="H224" s="846"/>
      <c r="I224" s="846" t="s">
        <v>286</v>
      </c>
      <c r="J224" s="846"/>
      <c r="K224" s="846"/>
      <c r="L224" s="175"/>
      <c r="M224" s="847"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847"/>
      <c r="H225" s="846"/>
      <c r="I225" s="846" t="s">
        <v>287</v>
      </c>
      <c r="J225" s="846"/>
      <c r="K225" s="846"/>
      <c r="L225" s="175"/>
      <c r="M225" s="847"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847"/>
      <c r="H226" s="846"/>
      <c r="I226" s="846" t="s">
        <v>288</v>
      </c>
      <c r="J226" s="846"/>
      <c r="K226" s="846"/>
      <c r="L226" s="175"/>
      <c r="M226" s="847"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847"/>
      <c r="H227" s="846"/>
      <c r="I227" s="846" t="s">
        <v>289</v>
      </c>
      <c r="J227" s="846"/>
      <c r="K227" s="846"/>
      <c r="L227" s="175"/>
      <c r="M227" s="847"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847"/>
      <c r="H228" s="846"/>
      <c r="I228" s="1215" t="s">
        <v>290</v>
      </c>
      <c r="J228" s="1215"/>
      <c r="K228" s="1215"/>
      <c r="L228" s="175"/>
      <c r="M228" s="847"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847"/>
      <c r="H229" s="846"/>
      <c r="I229" s="1215"/>
      <c r="J229" s="1215"/>
      <c r="K229" s="1215"/>
      <c r="L229" s="175"/>
      <c r="M229" s="846"/>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847"/>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847"/>
      <c r="H231" s="175"/>
      <c r="I231" s="175" t="s">
        <v>105</v>
      </c>
      <c r="J231" s="175"/>
      <c r="K231" s="175"/>
      <c r="L231" s="175"/>
      <c r="M231" s="201">
        <v>0.5</v>
      </c>
      <c r="N231" s="847"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847"/>
      <c r="H232" s="175"/>
      <c r="I232" s="175" t="s">
        <v>107</v>
      </c>
      <c r="J232" s="175"/>
      <c r="K232" s="175"/>
      <c r="L232" s="175"/>
      <c r="M232" s="200">
        <v>1</v>
      </c>
      <c r="N232" s="847"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847"/>
      <c r="H233" s="175"/>
      <c r="I233" s="175" t="s">
        <v>109</v>
      </c>
      <c r="J233" s="175"/>
      <c r="K233" s="175"/>
      <c r="L233" s="175"/>
      <c r="M233" s="200">
        <v>1</v>
      </c>
      <c r="N233" s="847"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847"/>
      <c r="H234" s="175"/>
      <c r="I234" s="175" t="s">
        <v>111</v>
      </c>
      <c r="J234" s="175"/>
      <c r="K234" s="175"/>
      <c r="L234" s="175"/>
      <c r="M234" s="200"/>
      <c r="N234" s="847"/>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847"/>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847" t="s">
        <v>248</v>
      </c>
      <c r="F236" s="847"/>
      <c r="G236" s="847"/>
      <c r="H236" s="175"/>
      <c r="I236" s="175" t="s">
        <v>115</v>
      </c>
      <c r="J236" s="205" t="s">
        <v>251</v>
      </c>
      <c r="K236" s="205"/>
      <c r="L236" s="175"/>
      <c r="M236" s="201">
        <v>0.33333333333333331</v>
      </c>
      <c r="N236" s="847"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847"/>
      <c r="H237" s="175"/>
      <c r="I237" s="175" t="s">
        <v>116</v>
      </c>
      <c r="J237" s="175"/>
      <c r="K237" s="175"/>
      <c r="L237" s="175"/>
      <c r="M237" s="200">
        <v>5</v>
      </c>
      <c r="N237" s="847"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847"/>
      <c r="H238" s="175"/>
      <c r="I238" s="175" t="s">
        <v>118</v>
      </c>
      <c r="J238" s="175"/>
      <c r="K238" s="175"/>
      <c r="L238" s="175"/>
      <c r="M238" s="201">
        <v>0.75</v>
      </c>
      <c r="N238" s="847"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847"/>
      <c r="H239" s="175"/>
      <c r="I239" s="175" t="s">
        <v>120</v>
      </c>
      <c r="J239" s="175"/>
      <c r="K239" s="175"/>
      <c r="L239" s="175"/>
      <c r="M239" s="200">
        <v>5</v>
      </c>
      <c r="N239" s="847"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847"/>
      <c r="H240" s="175"/>
      <c r="I240" s="175" t="s">
        <v>122</v>
      </c>
      <c r="J240" s="175"/>
      <c r="K240" s="175"/>
      <c r="L240" s="175"/>
      <c r="M240" s="200">
        <v>1</v>
      </c>
      <c r="N240" s="847"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847"/>
      <c r="H241" s="175"/>
      <c r="I241" s="175" t="s">
        <v>124</v>
      </c>
      <c r="J241" s="175"/>
      <c r="K241" s="175"/>
      <c r="L241" s="175"/>
      <c r="M241" s="200">
        <v>6</v>
      </c>
      <c r="N241" s="847"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847"/>
      <c r="H242" s="175"/>
      <c r="I242" s="175" t="s">
        <v>126</v>
      </c>
      <c r="J242" s="1217" t="s">
        <v>252</v>
      </c>
      <c r="K242" s="1217"/>
      <c r="L242" s="175"/>
      <c r="M242" s="201">
        <v>0.5</v>
      </c>
      <c r="N242" s="847"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847"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847"/>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847"/>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847" t="s">
        <v>248</v>
      </c>
      <c r="G246" s="195"/>
      <c r="H246" s="175"/>
      <c r="I246" s="299" t="s">
        <v>458</v>
      </c>
      <c r="J246" s="299"/>
      <c r="K246" s="299"/>
      <c r="L246" s="299"/>
      <c r="M246" s="198">
        <v>2</v>
      </c>
      <c r="N246" s="847"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847" t="s">
        <v>248</v>
      </c>
      <c r="G247" s="195"/>
      <c r="H247" s="175"/>
      <c r="I247" s="299" t="s">
        <v>460</v>
      </c>
      <c r="J247" s="299"/>
      <c r="K247" s="299"/>
      <c r="L247" s="299"/>
      <c r="M247" s="198">
        <v>15</v>
      </c>
      <c r="N247" s="847"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847" t="s">
        <v>248</v>
      </c>
      <c r="G248" s="195"/>
      <c r="H248" s="175"/>
      <c r="I248" s="299" t="s">
        <v>461</v>
      </c>
      <c r="J248" s="299"/>
      <c r="K248" s="299"/>
      <c r="L248" s="299"/>
      <c r="M248" s="198">
        <v>2</v>
      </c>
      <c r="N248" s="847"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847" t="s">
        <v>248</v>
      </c>
      <c r="G249" s="195"/>
      <c r="H249" s="175"/>
      <c r="I249" s="299" t="s">
        <v>462</v>
      </c>
      <c r="J249" s="299"/>
      <c r="K249" s="299"/>
      <c r="L249" s="299"/>
      <c r="M249" s="300">
        <v>8</v>
      </c>
      <c r="N249" s="847"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847" t="s">
        <v>248</v>
      </c>
      <c r="G250" s="195"/>
      <c r="H250" s="175"/>
      <c r="I250" s="299" t="s">
        <v>463</v>
      </c>
      <c r="J250" s="299"/>
      <c r="K250" s="299"/>
      <c r="L250" s="299"/>
      <c r="M250" s="198">
        <v>2</v>
      </c>
      <c r="N250" s="847"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847" t="s">
        <v>235</v>
      </c>
      <c r="G251" s="195"/>
      <c r="H251" s="175"/>
      <c r="I251" s="1226" t="s">
        <v>464</v>
      </c>
      <c r="J251" s="1226"/>
      <c r="K251" s="1226"/>
      <c r="L251" s="1226"/>
      <c r="M251" s="198">
        <v>2</v>
      </c>
      <c r="N251" s="849"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847"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847"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t="str">
        <f>B4</f>
        <v>MENDOZA RIVAS GRECIA</v>
      </c>
      <c r="C280" s="1088"/>
      <c r="D280" s="1088"/>
      <c r="E280" s="1088"/>
      <c r="F280" s="1088"/>
      <c r="G280" s="1088"/>
      <c r="H280" s="173" t="s">
        <v>396</v>
      </c>
      <c r="I280" s="1221">
        <f>B5</f>
        <v>41501</v>
      </c>
      <c r="J280" s="1222"/>
      <c r="K280" s="176"/>
      <c r="L280" s="177" t="s">
        <v>291</v>
      </c>
      <c r="M280" s="1223">
        <f>M4</f>
        <v>0</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10</v>
      </c>
      <c r="C282" s="175" t="s">
        <v>72</v>
      </c>
      <c r="D282" s="1224" t="s">
        <v>323</v>
      </c>
      <c r="E282" s="1224"/>
      <c r="F282" s="1225" t="s">
        <v>397</v>
      </c>
      <c r="G282" s="1225"/>
      <c r="H282" s="175"/>
      <c r="I282" s="1224" t="s">
        <v>328</v>
      </c>
      <c r="J282" s="1224"/>
      <c r="K282" s="1217" t="s">
        <v>470</v>
      </c>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849">
        <v>3</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849">
        <f>C37</f>
        <v>0</v>
      </c>
      <c r="D291" s="175" t="s">
        <v>349</v>
      </c>
      <c r="E291" s="175"/>
      <c r="F291" s="175"/>
      <c r="G291" s="847">
        <f>G37</f>
        <v>0</v>
      </c>
      <c r="H291" s="175" t="s">
        <v>354</v>
      </c>
      <c r="I291" s="175"/>
      <c r="J291" s="849">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849">
        <f>C38</f>
        <v>0</v>
      </c>
      <c r="D292" s="175" t="s">
        <v>350</v>
      </c>
      <c r="E292" s="175"/>
      <c r="F292" s="175"/>
      <c r="G292" s="847">
        <f>G38</f>
        <v>0</v>
      </c>
      <c r="H292" s="175" t="s">
        <v>355</v>
      </c>
      <c r="I292" s="175"/>
      <c r="J292" s="849">
        <f>J38</f>
        <v>0</v>
      </c>
      <c r="K292" s="175"/>
      <c r="L292" s="175" t="s">
        <v>359</v>
      </c>
      <c r="M292" s="175"/>
      <c r="N292" s="847">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849" t="str">
        <f>C39</f>
        <v>X</v>
      </c>
      <c r="D293" s="175" t="s">
        <v>351</v>
      </c>
      <c r="E293" s="175"/>
      <c r="F293" s="175"/>
      <c r="G293" s="847">
        <f>G39</f>
        <v>0</v>
      </c>
      <c r="H293" s="175" t="s">
        <v>356</v>
      </c>
      <c r="I293" s="175"/>
      <c r="J293" s="849">
        <f>J39</f>
        <v>0</v>
      </c>
      <c r="K293" s="175"/>
      <c r="L293" s="1216" t="s">
        <v>360</v>
      </c>
      <c r="M293" s="1216"/>
      <c r="N293" s="846" t="str">
        <f>N39</f>
        <v>x</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849">
        <f>C40</f>
        <v>0</v>
      </c>
      <c r="D294" s="175" t="s">
        <v>352</v>
      </c>
      <c r="E294" s="175"/>
      <c r="F294" s="175"/>
      <c r="G294" s="847">
        <f>G40</f>
        <v>0</v>
      </c>
      <c r="H294" s="175"/>
      <c r="I294" s="175"/>
      <c r="J294" s="175"/>
      <c r="K294" s="175"/>
      <c r="L294" s="1215" t="s">
        <v>362</v>
      </c>
      <c r="M294" s="1215"/>
      <c r="N294" s="846">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2</v>
      </c>
      <c r="D298" s="106">
        <f>B96</f>
        <v>1</v>
      </c>
      <c r="E298" s="106">
        <f>B98</f>
        <v>1</v>
      </c>
      <c r="F298" s="106">
        <f>B99</f>
        <v>2</v>
      </c>
      <c r="G298" s="106">
        <f>B100</f>
        <v>2</v>
      </c>
      <c r="H298" s="106">
        <f>B101</f>
        <v>0</v>
      </c>
      <c r="I298" s="106">
        <f>B103</f>
        <v>1</v>
      </c>
      <c r="J298" s="106">
        <f>B102</f>
        <v>2</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2</v>
      </c>
      <c r="D299" s="106">
        <f>B111</f>
        <v>0</v>
      </c>
      <c r="E299" s="106">
        <f>B113</f>
        <v>2</v>
      </c>
      <c r="F299" s="106">
        <f>B114</f>
        <v>2</v>
      </c>
      <c r="G299" s="106">
        <f>B115</f>
        <v>3</v>
      </c>
      <c r="H299" s="106">
        <f>B116</f>
        <v>1</v>
      </c>
      <c r="I299" s="106">
        <f>B118</f>
        <v>1</v>
      </c>
      <c r="J299" s="106">
        <f>B117</f>
        <v>4</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0</v>
      </c>
      <c r="D300" s="106">
        <f>B126</f>
        <v>1</v>
      </c>
      <c r="E300" s="106">
        <f>B128</f>
        <v>1</v>
      </c>
      <c r="F300" s="106">
        <f>B129</f>
        <v>1</v>
      </c>
      <c r="G300" s="106">
        <f>B130</f>
        <v>1</v>
      </c>
      <c r="H300" s="106">
        <f>B131</f>
        <v>0</v>
      </c>
      <c r="I300" s="106">
        <f>B133</f>
        <v>1</v>
      </c>
      <c r="J300" s="106">
        <f>B132</f>
        <v>1</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4</v>
      </c>
      <c r="D302" s="106">
        <f t="shared" ref="D302:J302" si="14">SUM(D298:D301)</f>
        <v>2</v>
      </c>
      <c r="E302" s="106">
        <f t="shared" si="14"/>
        <v>4</v>
      </c>
      <c r="F302" s="106">
        <f t="shared" si="14"/>
        <v>5</v>
      </c>
      <c r="G302" s="106">
        <f t="shared" si="14"/>
        <v>6</v>
      </c>
      <c r="H302" s="106">
        <f t="shared" si="14"/>
        <v>1</v>
      </c>
      <c r="I302" s="106">
        <f t="shared" si="14"/>
        <v>3</v>
      </c>
      <c r="J302" s="106">
        <f t="shared" si="14"/>
        <v>7</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852"/>
      <c r="H304" s="1077" t="s">
        <v>378</v>
      </c>
      <c r="I304" s="1077"/>
      <c r="J304" s="852"/>
      <c r="K304" s="1077" t="s">
        <v>377</v>
      </c>
      <c r="L304" s="1077"/>
      <c r="M304" s="1077"/>
      <c r="N304" s="852"/>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244</v>
      </c>
      <c r="F305" s="86"/>
      <c r="G305" s="86"/>
      <c r="H305" s="89">
        <f>B152</f>
        <v>54</v>
      </c>
      <c r="I305" s="86"/>
      <c r="J305" s="86"/>
      <c r="K305" s="1060">
        <f>D152</f>
        <v>976</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76</v>
      </c>
      <c r="F306" s="87"/>
      <c r="G306" s="87"/>
      <c r="H306" s="90">
        <f>B153</f>
        <v>18</v>
      </c>
      <c r="I306" s="87"/>
      <c r="J306" s="87"/>
      <c r="K306" s="1072">
        <f>D153</f>
        <v>304</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62</v>
      </c>
      <c r="F307" s="87"/>
      <c r="G307" s="87"/>
      <c r="H307" s="90">
        <f>B154</f>
        <v>28</v>
      </c>
      <c r="I307" s="87"/>
      <c r="J307" s="87"/>
      <c r="K307" s="1072">
        <f>D154</f>
        <v>558</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1838</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835"/>
      <c r="B310" s="835"/>
      <c r="C310" s="1063" t="s">
        <v>388</v>
      </c>
      <c r="D310" s="1063"/>
      <c r="E310" s="851"/>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835"/>
      <c r="B311" s="835"/>
      <c r="C311" s="835"/>
      <c r="D311" s="835"/>
      <c r="E311" s="851"/>
      <c r="F311" s="851"/>
      <c r="G311" s="851"/>
      <c r="H311" s="851"/>
      <c r="I311" s="851"/>
      <c r="J311" s="851"/>
      <c r="K311" s="851"/>
      <c r="L311" s="851"/>
      <c r="M311" s="851"/>
      <c r="N311" s="851"/>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38</v>
      </c>
      <c r="D312" s="86"/>
      <c r="E312" s="99"/>
      <c r="F312" s="851"/>
      <c r="G312" s="99"/>
      <c r="H312" s="851"/>
      <c r="I312" s="99"/>
      <c r="J312" s="851"/>
      <c r="K312" s="99"/>
      <c r="L312" s="851"/>
      <c r="M312" s="99"/>
      <c r="N312" s="851"/>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840"/>
      <c r="C314" s="106"/>
      <c r="D314" s="840"/>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133</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21.482277121374864</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840"/>
      <c r="C317" s="106">
        <f>E54</f>
        <v>0</v>
      </c>
      <c r="D317" s="840"/>
      <c r="E317" s="99"/>
      <c r="F317" s="851"/>
      <c r="G317" s="99"/>
      <c r="H317" s="851"/>
      <c r="I317" s="99"/>
      <c r="J317" s="851"/>
      <c r="K317" s="99"/>
      <c r="L317" s="851"/>
      <c r="M317" s="99"/>
      <c r="N317" s="851"/>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851"/>
      <c r="G318" s="99"/>
      <c r="H318" s="851"/>
      <c r="I318" s="99"/>
      <c r="J318" s="851"/>
      <c r="K318" s="99"/>
      <c r="L318" s="851"/>
      <c r="M318" s="99"/>
      <c r="N318" s="851"/>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576"/>
      <c r="C320" s="102">
        <v>0</v>
      </c>
      <c r="D320" s="576"/>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835"/>
      <c r="C322" s="108"/>
      <c r="D322" s="835"/>
      <c r="E322" s="101"/>
      <c r="F322" s="852"/>
      <c r="G322" s="101"/>
      <c r="H322" s="852"/>
      <c r="I322" s="101"/>
      <c r="J322" s="852"/>
      <c r="K322" s="101"/>
      <c r="L322" s="852"/>
      <c r="M322" s="101"/>
      <c r="N322" s="852"/>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852"/>
      <c r="G323" s="101"/>
      <c r="H323" s="852"/>
      <c r="I323" s="101"/>
      <c r="J323" s="852"/>
      <c r="K323" s="101"/>
      <c r="L323" s="852"/>
      <c r="M323" s="101"/>
      <c r="N323" s="852"/>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852"/>
      <c r="F324" s="852"/>
      <c r="G324" s="852"/>
      <c r="H324" s="852"/>
      <c r="I324" s="852"/>
      <c r="J324" s="852"/>
      <c r="K324" s="852"/>
      <c r="L324" s="852"/>
      <c r="M324" s="852"/>
      <c r="N324" s="852"/>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852"/>
      <c r="H325" s="111"/>
      <c r="I325" s="852"/>
      <c r="J325" s="852"/>
      <c r="K325" s="852"/>
      <c r="L325" s="852"/>
      <c r="M325" s="852"/>
      <c r="N325" s="852"/>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852"/>
      <c r="F326" s="116">
        <f>E60</f>
        <v>0</v>
      </c>
      <c r="G326" s="852"/>
      <c r="H326" s="116">
        <f>G60</f>
        <v>0</v>
      </c>
      <c r="I326" s="852"/>
      <c r="J326" s="116">
        <f>I60</f>
        <v>0</v>
      </c>
      <c r="K326" s="852"/>
      <c r="L326" s="116">
        <f>K60</f>
        <v>0</v>
      </c>
      <c r="M326" s="283" t="str">
        <f>L60</f>
        <v>ND</v>
      </c>
      <c r="N326" s="852"/>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0</v>
      </c>
      <c r="G327" s="86"/>
      <c r="H327" s="95">
        <f>G62</f>
        <v>0</v>
      </c>
      <c r="I327" s="86"/>
      <c r="J327" s="95">
        <f>I62</f>
        <v>0</v>
      </c>
      <c r="K327" s="86"/>
      <c r="L327" s="95">
        <f>K62</f>
        <v>0</v>
      </c>
      <c r="M327" s="284" t="str">
        <f>L62</f>
        <v>ND</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0</v>
      </c>
      <c r="G328" s="86"/>
      <c r="H328" s="95">
        <f>G64</f>
        <v>0</v>
      </c>
      <c r="I328" s="86"/>
      <c r="J328" s="95">
        <f>I64</f>
        <v>0</v>
      </c>
      <c r="K328" s="86"/>
      <c r="L328" s="95">
        <f>K64</f>
        <v>0</v>
      </c>
      <c r="M328" s="284" t="str">
        <f>L64</f>
        <v>ND</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851"/>
      <c r="F329" s="157">
        <f>E67</f>
        <v>0</v>
      </c>
      <c r="G329" s="851"/>
      <c r="H329" s="157">
        <f>G67</f>
        <v>0</v>
      </c>
      <c r="I329" s="851"/>
      <c r="J329" s="157">
        <f>I67</f>
        <v>0</v>
      </c>
      <c r="K329" s="851"/>
      <c r="L329" s="157">
        <f>K67</f>
        <v>0</v>
      </c>
      <c r="M329" s="285" t="str">
        <f>L67</f>
        <v>ND</v>
      </c>
      <c r="N329" s="851"/>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851"/>
      <c r="F330" s="157">
        <f>E69</f>
        <v>0</v>
      </c>
      <c r="G330" s="851"/>
      <c r="H330" s="157">
        <f>G69</f>
        <v>0</v>
      </c>
      <c r="I330" s="851"/>
      <c r="J330" s="157">
        <f>I69</f>
        <v>0</v>
      </c>
      <c r="K330" s="851"/>
      <c r="L330" s="157">
        <f>K69</f>
        <v>0</v>
      </c>
      <c r="M330" s="285" t="str">
        <f>L69</f>
        <v>ND</v>
      </c>
      <c r="N330" s="851"/>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851"/>
      <c r="F331" s="157">
        <f>E71</f>
        <v>0</v>
      </c>
      <c r="G331" s="851"/>
      <c r="H331" s="157">
        <f>G71</f>
        <v>0</v>
      </c>
      <c r="I331" s="851"/>
      <c r="J331" s="157">
        <f>I71</f>
        <v>0</v>
      </c>
      <c r="K331" s="851"/>
      <c r="L331" s="157">
        <f>K71</f>
        <v>0</v>
      </c>
      <c r="M331" s="285" t="str">
        <f>L71</f>
        <v>ND</v>
      </c>
      <c r="N331" s="851"/>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851"/>
      <c r="F332" s="157">
        <f>E73</f>
        <v>0</v>
      </c>
      <c r="G332" s="851"/>
      <c r="H332" s="157">
        <f>G73</f>
        <v>0</v>
      </c>
      <c r="I332" s="851"/>
      <c r="J332" s="157">
        <f>I73</f>
        <v>0</v>
      </c>
      <c r="K332" s="851"/>
      <c r="L332" s="157">
        <f>K73</f>
        <v>0</v>
      </c>
      <c r="M332" s="285" t="str">
        <f>L73</f>
        <v>ND</v>
      </c>
      <c r="N332" s="851"/>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851"/>
      <c r="F333" s="157">
        <f>E76</f>
        <v>0</v>
      </c>
      <c r="G333" s="851"/>
      <c r="H333" s="157">
        <f>G76</f>
        <v>0</v>
      </c>
      <c r="I333" s="851"/>
      <c r="J333" s="157">
        <f>I76</f>
        <v>0</v>
      </c>
      <c r="K333" s="851"/>
      <c r="L333" s="157">
        <f>K76</f>
        <v>0</v>
      </c>
      <c r="M333" s="285" t="str">
        <f>L76</f>
        <v>ND</v>
      </c>
      <c r="N333" s="851"/>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851"/>
      <c r="F334" s="157">
        <f>E78</f>
        <v>0</v>
      </c>
      <c r="G334" s="851"/>
      <c r="H334" s="157">
        <f>G78</f>
        <v>0</v>
      </c>
      <c r="I334" s="851"/>
      <c r="J334" s="157">
        <f>I78</f>
        <v>0</v>
      </c>
      <c r="K334" s="851"/>
      <c r="L334" s="157">
        <f>K78</f>
        <v>0</v>
      </c>
      <c r="M334" s="285" t="str">
        <f>L78</f>
        <v>ND</v>
      </c>
      <c r="N334" s="851"/>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851"/>
      <c r="F335" s="157"/>
      <c r="G335" s="851"/>
      <c r="H335" s="157"/>
      <c r="I335" s="851"/>
      <c r="J335" s="157"/>
      <c r="K335" s="851"/>
      <c r="L335" s="157"/>
      <c r="M335" s="285"/>
      <c r="N335" s="851"/>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851"/>
      <c r="F336" s="157"/>
      <c r="G336" s="851"/>
      <c r="H336" s="157"/>
      <c r="I336" s="851"/>
      <c r="J336" s="157"/>
      <c r="K336" s="851"/>
      <c r="L336" s="157"/>
      <c r="M336" s="285"/>
      <c r="N336" s="851"/>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0</v>
      </c>
      <c r="G337" s="86"/>
      <c r="H337" s="95">
        <f>G81</f>
        <v>0</v>
      </c>
      <c r="I337" s="86"/>
      <c r="J337" s="95">
        <f>I81</f>
        <v>0</v>
      </c>
      <c r="K337" s="86"/>
      <c r="L337" s="95">
        <f>K81</f>
        <v>0</v>
      </c>
      <c r="M337" s="284" t="str">
        <f>L81</f>
        <v>ND</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852"/>
      <c r="F338" s="116">
        <f>E83</f>
        <v>0</v>
      </c>
      <c r="G338" s="852"/>
      <c r="H338" s="116">
        <f>G83</f>
        <v>0</v>
      </c>
      <c r="I338" s="852"/>
      <c r="J338" s="116">
        <f>I83</f>
        <v>0</v>
      </c>
      <c r="K338" s="852"/>
      <c r="L338" s="116">
        <f>K83</f>
        <v>0</v>
      </c>
      <c r="M338" s="283" t="str">
        <f>L83</f>
        <v>ND</v>
      </c>
      <c r="N338" s="852"/>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852"/>
      <c r="F339" s="116"/>
      <c r="G339" s="852"/>
      <c r="H339" s="116"/>
      <c r="I339" s="852"/>
      <c r="J339" s="116"/>
      <c r="K339" s="852"/>
      <c r="L339" s="116"/>
      <c r="M339" s="283"/>
      <c r="N339" s="852"/>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852"/>
      <c r="F340" s="116"/>
      <c r="G340" s="852"/>
      <c r="H340" s="116"/>
      <c r="I340" s="852"/>
      <c r="J340" s="116"/>
      <c r="K340" s="852"/>
      <c r="L340" s="116"/>
      <c r="M340" s="158"/>
      <c r="N340" s="852"/>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841"/>
      <c r="F341" s="841"/>
      <c r="G341" s="841"/>
      <c r="H341" s="841"/>
      <c r="I341" s="841"/>
      <c r="J341" s="841"/>
      <c r="K341" s="841"/>
      <c r="L341" s="841"/>
      <c r="M341" s="841"/>
      <c r="N341" s="841"/>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12.539184952978058</v>
      </c>
      <c r="I343" s="293" t="str">
        <f t="shared" si="15"/>
        <v>DESNUTRICION SEVERA 3ER GRADO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844" t="s">
        <v>436</v>
      </c>
      <c r="B344" s="844"/>
      <c r="C344" s="844"/>
      <c r="D344" s="251"/>
      <c r="E344" s="844"/>
      <c r="F344" s="252"/>
      <c r="G344" s="251"/>
      <c r="H344" s="288">
        <f t="shared" si="15"/>
        <v>12.539184952978058</v>
      </c>
      <c r="I344" s="844" t="str">
        <f t="shared" si="15"/>
        <v>DESNUTRICION SEVERA 3ER GRADO</v>
      </c>
      <c r="J344" s="844"/>
      <c r="K344" s="844"/>
      <c r="L344" s="844"/>
      <c r="M344" s="844"/>
      <c r="N344" s="844"/>
      <c r="O344" s="215"/>
      <c r="P344" s="215"/>
      <c r="Q344" s="215"/>
      <c r="R344" s="215"/>
      <c r="S344" s="215"/>
      <c r="T344" s="215"/>
      <c r="U344" s="215"/>
      <c r="V344" s="215"/>
      <c r="W344" s="80"/>
      <c r="X344" s="80"/>
      <c r="Y344" s="80"/>
      <c r="Z344" s="80"/>
      <c r="AA344" s="80"/>
      <c r="AB344" s="80"/>
      <c r="AC344" s="80"/>
      <c r="AD344" s="80"/>
      <c r="AE344" s="80"/>
      <c r="AF344" s="80"/>
    </row>
    <row r="345" spans="1:32">
      <c r="A345" s="844" t="s">
        <v>437</v>
      </c>
      <c r="B345" s="844"/>
      <c r="C345" s="844"/>
      <c r="D345" s="251"/>
      <c r="E345" s="844"/>
      <c r="F345" s="252"/>
      <c r="G345" s="251"/>
      <c r="H345" s="288">
        <f t="shared" si="15"/>
        <v>39.682539682539684</v>
      </c>
      <c r="I345" s="844" t="str">
        <f t="shared" si="15"/>
        <v>DESNUTRICION SEVERA 3ER GRADO</v>
      </c>
      <c r="J345" s="844"/>
      <c r="K345" s="844"/>
      <c r="L345" s="844"/>
      <c r="M345" s="844"/>
      <c r="N345" s="844"/>
      <c r="O345" s="215"/>
      <c r="P345" s="215"/>
      <c r="Q345" s="215"/>
      <c r="R345" s="215"/>
      <c r="S345" s="215"/>
      <c r="T345" s="215"/>
      <c r="U345" s="215"/>
      <c r="V345" s="215"/>
      <c r="W345" s="80"/>
      <c r="X345" s="80"/>
      <c r="Y345" s="80"/>
      <c r="Z345" s="80"/>
      <c r="AA345" s="80"/>
      <c r="AB345" s="80"/>
      <c r="AC345" s="80"/>
      <c r="AD345" s="80"/>
      <c r="AE345" s="80"/>
      <c r="AF345" s="80"/>
    </row>
    <row r="346" spans="1:32">
      <c r="A346" s="844"/>
      <c r="B346" s="844"/>
      <c r="C346" s="844"/>
      <c r="D346" s="251"/>
      <c r="E346" s="844"/>
      <c r="F346" s="252"/>
      <c r="G346" s="251"/>
      <c r="H346" s="288"/>
      <c r="I346" s="844"/>
      <c r="J346" s="844"/>
      <c r="K346" s="844"/>
      <c r="L346" s="844"/>
      <c r="M346" s="844"/>
      <c r="N346" s="844"/>
      <c r="O346" s="215"/>
      <c r="P346" s="215"/>
      <c r="Q346" s="215"/>
      <c r="R346" s="215"/>
      <c r="S346" s="215"/>
      <c r="T346" s="215"/>
      <c r="U346" s="215"/>
      <c r="V346" s="215"/>
      <c r="W346" s="80"/>
      <c r="X346" s="80"/>
      <c r="Y346" s="80"/>
      <c r="Z346" s="80"/>
      <c r="AA346" s="80"/>
      <c r="AB346" s="80"/>
      <c r="AC346" s="80"/>
      <c r="AD346" s="80"/>
      <c r="AE346" s="80"/>
      <c r="AF346" s="80"/>
    </row>
    <row r="347" spans="1:32">
      <c r="A347" s="1211" t="s">
        <v>448</v>
      </c>
      <c r="B347" s="1211"/>
      <c r="C347" s="1211"/>
      <c r="D347" s="1211"/>
      <c r="E347" s="1211"/>
      <c r="F347" s="1211"/>
      <c r="G347" s="1211"/>
      <c r="H347" s="1211"/>
      <c r="I347" s="1211"/>
      <c r="J347" s="1211"/>
      <c r="K347" s="1211"/>
      <c r="L347" s="1211"/>
      <c r="M347" s="1211"/>
      <c r="N347" s="1211"/>
      <c r="O347" s="215"/>
      <c r="P347" s="215"/>
      <c r="Q347" s="215"/>
      <c r="R347" s="215"/>
      <c r="S347" s="215"/>
      <c r="T347" s="215"/>
      <c r="U347" s="215"/>
      <c r="V347" s="215"/>
      <c r="W347" s="80"/>
      <c r="X347" s="80"/>
      <c r="Y347" s="80"/>
      <c r="Z347" s="80"/>
      <c r="AA347" s="80"/>
      <c r="AB347" s="80"/>
      <c r="AC347" s="80"/>
      <c r="AD347" s="80"/>
      <c r="AE347" s="80"/>
      <c r="AF347" s="80"/>
    </row>
    <row r="348" spans="1:32">
      <c r="A348" s="1211" t="s">
        <v>449</v>
      </c>
      <c r="B348" s="1211"/>
      <c r="C348" s="1211"/>
      <c r="D348" s="1211"/>
      <c r="E348" s="1211"/>
      <c r="F348" s="1211"/>
      <c r="G348" s="1211"/>
      <c r="H348" s="1211"/>
      <c r="I348" s="1211"/>
      <c r="J348" s="1211"/>
      <c r="K348" s="1211"/>
      <c r="L348" s="1211"/>
      <c r="M348" s="1211"/>
      <c r="N348" s="1211"/>
      <c r="O348" s="215"/>
      <c r="P348" s="215"/>
      <c r="Q348" s="215"/>
      <c r="R348" s="215"/>
      <c r="S348" s="215"/>
      <c r="T348" s="215"/>
      <c r="U348" s="215"/>
      <c r="V348" s="215"/>
      <c r="W348" s="80"/>
      <c r="X348" s="80"/>
      <c r="Y348" s="80"/>
      <c r="Z348" s="80"/>
      <c r="AA348" s="80"/>
      <c r="AB348" s="80"/>
      <c r="AC348" s="80"/>
      <c r="AD348" s="80"/>
      <c r="AE348" s="80"/>
      <c r="AF348" s="80"/>
    </row>
    <row r="349" spans="1:32">
      <c r="A349" s="1211" t="s">
        <v>450</v>
      </c>
      <c r="B349" s="1211"/>
      <c r="C349" s="1211"/>
      <c r="D349" s="1211"/>
      <c r="E349" s="1211"/>
      <c r="F349" s="1211"/>
      <c r="G349" s="1211"/>
      <c r="H349" s="1211"/>
      <c r="I349" s="1211"/>
      <c r="J349" s="1211"/>
      <c r="K349" s="1211"/>
      <c r="L349" s="1211"/>
      <c r="M349" s="1211"/>
      <c r="N349" s="1211"/>
      <c r="O349" s="215"/>
      <c r="P349" s="215"/>
      <c r="Q349" s="215"/>
      <c r="R349" s="215"/>
      <c r="S349" s="215"/>
      <c r="T349" s="215"/>
      <c r="U349" s="215"/>
      <c r="V349" s="215"/>
      <c r="W349" s="80"/>
      <c r="X349" s="80"/>
      <c r="Y349" s="80"/>
      <c r="Z349" s="80"/>
      <c r="AA349" s="80"/>
      <c r="AB349" s="80"/>
      <c r="AC349" s="80"/>
      <c r="AD349" s="80"/>
      <c r="AE349" s="80"/>
      <c r="AF349" s="80"/>
    </row>
    <row r="350" spans="1:32" ht="17.100000000000001" customHeight="1">
      <c r="A350" s="1211" t="s">
        <v>451</v>
      </c>
      <c r="B350" s="1211"/>
      <c r="C350" s="1211"/>
      <c r="D350" s="1211"/>
      <c r="E350" s="1211"/>
      <c r="F350" s="1211"/>
      <c r="G350" s="1211"/>
      <c r="H350" s="1211"/>
      <c r="I350" s="1211"/>
      <c r="J350" s="1211"/>
      <c r="K350" s="1211"/>
      <c r="L350" s="1211"/>
      <c r="M350" s="1211"/>
      <c r="N350" s="1211"/>
      <c r="O350" s="215"/>
      <c r="P350" s="215"/>
      <c r="Q350" s="215"/>
      <c r="R350" s="215"/>
      <c r="S350" s="215"/>
      <c r="T350" s="215"/>
      <c r="U350" s="215"/>
      <c r="V350" s="215"/>
      <c r="W350" s="80"/>
      <c r="X350" s="80"/>
      <c r="Y350" s="80"/>
      <c r="Z350" s="80"/>
      <c r="AA350" s="80"/>
      <c r="AB350" s="80"/>
      <c r="AC350" s="80"/>
      <c r="AD350" s="80"/>
      <c r="AE350" s="80"/>
      <c r="AF350" s="80"/>
    </row>
    <row r="351" spans="1:32" ht="15" customHeight="1">
      <c r="A351" s="1211" t="s">
        <v>455</v>
      </c>
      <c r="B351" s="1211"/>
      <c r="C351" s="1211"/>
      <c r="D351" s="1211"/>
      <c r="E351" s="1211"/>
      <c r="F351" s="1211"/>
      <c r="G351" s="1211"/>
      <c r="H351" s="1211"/>
      <c r="I351" s="1211"/>
      <c r="J351" s="1211"/>
      <c r="K351" s="1211"/>
      <c r="L351" s="1211"/>
      <c r="M351" s="1211"/>
      <c r="N351" s="1211"/>
      <c r="O351" s="215"/>
      <c r="P351" s="215"/>
      <c r="Q351" s="215"/>
      <c r="R351" s="215"/>
      <c r="S351" s="215"/>
      <c r="T351" s="215"/>
      <c r="U351" s="215"/>
      <c r="V351" s="215"/>
      <c r="W351" s="80"/>
      <c r="X351" s="80"/>
      <c r="Y351" s="80"/>
      <c r="Z351" s="80"/>
      <c r="AA351" s="80"/>
      <c r="AB351" s="80"/>
      <c r="AC351" s="80"/>
      <c r="AD351" s="80"/>
      <c r="AE351" s="80"/>
      <c r="AF351" s="80"/>
    </row>
    <row r="352" spans="1:32" ht="15.75" customHeight="1">
      <c r="A352" s="1211" t="s">
        <v>456</v>
      </c>
      <c r="B352" s="1211"/>
      <c r="C352" s="1211"/>
      <c r="D352" s="1211"/>
      <c r="E352" s="1211"/>
      <c r="F352" s="1211"/>
      <c r="G352" s="1211"/>
      <c r="H352" s="1211"/>
      <c r="I352" s="1211"/>
      <c r="J352" s="1211"/>
      <c r="K352" s="1211"/>
      <c r="L352" s="1211"/>
      <c r="M352" s="1211"/>
      <c r="N352" s="1211"/>
      <c r="O352" s="215"/>
      <c r="P352" s="215"/>
      <c r="Q352" s="215"/>
      <c r="R352" s="215"/>
      <c r="S352" s="215"/>
      <c r="T352" s="215"/>
      <c r="U352" s="215"/>
      <c r="V352" s="215"/>
      <c r="W352" s="80"/>
      <c r="X352" s="80"/>
      <c r="Y352" s="80"/>
      <c r="Z352" s="80"/>
      <c r="AA352" s="80"/>
      <c r="AB352" s="80"/>
      <c r="AC352" s="80"/>
      <c r="AD352" s="80"/>
      <c r="AE352" s="80"/>
      <c r="AF352" s="80"/>
    </row>
    <row r="353" spans="1:32">
      <c r="A353" s="1211" t="s">
        <v>452</v>
      </c>
      <c r="B353" s="1211"/>
      <c r="C353" s="1211"/>
      <c r="D353" s="1211"/>
      <c r="E353" s="1211"/>
      <c r="F353" s="1211"/>
      <c r="G353" s="1211"/>
      <c r="H353" s="1211"/>
      <c r="I353" s="1211"/>
      <c r="J353" s="1211"/>
      <c r="K353" s="1211"/>
      <c r="L353" s="1211"/>
      <c r="M353" s="1211"/>
      <c r="N353" s="1211"/>
      <c r="O353" s="215"/>
      <c r="P353" s="215"/>
      <c r="Q353" s="215"/>
      <c r="R353" s="215"/>
      <c r="S353" s="215"/>
      <c r="T353" s="215"/>
      <c r="U353" s="215"/>
      <c r="V353" s="215"/>
      <c r="W353" s="80"/>
      <c r="X353" s="80"/>
      <c r="Y353" s="80"/>
      <c r="Z353" s="80"/>
      <c r="AA353" s="80"/>
      <c r="AB353" s="80"/>
      <c r="AC353" s="80"/>
      <c r="AD353" s="80"/>
      <c r="AE353" s="80"/>
      <c r="AF353" s="80"/>
    </row>
    <row r="354" spans="1:32">
      <c r="A354" s="1211" t="s">
        <v>453</v>
      </c>
      <c r="B354" s="1211"/>
      <c r="C354" s="1211"/>
      <c r="D354" s="1211"/>
      <c r="E354" s="1211"/>
      <c r="F354" s="1211"/>
      <c r="G354" s="1211"/>
      <c r="H354" s="1211"/>
      <c r="I354" s="1211"/>
      <c r="J354" s="1211"/>
      <c r="K354" s="1211"/>
      <c r="L354" s="1211"/>
      <c r="M354" s="1211"/>
      <c r="N354" s="1211"/>
      <c r="O354" s="215"/>
      <c r="P354" s="215"/>
      <c r="Q354" s="215"/>
      <c r="R354" s="215"/>
      <c r="S354" s="215"/>
      <c r="T354" s="215"/>
      <c r="U354" s="215"/>
      <c r="V354" s="215"/>
      <c r="W354" s="80"/>
      <c r="X354" s="80"/>
      <c r="Y354" s="80"/>
      <c r="Z354" s="80"/>
      <c r="AA354" s="80"/>
      <c r="AB354" s="80"/>
      <c r="AC354" s="80"/>
      <c r="AD354" s="80"/>
      <c r="AE354" s="80"/>
      <c r="AF354" s="80"/>
    </row>
    <row r="355" spans="1:32">
      <c r="A355" s="1076" t="s">
        <v>454</v>
      </c>
      <c r="B355" s="1076"/>
      <c r="C355" s="1076"/>
      <c r="D355" s="1076"/>
      <c r="E355" s="1076"/>
      <c r="F355" s="1076"/>
      <c r="G355" s="1076"/>
      <c r="H355" s="1076"/>
      <c r="I355" s="1076"/>
      <c r="J355" s="1076"/>
      <c r="K355" s="1076"/>
      <c r="L355" s="1076"/>
      <c r="M355" s="1076"/>
      <c r="N355" s="1076"/>
      <c r="O355" s="215"/>
      <c r="P355" s="215"/>
      <c r="Q355" s="215"/>
      <c r="R355" s="215"/>
      <c r="S355" s="215"/>
      <c r="T355" s="215"/>
      <c r="U355" s="215"/>
      <c r="V355" s="215"/>
      <c r="W355" s="80"/>
      <c r="X355" s="80"/>
      <c r="Y355" s="80"/>
      <c r="Z355" s="80"/>
      <c r="AA355" s="80"/>
      <c r="AB355" s="80"/>
      <c r="AC355" s="80"/>
      <c r="AD355" s="80"/>
      <c r="AE355" s="80"/>
      <c r="AF355" s="80"/>
    </row>
    <row r="356" spans="1:32">
      <c r="A356" s="1047"/>
      <c r="B356" s="1047"/>
      <c r="C356" s="1047"/>
      <c r="D356" s="1047"/>
      <c r="E356" s="1047"/>
      <c r="F356" s="1047"/>
      <c r="G356" s="1047"/>
      <c r="H356" s="1047"/>
      <c r="I356" s="1047"/>
      <c r="J356" s="1047"/>
      <c r="K356" s="1047"/>
      <c r="L356" s="1047"/>
      <c r="M356" s="1047"/>
      <c r="N356" s="1047"/>
      <c r="O356" s="215"/>
      <c r="P356" s="215"/>
      <c r="Q356" s="215"/>
      <c r="R356" s="215"/>
      <c r="S356" s="215"/>
      <c r="T356" s="215"/>
      <c r="U356" s="215"/>
      <c r="V356" s="215"/>
      <c r="W356" s="80"/>
      <c r="X356" s="80"/>
      <c r="Y356" s="80"/>
      <c r="Z356" s="80"/>
      <c r="AA356" s="80"/>
      <c r="AB356" s="80"/>
      <c r="AC356" s="80"/>
      <c r="AD356" s="80"/>
      <c r="AE356" s="80"/>
      <c r="AF356" s="80"/>
    </row>
    <row r="357" spans="1:32">
      <c r="A357" s="850"/>
      <c r="B357" s="850"/>
      <c r="C357" s="850"/>
      <c r="D357" s="850"/>
      <c r="E357" s="850"/>
      <c r="F357" s="113"/>
      <c r="G357" s="113"/>
      <c r="H357" s="113"/>
      <c r="I357" s="113"/>
      <c r="J357" s="113"/>
      <c r="K357" s="113"/>
      <c r="L357" s="113"/>
      <c r="M357" s="113"/>
      <c r="N357" s="113"/>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832" t="s">
        <v>52</v>
      </c>
      <c r="C359" s="86" t="s">
        <v>43</v>
      </c>
      <c r="D359" s="832"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f t="shared" ref="B360:D362" si="16">B177</f>
        <v>60.475651189127973</v>
      </c>
      <c r="C360" s="104">
        <f t="shared" si="16"/>
        <v>1068</v>
      </c>
      <c r="D360" s="120">
        <f t="shared" si="16"/>
        <v>267</v>
      </c>
      <c r="E360" s="852"/>
      <c r="F360" s="852"/>
      <c r="G360" s="852"/>
      <c r="H360" s="852"/>
      <c r="I360" s="852"/>
      <c r="J360" s="852"/>
      <c r="K360" s="852"/>
      <c r="L360" s="852"/>
      <c r="M360" s="852"/>
      <c r="N360" s="852"/>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f t="shared" si="16"/>
        <v>18.120045300113251</v>
      </c>
      <c r="C361" s="628">
        <f t="shared" si="16"/>
        <v>320</v>
      </c>
      <c r="D361" s="122">
        <f t="shared" si="16"/>
        <v>80</v>
      </c>
      <c r="E361" s="114" t="s">
        <v>68</v>
      </c>
      <c r="F361" s="133">
        <f>F178</f>
        <v>46</v>
      </c>
      <c r="G361" s="101" t="s">
        <v>69</v>
      </c>
      <c r="H361" s="133">
        <f>H178</f>
        <v>57.5</v>
      </c>
      <c r="I361" s="286" t="s">
        <v>444</v>
      </c>
      <c r="J361" s="115" t="s">
        <v>70</v>
      </c>
      <c r="K361" s="133">
        <f>K178</f>
        <v>34</v>
      </c>
      <c r="L361" s="101" t="s">
        <v>69</v>
      </c>
      <c r="M361" s="134">
        <f>M178</f>
        <v>42.5</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f t="shared" si="16"/>
        <v>21.404303510758776</v>
      </c>
      <c r="C362" s="129">
        <f t="shared" si="16"/>
        <v>378</v>
      </c>
      <c r="D362" s="122">
        <f t="shared" si="16"/>
        <v>42</v>
      </c>
      <c r="E362" s="852"/>
      <c r="F362" s="852"/>
      <c r="G362" s="852"/>
      <c r="H362" s="852"/>
      <c r="I362" s="852"/>
      <c r="J362" s="852"/>
      <c r="K362" s="852"/>
      <c r="L362" s="852"/>
      <c r="M362" s="852"/>
      <c r="N362" s="852"/>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f>SUM(B360:B362)</f>
        <v>100</v>
      </c>
      <c r="C363" s="132">
        <f>SUM(C360:C362)</f>
        <v>1766</v>
      </c>
      <c r="D363" s="86"/>
      <c r="E363" s="852"/>
      <c r="F363" s="1206" t="str">
        <f>A181</f>
        <v>GRAMOS PROT/KG P.I</v>
      </c>
      <c r="G363" s="1206"/>
      <c r="H363" s="1206"/>
      <c r="I363" s="1206"/>
      <c r="J363" s="168">
        <f>D181</f>
        <v>2.5078369905956115</v>
      </c>
      <c r="K363" s="852" t="s">
        <v>69</v>
      </c>
      <c r="L363" s="852"/>
      <c r="M363" s="852"/>
      <c r="N363" s="852"/>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852"/>
      <c r="F364" s="852"/>
      <c r="G364" s="852"/>
      <c r="H364" s="852"/>
      <c r="I364" s="852"/>
      <c r="J364" s="852"/>
      <c r="K364" s="852"/>
      <c r="L364" s="852"/>
      <c r="M364" s="852"/>
      <c r="N364" s="852"/>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L.N. FANY CANO VARELA</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832"/>
      <c r="B370" s="832"/>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844"/>
      <c r="X371" s="844"/>
      <c r="Y371" s="844"/>
      <c r="Z371" s="844"/>
      <c r="AA371" s="844"/>
      <c r="AB371" s="844"/>
      <c r="AC371" s="844"/>
      <c r="AD371" s="844"/>
      <c r="AE371" s="844"/>
      <c r="AF371" s="844"/>
      <c r="AG371" s="844"/>
      <c r="AH371" s="844"/>
      <c r="AI371" s="844"/>
      <c r="AJ371" s="844"/>
      <c r="AK371" s="844"/>
      <c r="AL371" s="844"/>
      <c r="AM371" s="844"/>
      <c r="AN371" s="844"/>
      <c r="AO371" s="844"/>
      <c r="AP371" s="844"/>
      <c r="AQ371" s="844"/>
      <c r="AR371" s="844"/>
      <c r="AS371" s="844"/>
      <c r="AT371" s="844"/>
      <c r="AU371" s="844"/>
      <c r="AV371" s="844"/>
      <c r="AW371" s="844"/>
      <c r="AX371" s="844"/>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844"/>
      <c r="X372" s="844"/>
      <c r="Y372" s="844"/>
      <c r="Z372" s="844"/>
      <c r="AA372" s="844"/>
      <c r="AB372" s="844"/>
      <c r="AC372" s="844"/>
      <c r="AD372" s="844"/>
      <c r="AE372" s="844"/>
      <c r="AF372" s="844"/>
      <c r="AG372" s="844"/>
      <c r="AH372" s="844"/>
      <c r="AI372" s="844"/>
      <c r="AJ372" s="844"/>
      <c r="AK372" s="844"/>
      <c r="AL372" s="844"/>
      <c r="AM372" s="844"/>
      <c r="AN372" s="844"/>
      <c r="AO372" s="844"/>
      <c r="AP372" s="844"/>
      <c r="AQ372" s="844"/>
      <c r="AR372" s="844"/>
      <c r="AS372" s="844"/>
      <c r="AT372" s="844"/>
      <c r="AU372" s="844"/>
      <c r="AV372" s="844"/>
      <c r="AW372" s="844"/>
      <c r="AX372" s="844"/>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844"/>
      <c r="X373" s="844"/>
      <c r="Y373" s="844"/>
      <c r="Z373" s="844"/>
      <c r="AA373" s="844"/>
      <c r="AB373" s="844"/>
      <c r="AC373" s="844"/>
      <c r="AD373" s="844"/>
      <c r="AE373" s="844"/>
      <c r="AF373" s="844"/>
      <c r="AG373" s="844"/>
      <c r="AH373" s="844"/>
      <c r="AI373" s="844"/>
      <c r="AJ373" s="844"/>
      <c r="AK373" s="844"/>
      <c r="AL373" s="844"/>
      <c r="AM373" s="844"/>
      <c r="AN373" s="844"/>
      <c r="AO373" s="844"/>
      <c r="AP373" s="844"/>
      <c r="AQ373" s="844"/>
      <c r="AR373" s="844"/>
      <c r="AS373" s="844"/>
      <c r="AT373" s="844"/>
      <c r="AU373" s="844"/>
      <c r="AV373" s="844"/>
      <c r="AW373" s="844"/>
      <c r="AX373" s="844"/>
    </row>
    <row r="374" spans="1:50">
      <c r="A374" s="86" t="s">
        <v>2</v>
      </c>
      <c r="B374" s="1209" t="str">
        <f>B4</f>
        <v>MENDOZA RIVAS GRECIA</v>
      </c>
      <c r="C374" s="1209"/>
      <c r="D374" s="1209"/>
      <c r="E374" s="1209"/>
      <c r="F374" s="1209"/>
      <c r="G374" s="1209"/>
      <c r="H374" s="1209"/>
      <c r="I374" s="1209"/>
      <c r="J374" s="221"/>
      <c r="K374" s="221" t="s">
        <v>291</v>
      </c>
      <c r="L374" s="1210">
        <f>M4</f>
        <v>0</v>
      </c>
      <c r="M374" s="1210"/>
      <c r="N374" s="1210"/>
      <c r="O374" s="280"/>
      <c r="P374" s="280"/>
      <c r="Q374" s="280"/>
      <c r="R374" s="280"/>
      <c r="S374" s="280"/>
      <c r="T374" s="280"/>
      <c r="U374" s="280"/>
      <c r="V374" s="280"/>
      <c r="W374" s="844"/>
      <c r="X374" s="844"/>
      <c r="Y374" s="844"/>
      <c r="Z374" s="844"/>
      <c r="AA374" s="844"/>
      <c r="AB374" s="844"/>
      <c r="AC374" s="844"/>
      <c r="AD374" s="844"/>
      <c r="AE374" s="844"/>
      <c r="AF374" s="844"/>
      <c r="AG374" s="844"/>
      <c r="AH374" s="844"/>
      <c r="AI374" s="844"/>
      <c r="AJ374" s="844"/>
      <c r="AK374" s="844"/>
      <c r="AL374" s="844"/>
      <c r="AM374" s="844"/>
      <c r="AN374" s="844"/>
      <c r="AO374" s="844"/>
      <c r="AP374" s="844"/>
      <c r="AQ374" s="844"/>
      <c r="AR374" s="844"/>
      <c r="AS374" s="844"/>
      <c r="AT374" s="844"/>
      <c r="AU374" s="844"/>
      <c r="AV374" s="844"/>
      <c r="AW374" s="844"/>
      <c r="AX374" s="844"/>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844"/>
      <c r="X375" s="844"/>
      <c r="Y375" s="844"/>
      <c r="Z375" s="844"/>
      <c r="AA375" s="844"/>
      <c r="AB375" s="844"/>
      <c r="AC375" s="844"/>
      <c r="AD375" s="844"/>
      <c r="AE375" s="844"/>
      <c r="AF375" s="844"/>
      <c r="AG375" s="844"/>
      <c r="AH375" s="844"/>
      <c r="AI375" s="844"/>
      <c r="AJ375" s="844"/>
      <c r="AK375" s="844"/>
      <c r="AL375" s="844"/>
      <c r="AM375" s="844"/>
      <c r="AN375" s="844"/>
      <c r="AO375" s="844"/>
      <c r="AP375" s="844"/>
      <c r="AQ375" s="844"/>
      <c r="AR375" s="844"/>
      <c r="AS375" s="844"/>
      <c r="AT375" s="844"/>
      <c r="AU375" s="844"/>
      <c r="AV375" s="844"/>
      <c r="AW375" s="844"/>
      <c r="AX375" s="844"/>
    </row>
    <row r="376" spans="1:50">
      <c r="A376" s="238" t="s">
        <v>4</v>
      </c>
      <c r="B376" s="267">
        <v>7.916666666666667</v>
      </c>
      <c r="C376" s="264"/>
      <c r="D376" s="264"/>
      <c r="E376" s="264"/>
      <c r="F376" s="264"/>
      <c r="G376" s="264"/>
      <c r="H376" s="238"/>
      <c r="I376" s="238"/>
      <c r="J376" s="238"/>
      <c r="K376" s="844"/>
      <c r="L376" s="844"/>
      <c r="M376" s="844"/>
      <c r="N376" s="844"/>
      <c r="O376" s="280"/>
      <c r="P376" s="280"/>
      <c r="Q376" s="280"/>
      <c r="R376" s="280"/>
      <c r="S376" s="280"/>
      <c r="T376" s="280"/>
      <c r="U376" s="280"/>
      <c r="V376" s="280"/>
      <c r="W376" s="844"/>
      <c r="X376" s="844"/>
      <c r="Y376" s="844"/>
      <c r="Z376" s="844"/>
      <c r="AA376" s="844"/>
      <c r="AB376" s="844"/>
      <c r="AC376" s="844"/>
      <c r="AD376" s="844"/>
      <c r="AE376" s="844"/>
      <c r="AF376" s="844"/>
      <c r="AG376" s="844"/>
      <c r="AH376" s="844"/>
      <c r="AI376" s="844"/>
      <c r="AJ376" s="844"/>
      <c r="AK376" s="844"/>
      <c r="AL376" s="844"/>
      <c r="AM376" s="844"/>
      <c r="AN376" s="844"/>
      <c r="AO376" s="844"/>
      <c r="AP376" s="844"/>
      <c r="AQ376" s="844"/>
      <c r="AR376" s="844"/>
      <c r="AS376" s="844"/>
      <c r="AT376" s="844"/>
      <c r="AU376" s="844"/>
      <c r="AV376" s="844"/>
      <c r="AW376" s="844"/>
      <c r="AX376" s="844"/>
    </row>
    <row r="377" spans="1:50">
      <c r="A377" s="238" t="s">
        <v>430</v>
      </c>
      <c r="B377" s="264">
        <f>D12</f>
        <v>38</v>
      </c>
      <c r="C377" s="264">
        <v>17.7</v>
      </c>
      <c r="D377" s="264"/>
      <c r="E377" s="264"/>
      <c r="F377" s="264"/>
      <c r="G377" s="264"/>
      <c r="H377" s="238"/>
      <c r="I377" s="238"/>
      <c r="J377" s="238"/>
      <c r="K377" s="844"/>
      <c r="L377" s="844"/>
      <c r="M377" s="844"/>
      <c r="N377" s="844"/>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133</v>
      </c>
      <c r="C378" s="264">
        <v>117</v>
      </c>
      <c r="D378" s="264"/>
      <c r="E378" s="264"/>
      <c r="F378" s="264"/>
      <c r="G378" s="264"/>
      <c r="H378" s="238"/>
      <c r="I378" s="238"/>
      <c r="J378" s="238"/>
      <c r="K378" s="844"/>
      <c r="L378" s="844"/>
      <c r="M378" s="844"/>
      <c r="N378" s="844"/>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2.1482277121374865E-3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844"/>
      <c r="L379" s="844"/>
      <c r="M379" s="844"/>
      <c r="N379" s="844"/>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1"/>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1"/>
      <c r="P387" s="215"/>
      <c r="Q387" s="215"/>
      <c r="R387" s="215"/>
      <c r="S387" s="215"/>
      <c r="T387" s="215"/>
      <c r="U387" s="215"/>
      <c r="V387" s="215"/>
      <c r="W387" s="80"/>
      <c r="X387" s="80"/>
      <c r="Y387" s="80"/>
      <c r="Z387" s="80"/>
      <c r="AA387" s="80"/>
      <c r="AB387" s="80"/>
      <c r="AC387" s="80"/>
      <c r="AD387" s="80"/>
      <c r="AE387" s="80"/>
      <c r="AF387" s="80"/>
    </row>
    <row r="388" spans="1:32">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ht="15" customHeight="1">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82"/>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82"/>
      <c r="P393" s="215"/>
      <c r="Q393" s="215"/>
      <c r="R393" s="215"/>
      <c r="S393" s="215"/>
      <c r="T393" s="215"/>
      <c r="U393" s="215"/>
      <c r="V393" s="215"/>
      <c r="W393" s="80"/>
      <c r="X393" s="80"/>
      <c r="Y393" s="80"/>
      <c r="Z393" s="80"/>
      <c r="AA393" s="80"/>
      <c r="AB393" s="80"/>
      <c r="AC393" s="80"/>
      <c r="AD393" s="80"/>
      <c r="AE393" s="80"/>
      <c r="AF393" s="80"/>
    </row>
    <row r="394" spans="1:32">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ht="15" customHeight="1">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86"/>
      <c r="B415" s="86"/>
      <c r="C415" s="86"/>
      <c r="D415" s="86"/>
      <c r="E415" s="86"/>
      <c r="F415" s="86"/>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6"/>
      <c r="B416" s="86"/>
      <c r="C416" s="86"/>
      <c r="D416" s="86"/>
      <c r="E416" s="86"/>
      <c r="F416" s="86"/>
      <c r="G416" s="86"/>
      <c r="H416" s="86"/>
      <c r="I416" s="86"/>
      <c r="J416" s="86"/>
      <c r="K416" s="86"/>
      <c r="L416" s="86"/>
      <c r="M416" s="86"/>
      <c r="N416" s="86"/>
      <c r="O416" s="215"/>
      <c r="P416" s="215"/>
      <c r="Q416" s="215"/>
      <c r="R416" s="215"/>
      <c r="S416" s="215"/>
      <c r="T416" s="215"/>
      <c r="U416" s="215"/>
      <c r="V416" s="215"/>
      <c r="W416" s="80"/>
      <c r="X416" s="80"/>
      <c r="Y416" s="80"/>
      <c r="Z416" s="80"/>
      <c r="AA416" s="80"/>
      <c r="AB416" s="80"/>
      <c r="AC416" s="80"/>
      <c r="AD416" s="80"/>
      <c r="AE416" s="80"/>
      <c r="AF416" s="80"/>
    </row>
    <row r="417" spans="1:32">
      <c r="A417" s="1047" t="s">
        <v>404</v>
      </c>
      <c r="B417" s="1047"/>
      <c r="C417" s="1047"/>
      <c r="D417" s="1047"/>
      <c r="E417" s="1047"/>
      <c r="F417" s="86" t="str">
        <f>C43</f>
        <v>L.N. FANY CANO VARELA</v>
      </c>
      <c r="G417" s="86"/>
      <c r="H417" s="86"/>
      <c r="I417" s="86"/>
      <c r="J417" s="86"/>
      <c r="K417" s="86"/>
      <c r="L417" s="86"/>
      <c r="M417" s="86"/>
      <c r="N417" s="86"/>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85"/>
      <c r="B445" s="85"/>
      <c r="C445" s="85"/>
      <c r="D445" s="85"/>
      <c r="E445" s="85"/>
      <c r="F445" s="85"/>
      <c r="G445" s="85"/>
      <c r="H445" s="85"/>
      <c r="I445" s="85"/>
      <c r="J445" s="85"/>
      <c r="K445" s="85"/>
      <c r="L445" s="85"/>
      <c r="M445" s="85"/>
      <c r="N445" s="85"/>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85"/>
      <c r="G446" s="85"/>
      <c r="H446" s="85"/>
      <c r="I446" s="85"/>
      <c r="J446" s="85"/>
      <c r="K446" s="85"/>
      <c r="L446" s="85"/>
      <c r="M446" s="85"/>
      <c r="N446" s="85"/>
      <c r="O446" s="215"/>
      <c r="P446" s="215"/>
      <c r="Q446" s="215"/>
      <c r="R446" s="215"/>
      <c r="S446" s="215"/>
      <c r="T446" s="215"/>
      <c r="U446" s="215"/>
      <c r="V446" s="215"/>
      <c r="W446" s="80"/>
      <c r="X446" s="80"/>
      <c r="Y446" s="80"/>
      <c r="Z446" s="80"/>
      <c r="AA446" s="80"/>
      <c r="AB446" s="80"/>
      <c r="AC446" s="80"/>
      <c r="AD446" s="80"/>
      <c r="AE446" s="80"/>
      <c r="AF446" s="80"/>
    </row>
    <row r="447" spans="1:32">
      <c r="A447" s="1207"/>
      <c r="B447" s="1207"/>
      <c r="C447" s="1207"/>
      <c r="D447" s="1207"/>
      <c r="E447" s="1207"/>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1208"/>
      <c r="G451" s="1208"/>
      <c r="H451" s="1208"/>
      <c r="I451" s="1208"/>
      <c r="J451" s="1208"/>
      <c r="K451" s="1208"/>
      <c r="L451" s="1208"/>
      <c r="M451" s="1208"/>
      <c r="N451" s="1208"/>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1208"/>
      <c r="G452" s="1208"/>
      <c r="H452" s="1208"/>
      <c r="I452" s="1208"/>
      <c r="J452" s="1208"/>
      <c r="K452" s="1208"/>
      <c r="L452" s="1208"/>
      <c r="M452" s="1208"/>
      <c r="N452" s="1208"/>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A468" s="85"/>
      <c r="B468" s="85"/>
      <c r="C468" s="85"/>
      <c r="D468" s="85"/>
      <c r="E468" s="85"/>
      <c r="F468" s="85"/>
      <c r="G468" s="85"/>
      <c r="H468" s="85"/>
      <c r="I468" s="85"/>
      <c r="J468" s="85"/>
      <c r="K468" s="85"/>
      <c r="L468" s="85"/>
      <c r="M468" s="85"/>
      <c r="N468" s="85"/>
      <c r="O468" s="215"/>
      <c r="P468" s="215"/>
      <c r="Q468" s="215"/>
      <c r="R468" s="215"/>
      <c r="S468" s="215"/>
      <c r="T468" s="215"/>
      <c r="U468" s="215"/>
      <c r="V468" s="215"/>
      <c r="W468" s="80"/>
      <c r="X468" s="80"/>
      <c r="Y468" s="80"/>
      <c r="Z468" s="80"/>
      <c r="AA468" s="80"/>
      <c r="AB468" s="80"/>
      <c r="AC468" s="80"/>
      <c r="AD468" s="80"/>
      <c r="AE468" s="80"/>
      <c r="AF468" s="80"/>
    </row>
    <row r="469" spans="1:32">
      <c r="A469" s="85"/>
      <c r="B469" s="85"/>
      <c r="C469" s="85"/>
      <c r="D469" s="85"/>
      <c r="E469" s="85"/>
      <c r="F469" s="85"/>
      <c r="G469" s="85"/>
      <c r="H469" s="85"/>
      <c r="I469" s="85"/>
      <c r="J469" s="85"/>
      <c r="K469" s="85"/>
      <c r="L469" s="85"/>
      <c r="M469" s="85"/>
      <c r="N469" s="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6" t="s">
        <v>171</v>
      </c>
      <c r="B471" s="986"/>
      <c r="C471" s="986"/>
      <c r="D471" s="986"/>
      <c r="E471" s="985" t="s">
        <v>172</v>
      </c>
      <c r="F471" s="985"/>
      <c r="G471" s="985"/>
      <c r="H471" s="985"/>
      <c r="I471" s="985"/>
      <c r="J471" s="985"/>
      <c r="K471" s="985"/>
      <c r="L471" s="985"/>
      <c r="M471" s="985"/>
      <c r="N471" s="985"/>
      <c r="O471" s="215"/>
      <c r="P471" s="215"/>
      <c r="Q471" s="215"/>
      <c r="R471" s="215"/>
      <c r="S471" s="215"/>
      <c r="T471" s="215"/>
      <c r="U471" s="215"/>
      <c r="V471" s="215"/>
      <c r="W471" s="80"/>
      <c r="X471" s="80"/>
      <c r="Y471" s="80"/>
      <c r="Z471" s="80"/>
      <c r="AA471" s="80"/>
      <c r="AB471" s="80"/>
      <c r="AC471" s="80"/>
      <c r="AD471" s="80"/>
      <c r="AE471" s="80"/>
      <c r="AF471" s="80"/>
    </row>
    <row r="472" spans="1:32">
      <c r="O472" s="215"/>
      <c r="P472" s="215"/>
      <c r="Q472" s="215"/>
      <c r="R472" s="215"/>
      <c r="S472" s="215"/>
      <c r="T472" s="215"/>
      <c r="U472" s="215"/>
      <c r="V472" s="215"/>
      <c r="W472" s="80"/>
      <c r="X472" s="80"/>
      <c r="Y472" s="80"/>
      <c r="Z472" s="80"/>
      <c r="AA472" s="80"/>
      <c r="AB472" s="80"/>
      <c r="AC472" s="80"/>
      <c r="AD472" s="80"/>
      <c r="AE472" s="80"/>
      <c r="AF472" s="80"/>
    </row>
    <row r="473" spans="1:32">
      <c r="A473" s="981" t="s">
        <v>173</v>
      </c>
      <c r="B473" s="981"/>
      <c r="C473" s="981"/>
      <c r="D473" s="981"/>
      <c r="E473" s="1026" t="s">
        <v>174</v>
      </c>
      <c r="F473" s="1026"/>
      <c r="G473" s="1026"/>
      <c r="H473" s="1026"/>
      <c r="I473" s="1026"/>
      <c r="J473" s="1026"/>
      <c r="K473" s="1026"/>
      <c r="L473" s="1026"/>
      <c r="M473" s="1026"/>
      <c r="N473" s="1026"/>
      <c r="O473" s="215"/>
      <c r="P473" s="215"/>
      <c r="Q473" s="215"/>
      <c r="R473" s="215"/>
      <c r="S473" s="215"/>
      <c r="T473" s="215"/>
      <c r="U473" s="215"/>
      <c r="V473" s="215"/>
      <c r="W473" s="80"/>
      <c r="X473" s="80"/>
      <c r="Y473" s="80"/>
      <c r="Z473" s="80"/>
      <c r="AA473" s="80"/>
      <c r="AB473" s="80"/>
      <c r="AC473" s="80"/>
      <c r="AD473" s="80"/>
      <c r="AE473" s="80"/>
      <c r="AF473" s="80"/>
    </row>
    <row r="474" spans="1:32">
      <c r="E474" s="1026"/>
      <c r="F474" s="1026"/>
      <c r="G474" s="1026"/>
      <c r="H474" s="1026"/>
      <c r="I474" s="1026"/>
      <c r="J474" s="1026"/>
      <c r="K474" s="1026"/>
      <c r="L474" s="1026"/>
      <c r="M474" s="1026"/>
      <c r="N474" s="1026"/>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6" t="s">
        <v>175</v>
      </c>
      <c r="B476" s="996"/>
      <c r="C476" s="996"/>
      <c r="D476" s="996"/>
      <c r="E476" s="997" t="s">
        <v>176</v>
      </c>
      <c r="F476" s="997"/>
      <c r="G476" s="997"/>
      <c r="H476" s="997"/>
      <c r="I476" s="997"/>
      <c r="J476" s="997"/>
      <c r="K476" s="997"/>
      <c r="L476" s="997"/>
      <c r="M476" s="997"/>
      <c r="N476" s="997"/>
      <c r="O476" s="215"/>
      <c r="P476" s="215"/>
      <c r="Q476" s="215"/>
      <c r="R476" s="215"/>
      <c r="S476" s="215"/>
      <c r="T476" s="215"/>
      <c r="U476" s="215"/>
      <c r="V476" s="215"/>
      <c r="W476" s="80"/>
      <c r="X476" s="80"/>
      <c r="Y476" s="80"/>
      <c r="Z476" s="80"/>
      <c r="AA476" s="80"/>
      <c r="AB476" s="80"/>
      <c r="AC476" s="80"/>
      <c r="AD476" s="80"/>
      <c r="AE476" s="80"/>
      <c r="AF476" s="80"/>
    </row>
    <row r="477" spans="1:32">
      <c r="O477" s="215"/>
      <c r="P477" s="215"/>
      <c r="Q477" s="215"/>
      <c r="R477" s="215"/>
      <c r="S477" s="215"/>
      <c r="T477" s="215"/>
      <c r="U477" s="215"/>
      <c r="V477" s="215"/>
      <c r="W477" s="80"/>
      <c r="X477" s="80"/>
      <c r="Y477" s="80"/>
      <c r="Z477" s="80"/>
      <c r="AA477" s="80"/>
      <c r="AB477" s="80"/>
      <c r="AC477" s="80"/>
      <c r="AD477" s="80"/>
      <c r="AE477" s="80"/>
      <c r="AF477" s="80"/>
    </row>
    <row r="478" spans="1:32">
      <c r="A478" s="995" t="s">
        <v>177</v>
      </c>
      <c r="B478" s="995"/>
      <c r="C478" s="995"/>
      <c r="D478" s="995"/>
      <c r="E478" s="992" t="s">
        <v>178</v>
      </c>
      <c r="F478" s="992"/>
      <c r="G478" s="992"/>
      <c r="H478" s="992"/>
      <c r="I478" s="992"/>
      <c r="J478" s="992"/>
      <c r="K478" s="992"/>
      <c r="L478" s="992"/>
      <c r="M478" s="992"/>
      <c r="N478" s="992"/>
      <c r="O478" s="215"/>
      <c r="P478" s="215"/>
      <c r="Q478" s="215"/>
      <c r="R478" s="215"/>
      <c r="S478" s="215"/>
      <c r="T478" s="215"/>
      <c r="U478" s="215"/>
      <c r="V478" s="215"/>
      <c r="W478" s="80"/>
      <c r="X478" s="80"/>
      <c r="Y478" s="80"/>
      <c r="Z478" s="80"/>
      <c r="AA478" s="80"/>
      <c r="AB478" s="80"/>
      <c r="AC478" s="80"/>
      <c r="AD478" s="80"/>
      <c r="AE478" s="80"/>
      <c r="AF478" s="80"/>
    </row>
    <row r="479" spans="1:32">
      <c r="E479" s="992"/>
      <c r="F479" s="992"/>
      <c r="G479" s="992"/>
      <c r="H479" s="992"/>
      <c r="I479" s="992"/>
      <c r="J479" s="992"/>
      <c r="K479" s="992"/>
      <c r="L479" s="992"/>
      <c r="M479" s="992"/>
      <c r="N479" s="992"/>
      <c r="O479" s="215"/>
      <c r="P479" s="215"/>
      <c r="Q479" s="215"/>
      <c r="R479" s="215"/>
      <c r="S479" s="215"/>
      <c r="T479" s="215"/>
      <c r="U479" s="215"/>
      <c r="V479" s="215"/>
      <c r="W479" s="80"/>
      <c r="X479" s="80"/>
      <c r="Y479" s="80"/>
      <c r="Z479" s="80"/>
      <c r="AA479" s="80"/>
      <c r="AB479" s="80"/>
      <c r="AC479" s="80"/>
      <c r="AD479" s="80"/>
      <c r="AE479" s="80"/>
      <c r="AF479" s="80"/>
    </row>
    <row r="480" spans="1:32">
      <c r="O480" s="215"/>
      <c r="P480" s="215"/>
      <c r="Q480" s="215"/>
      <c r="R480" s="215"/>
      <c r="S480" s="215"/>
      <c r="T480" s="215"/>
      <c r="U480" s="215"/>
      <c r="V480" s="215"/>
      <c r="W480" s="80"/>
      <c r="X480" s="80"/>
      <c r="Y480" s="80"/>
      <c r="Z480" s="80"/>
      <c r="AA480" s="80"/>
      <c r="AB480" s="80"/>
      <c r="AC480" s="80"/>
      <c r="AD480" s="80"/>
      <c r="AE480" s="80"/>
      <c r="AF480" s="80"/>
    </row>
    <row r="481" spans="1:32">
      <c r="A481" s="981" t="s">
        <v>179</v>
      </c>
      <c r="B481" s="981"/>
      <c r="C481" s="981"/>
      <c r="D481" s="981"/>
      <c r="E481" s="998" t="s">
        <v>180</v>
      </c>
      <c r="F481" s="998"/>
      <c r="G481" s="998"/>
      <c r="H481" s="998"/>
      <c r="I481" s="998"/>
      <c r="J481" s="998"/>
      <c r="K481" s="998"/>
      <c r="L481" s="998"/>
      <c r="M481" s="998"/>
      <c r="N481" s="998"/>
      <c r="O481" s="215"/>
      <c r="P481" s="215"/>
      <c r="Q481" s="215"/>
      <c r="R481" s="215"/>
      <c r="S481" s="215"/>
      <c r="T481" s="215"/>
      <c r="U481" s="215"/>
      <c r="V481" s="215"/>
      <c r="W481" s="80"/>
      <c r="X481" s="80"/>
      <c r="Y481" s="80"/>
      <c r="Z481" s="80"/>
      <c r="AA481" s="80"/>
      <c r="AB481" s="80"/>
      <c r="AC481" s="80"/>
      <c r="AD481" s="80"/>
      <c r="AE481" s="80"/>
      <c r="AF481" s="80"/>
    </row>
    <row r="482" spans="1:32">
      <c r="E482" s="998"/>
      <c r="F482" s="998"/>
      <c r="G482" s="998"/>
      <c r="H482" s="998"/>
      <c r="I482" s="998"/>
      <c r="J482" s="998"/>
      <c r="K482" s="998"/>
      <c r="L482" s="998"/>
      <c r="M482" s="998"/>
      <c r="N482" s="998"/>
      <c r="O482" s="215"/>
      <c r="P482" s="215"/>
      <c r="Q482" s="215"/>
      <c r="R482" s="215"/>
      <c r="S482" s="215"/>
      <c r="T482" s="215"/>
      <c r="U482" s="215"/>
      <c r="V482" s="215"/>
      <c r="W482" s="80"/>
      <c r="X482" s="80"/>
      <c r="Y482" s="80"/>
      <c r="Z482" s="80"/>
      <c r="AA482" s="80"/>
      <c r="AB482" s="80"/>
      <c r="AC482" s="80"/>
      <c r="AD482" s="80"/>
      <c r="AE482" s="80"/>
      <c r="AF482" s="80"/>
    </row>
    <row r="483" spans="1:32">
      <c r="O483" s="215"/>
      <c r="P483" s="215"/>
      <c r="Q483" s="215"/>
      <c r="R483" s="215"/>
      <c r="S483" s="215"/>
      <c r="T483" s="215"/>
      <c r="U483" s="215"/>
      <c r="V483" s="215"/>
      <c r="W483" s="80"/>
      <c r="X483" s="80"/>
      <c r="Y483" s="80"/>
      <c r="Z483" s="80"/>
      <c r="AA483" s="80"/>
      <c r="AB483" s="80"/>
      <c r="AC483" s="80"/>
      <c r="AD483" s="80"/>
      <c r="AE483" s="80"/>
      <c r="AF483" s="80"/>
    </row>
    <row r="484" spans="1:32">
      <c r="A484" s="981" t="s">
        <v>181</v>
      </c>
      <c r="B484" s="981"/>
      <c r="C484" s="981"/>
      <c r="D484" s="981"/>
      <c r="E484" s="992" t="s">
        <v>182</v>
      </c>
      <c r="F484" s="992"/>
      <c r="G484" s="992"/>
      <c r="H484" s="992"/>
      <c r="I484" s="992"/>
      <c r="J484" s="992"/>
      <c r="K484" s="992"/>
      <c r="L484" s="992"/>
      <c r="M484" s="992"/>
      <c r="N484" s="992"/>
      <c r="O484" s="215"/>
      <c r="P484" s="215"/>
      <c r="Q484" s="215"/>
      <c r="R484" s="215"/>
      <c r="S484" s="215"/>
      <c r="T484" s="215"/>
      <c r="U484" s="215"/>
      <c r="V484" s="215"/>
      <c r="W484" s="80"/>
      <c r="X484" s="80"/>
      <c r="Y484" s="80"/>
      <c r="Z484" s="80"/>
      <c r="AA484" s="80"/>
      <c r="AB484" s="80"/>
      <c r="AC484" s="80"/>
      <c r="AD484" s="80"/>
      <c r="AE484" s="80"/>
      <c r="AF484" s="80"/>
    </row>
    <row r="485" spans="1:32">
      <c r="E485" s="992"/>
      <c r="F485" s="992"/>
      <c r="G485" s="992"/>
      <c r="H485" s="992"/>
      <c r="I485" s="992"/>
      <c r="J485" s="992"/>
      <c r="K485" s="992"/>
      <c r="L485" s="992"/>
      <c r="M485" s="992"/>
      <c r="N485" s="992"/>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4" t="s">
        <v>20</v>
      </c>
      <c r="B487" s="994"/>
      <c r="C487" s="994"/>
      <c r="D487" s="994"/>
      <c r="O487" s="215"/>
      <c r="P487" s="215"/>
      <c r="Q487" s="215"/>
      <c r="R487" s="215"/>
      <c r="S487" s="215"/>
      <c r="T487" s="215"/>
      <c r="U487" s="215"/>
      <c r="V487" s="215"/>
      <c r="W487" s="80"/>
      <c r="X487" s="80"/>
      <c r="Y487" s="80"/>
      <c r="Z487" s="80"/>
      <c r="AA487" s="80"/>
      <c r="AB487" s="80"/>
      <c r="AC487" s="80"/>
      <c r="AD487" s="80"/>
      <c r="AE487" s="80"/>
      <c r="AF487" s="80"/>
    </row>
    <row r="488" spans="1:32">
      <c r="O488" s="215"/>
      <c r="P488" s="215"/>
      <c r="Q488" s="215"/>
      <c r="R488" s="215"/>
      <c r="S488" s="215"/>
      <c r="T488" s="215"/>
      <c r="U488" s="215"/>
      <c r="V488" s="215"/>
      <c r="W488" s="80"/>
      <c r="X488" s="80"/>
      <c r="Y488" s="80"/>
      <c r="Z488" s="80"/>
      <c r="AA488" s="80"/>
      <c r="AB488" s="80"/>
      <c r="AC488" s="80"/>
      <c r="AD488" s="80"/>
      <c r="AE488" s="80"/>
      <c r="AF488" s="80"/>
    </row>
    <row r="489" spans="1:32">
      <c r="A489" s="995" t="s">
        <v>183</v>
      </c>
      <c r="B489" s="995"/>
      <c r="C489" s="995"/>
      <c r="D489" s="995"/>
      <c r="E489" s="985" t="s">
        <v>184</v>
      </c>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E493" s="985"/>
      <c r="F493" s="985"/>
      <c r="G493" s="985"/>
      <c r="H493" s="985"/>
      <c r="I493" s="985"/>
      <c r="J493" s="985"/>
      <c r="K493" s="985"/>
      <c r="L493" s="985"/>
      <c r="M493" s="985"/>
      <c r="N493" s="985"/>
      <c r="O493" s="215"/>
      <c r="P493" s="215"/>
      <c r="Q493" s="215"/>
      <c r="R493" s="215"/>
      <c r="S493" s="215"/>
      <c r="T493" s="215"/>
      <c r="U493" s="215"/>
      <c r="V493" s="215"/>
      <c r="W493" s="80"/>
      <c r="X493" s="80"/>
      <c r="Y493" s="80"/>
      <c r="Z493" s="80"/>
      <c r="AA493" s="80"/>
      <c r="AB493" s="80"/>
      <c r="AC493" s="80"/>
      <c r="AD493" s="80"/>
      <c r="AE493" s="80"/>
      <c r="AF493" s="80"/>
    </row>
    <row r="494" spans="1:32">
      <c r="E494" s="985"/>
      <c r="F494" s="985"/>
      <c r="G494" s="985"/>
      <c r="H494" s="985"/>
      <c r="I494" s="985"/>
      <c r="J494" s="985"/>
      <c r="K494" s="985"/>
      <c r="L494" s="985"/>
      <c r="M494" s="985"/>
      <c r="N494" s="985"/>
      <c r="O494" s="215"/>
      <c r="P494" s="215"/>
      <c r="Q494" s="215"/>
      <c r="R494" s="215"/>
      <c r="S494" s="215"/>
      <c r="T494" s="215"/>
      <c r="U494" s="215"/>
      <c r="V494" s="215"/>
      <c r="W494" s="80"/>
      <c r="X494" s="80"/>
      <c r="Y494" s="80"/>
      <c r="Z494" s="80"/>
      <c r="AA494" s="80"/>
      <c r="AB494" s="80"/>
      <c r="AC494" s="80"/>
      <c r="AD494" s="80"/>
      <c r="AE494" s="80"/>
      <c r="AF494" s="80"/>
    </row>
    <row r="495" spans="1:32">
      <c r="O495" s="215"/>
      <c r="P495" s="215"/>
      <c r="Q495" s="215"/>
      <c r="R495" s="215"/>
      <c r="S495" s="215"/>
      <c r="T495" s="215"/>
      <c r="U495" s="215"/>
      <c r="V495" s="215"/>
      <c r="W495" s="80"/>
      <c r="X495" s="80"/>
      <c r="Y495" s="80"/>
      <c r="Z495" s="80"/>
      <c r="AA495" s="80"/>
      <c r="AB495" s="80"/>
      <c r="AC495" s="80"/>
      <c r="AD495" s="80"/>
      <c r="AE495" s="80"/>
      <c r="AF495" s="80"/>
    </row>
    <row r="496" spans="1:32">
      <c r="O496" s="215"/>
      <c r="P496" s="215"/>
      <c r="Q496" s="215"/>
      <c r="R496" s="215"/>
      <c r="S496" s="215"/>
      <c r="T496" s="215"/>
      <c r="U496" s="215"/>
      <c r="V496" s="215"/>
      <c r="W496" s="80"/>
      <c r="X496" s="80"/>
      <c r="Y496" s="80"/>
      <c r="Z496" s="80"/>
      <c r="AA496" s="80"/>
      <c r="AB496" s="80"/>
      <c r="AC496" s="80"/>
      <c r="AD496" s="80"/>
      <c r="AE496" s="80"/>
      <c r="AF496" s="80"/>
    </row>
    <row r="497" spans="1:32">
      <c r="A497" s="995" t="s">
        <v>185</v>
      </c>
      <c r="B497" s="995"/>
      <c r="C497" s="995"/>
      <c r="D497" s="995"/>
      <c r="E497" s="992" t="s">
        <v>186</v>
      </c>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c r="E503" s="992"/>
      <c r="F503" s="992"/>
      <c r="G503" s="992"/>
      <c r="H503" s="992"/>
      <c r="I503" s="992"/>
      <c r="J503" s="992"/>
      <c r="K503" s="992"/>
      <c r="L503" s="992"/>
      <c r="M503" s="992"/>
      <c r="N503" s="992"/>
      <c r="O503" s="215"/>
      <c r="P503" s="215"/>
      <c r="Q503" s="215"/>
      <c r="R503" s="215"/>
      <c r="S503" s="215"/>
      <c r="T503" s="215"/>
      <c r="U503" s="215"/>
      <c r="V503" s="215"/>
      <c r="W503" s="80"/>
      <c r="X503" s="80"/>
      <c r="Y503" s="80"/>
      <c r="Z503" s="80"/>
      <c r="AA503" s="80"/>
      <c r="AB503" s="80"/>
      <c r="AC503" s="80"/>
      <c r="AD503" s="80"/>
      <c r="AE503" s="80"/>
      <c r="AF503" s="80"/>
    </row>
    <row r="504" spans="1:32">
      <c r="E504" s="992"/>
      <c r="F504" s="992"/>
      <c r="G504" s="992"/>
      <c r="H504" s="992"/>
      <c r="I504" s="992"/>
      <c r="J504" s="992"/>
      <c r="K504" s="992"/>
      <c r="L504" s="992"/>
      <c r="M504" s="992"/>
      <c r="N504" s="992"/>
      <c r="O504" s="215"/>
      <c r="P504" s="215"/>
      <c r="Q504" s="215"/>
      <c r="R504" s="215"/>
      <c r="S504" s="215"/>
      <c r="T504" s="215"/>
      <c r="U504" s="215"/>
      <c r="V504" s="215"/>
      <c r="W504" s="80"/>
      <c r="X504" s="80"/>
      <c r="Y504" s="80"/>
      <c r="Z504" s="80"/>
      <c r="AA504" s="80"/>
      <c r="AB504" s="80"/>
      <c r="AC504" s="80"/>
      <c r="AD504" s="80"/>
      <c r="AE504" s="80"/>
      <c r="AF504" s="80"/>
    </row>
    <row r="505" spans="1:32" ht="15.75" thickBot="1">
      <c r="O505" s="215"/>
      <c r="P505" s="215"/>
      <c r="Q505" s="215"/>
      <c r="R505" s="215"/>
      <c r="S505" s="215"/>
      <c r="T505" s="215"/>
      <c r="U505" s="215"/>
      <c r="V505" s="215"/>
      <c r="W505" s="80"/>
      <c r="X505" s="80"/>
      <c r="Y505" s="80"/>
      <c r="Z505" s="80"/>
      <c r="AA505" s="80"/>
      <c r="AB505" s="80"/>
      <c r="AC505" s="80"/>
      <c r="AD505" s="80"/>
      <c r="AE505" s="80"/>
      <c r="AF505" s="80"/>
    </row>
    <row r="506" spans="1:32" ht="15.75" thickBot="1">
      <c r="A506" s="986" t="s">
        <v>187</v>
      </c>
      <c r="B506" s="986"/>
      <c r="C506" s="986"/>
      <c r="D506" s="986"/>
      <c r="E506" s="990" t="s">
        <v>188</v>
      </c>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ht="15.75" thickBot="1">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ht="15.75" thickBot="1">
      <c r="E508" s="990"/>
      <c r="F508" s="990"/>
      <c r="G508" s="990"/>
      <c r="H508" s="990"/>
      <c r="I508" s="990"/>
      <c r="J508" s="990"/>
      <c r="K508" s="990"/>
      <c r="L508" s="990"/>
      <c r="M508" s="990"/>
      <c r="N508" s="990"/>
      <c r="O508" s="215"/>
      <c r="P508" s="215"/>
      <c r="Q508" s="215"/>
      <c r="R508" s="215"/>
      <c r="S508" s="215"/>
      <c r="T508" s="215"/>
      <c r="U508" s="215"/>
      <c r="V508" s="215"/>
      <c r="W508" s="80"/>
      <c r="X508" s="80"/>
      <c r="Y508" s="80"/>
      <c r="Z508" s="80"/>
      <c r="AA508" s="80"/>
      <c r="AB508" s="80"/>
      <c r="AC508" s="80"/>
      <c r="AD508" s="80"/>
      <c r="AE508" s="80"/>
      <c r="AF508" s="80"/>
    </row>
    <row r="509" spans="1:32">
      <c r="E509" s="990"/>
      <c r="F509" s="990"/>
      <c r="G509" s="990"/>
      <c r="H509" s="990"/>
      <c r="I509" s="990"/>
      <c r="J509" s="990"/>
      <c r="K509" s="990"/>
      <c r="L509" s="990"/>
      <c r="M509" s="990"/>
      <c r="N509" s="990"/>
      <c r="O509" s="215"/>
      <c r="P509" s="215"/>
      <c r="Q509" s="215"/>
      <c r="R509" s="215"/>
      <c r="S509" s="215"/>
      <c r="T509" s="215"/>
      <c r="U509" s="215"/>
      <c r="V509" s="215"/>
      <c r="W509" s="80"/>
      <c r="X509" s="80"/>
      <c r="Y509" s="80"/>
      <c r="Z509" s="80"/>
      <c r="AA509" s="80"/>
      <c r="AB509" s="80"/>
      <c r="AC509" s="80"/>
      <c r="AD509" s="80"/>
      <c r="AE509" s="80"/>
      <c r="AF509" s="80"/>
    </row>
    <row r="510" spans="1:32">
      <c r="E510" s="32"/>
      <c r="F510" s="32"/>
      <c r="G510" s="32"/>
      <c r="H510" s="32"/>
      <c r="I510" s="32"/>
      <c r="J510" s="32"/>
      <c r="K510" s="32"/>
      <c r="L510" s="32"/>
      <c r="M510" s="32"/>
      <c r="N510" s="32"/>
      <c r="O510" s="215"/>
      <c r="P510" s="215"/>
      <c r="Q510" s="215"/>
      <c r="R510" s="215"/>
      <c r="S510" s="215"/>
      <c r="T510" s="215"/>
      <c r="U510" s="215"/>
      <c r="V510" s="215"/>
      <c r="W510" s="80"/>
      <c r="X510" s="80"/>
      <c r="Y510" s="80"/>
      <c r="Z510" s="80"/>
      <c r="AA510" s="80"/>
      <c r="AB510" s="80"/>
      <c r="AC510" s="80"/>
      <c r="AD510" s="80"/>
      <c r="AE510" s="80"/>
      <c r="AF510" s="80"/>
    </row>
    <row r="511" spans="1:32">
      <c r="A511" s="991" t="s">
        <v>189</v>
      </c>
      <c r="B511" s="991"/>
      <c r="C511" s="991"/>
      <c r="D511" s="991"/>
      <c r="E511" s="992" t="s">
        <v>190</v>
      </c>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A512" s="33"/>
      <c r="B512" s="33"/>
      <c r="C512" s="33"/>
      <c r="D512" s="33"/>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c r="E513" s="992"/>
      <c r="F513" s="992"/>
      <c r="G513" s="992"/>
      <c r="H513" s="992"/>
      <c r="I513" s="992"/>
      <c r="J513" s="992"/>
      <c r="K513" s="992"/>
      <c r="L513" s="992"/>
      <c r="M513" s="992"/>
      <c r="N513" s="992"/>
      <c r="O513" s="215"/>
      <c r="P513" s="215"/>
      <c r="Q513" s="215"/>
      <c r="R513" s="215"/>
      <c r="S513" s="215"/>
      <c r="T513" s="215"/>
      <c r="U513" s="215"/>
      <c r="V513" s="215"/>
      <c r="W513" s="80"/>
      <c r="X513" s="80"/>
      <c r="Y513" s="80"/>
      <c r="Z513" s="80"/>
      <c r="AA513" s="80"/>
      <c r="AB513" s="80"/>
      <c r="AC513" s="80"/>
      <c r="AD513" s="80"/>
      <c r="AE513" s="80"/>
      <c r="AF513" s="80"/>
    </row>
    <row r="514" spans="1:32">
      <c r="E514" s="992"/>
      <c r="F514" s="992"/>
      <c r="G514" s="992"/>
      <c r="H514" s="992"/>
      <c r="I514" s="992"/>
      <c r="J514" s="992"/>
      <c r="K514" s="992"/>
      <c r="L514" s="992"/>
      <c r="M514" s="992"/>
      <c r="N514" s="992"/>
      <c r="O514" s="215"/>
      <c r="P514" s="215"/>
      <c r="Q514" s="215"/>
      <c r="R514" s="215"/>
      <c r="S514" s="215"/>
      <c r="T514" s="215"/>
      <c r="U514" s="215"/>
      <c r="V514" s="215"/>
      <c r="W514" s="80"/>
      <c r="X514" s="80"/>
      <c r="Y514" s="80"/>
      <c r="Z514" s="80"/>
      <c r="AA514" s="80"/>
      <c r="AB514" s="80"/>
      <c r="AC514" s="80"/>
      <c r="AD514" s="80"/>
      <c r="AE514" s="80"/>
      <c r="AF514" s="80"/>
    </row>
    <row r="515" spans="1:32" ht="15.75" thickBot="1">
      <c r="O515" s="215"/>
      <c r="P515" s="215"/>
      <c r="Q515" s="215"/>
      <c r="R515" s="215"/>
      <c r="S515" s="215"/>
      <c r="T515" s="215"/>
      <c r="U515" s="215"/>
      <c r="V515" s="215"/>
      <c r="W515" s="80"/>
      <c r="X515" s="80"/>
      <c r="Y515" s="80"/>
      <c r="Z515" s="80"/>
      <c r="AA515" s="80"/>
      <c r="AB515" s="80"/>
      <c r="AC515" s="80"/>
      <c r="AD515" s="80"/>
      <c r="AE515" s="80"/>
      <c r="AF515" s="80"/>
    </row>
    <row r="516" spans="1:32" ht="15.75" thickBot="1">
      <c r="A516" s="986" t="s">
        <v>191</v>
      </c>
      <c r="B516" s="986"/>
      <c r="C516" s="986"/>
      <c r="D516" s="986"/>
      <c r="E516" s="993" t="s">
        <v>192</v>
      </c>
      <c r="F516" s="993"/>
      <c r="G516" s="993"/>
      <c r="H516" s="993"/>
      <c r="I516" s="993"/>
      <c r="J516" s="993"/>
      <c r="K516" s="993"/>
      <c r="L516" s="993"/>
      <c r="M516" s="993"/>
      <c r="N516" s="993"/>
      <c r="O516" s="215"/>
      <c r="P516" s="215"/>
      <c r="Q516" s="215"/>
      <c r="R516" s="215"/>
      <c r="S516" s="215"/>
      <c r="T516" s="215"/>
      <c r="U516" s="215"/>
      <c r="V516" s="215"/>
      <c r="W516" s="80"/>
      <c r="X516" s="80"/>
      <c r="Y516" s="80"/>
      <c r="Z516" s="80"/>
      <c r="AA516" s="80"/>
      <c r="AB516" s="80"/>
      <c r="AC516" s="80"/>
      <c r="AD516" s="80"/>
      <c r="AE516" s="80"/>
      <c r="AF516" s="80"/>
    </row>
    <row r="517" spans="1:32">
      <c r="O517" s="215"/>
      <c r="P517" s="215"/>
      <c r="Q517" s="215"/>
      <c r="R517" s="215"/>
      <c r="S517" s="215"/>
      <c r="T517" s="215"/>
      <c r="U517" s="215"/>
      <c r="V517" s="215"/>
      <c r="W517" s="80"/>
      <c r="X517" s="80"/>
      <c r="Y517" s="80"/>
      <c r="Z517" s="80"/>
      <c r="AA517" s="80"/>
      <c r="AB517" s="80"/>
      <c r="AC517" s="80"/>
      <c r="AD517" s="80"/>
      <c r="AE517" s="80"/>
      <c r="AF517" s="80"/>
    </row>
    <row r="518" spans="1:32">
      <c r="A518" s="981" t="s">
        <v>193</v>
      </c>
      <c r="B518" s="981"/>
      <c r="C518" s="981"/>
      <c r="D518" s="981"/>
      <c r="E518" s="985" t="s">
        <v>194</v>
      </c>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c r="C525" s="4"/>
      <c r="E525" s="985"/>
      <c r="F525" s="985"/>
      <c r="G525" s="985"/>
      <c r="H525" s="985"/>
      <c r="I525" s="985"/>
      <c r="J525" s="985"/>
      <c r="K525" s="985"/>
      <c r="L525" s="985"/>
      <c r="M525" s="985"/>
      <c r="N525" s="985"/>
      <c r="O525" s="215"/>
      <c r="P525" s="215"/>
      <c r="Q525" s="215"/>
      <c r="R525" s="215"/>
      <c r="S525" s="215"/>
      <c r="T525" s="215"/>
      <c r="U525" s="215"/>
      <c r="V525" s="215"/>
      <c r="W525" s="80"/>
      <c r="X525" s="80"/>
      <c r="Y525" s="80"/>
      <c r="Z525" s="80"/>
      <c r="AA525" s="80"/>
      <c r="AB525" s="80"/>
      <c r="AC525" s="80"/>
      <c r="AD525" s="80"/>
      <c r="AE525" s="80"/>
      <c r="AF525" s="80"/>
    </row>
    <row r="526" spans="1:32">
      <c r="E526" s="985"/>
      <c r="F526" s="985"/>
      <c r="G526" s="985"/>
      <c r="H526" s="985"/>
      <c r="I526" s="985"/>
      <c r="J526" s="985"/>
      <c r="K526" s="985"/>
      <c r="L526" s="985"/>
      <c r="M526" s="985"/>
      <c r="N526" s="985"/>
      <c r="O526" s="215"/>
      <c r="P526" s="215"/>
      <c r="Q526" s="215"/>
      <c r="R526" s="215"/>
      <c r="S526" s="215"/>
      <c r="T526" s="215"/>
      <c r="U526" s="215"/>
      <c r="V526" s="215"/>
      <c r="W526" s="80"/>
      <c r="X526" s="80"/>
      <c r="Y526" s="80"/>
      <c r="Z526" s="80"/>
      <c r="AA526" s="80"/>
      <c r="AB526" s="80"/>
      <c r="AC526" s="80"/>
      <c r="AD526" s="80"/>
      <c r="AE526" s="80"/>
      <c r="AF526" s="80"/>
    </row>
    <row r="527" spans="1:32" ht="15.75" thickBot="1">
      <c r="E527" s="32"/>
      <c r="F527" s="32"/>
      <c r="G527" s="32"/>
      <c r="H527" s="32"/>
      <c r="I527" s="32"/>
      <c r="J527" s="32"/>
      <c r="K527" s="32"/>
      <c r="L527" s="32"/>
      <c r="M527" s="32"/>
      <c r="N527" s="32"/>
      <c r="O527" s="215"/>
      <c r="P527" s="215"/>
      <c r="Q527" s="215"/>
      <c r="R527" s="215"/>
      <c r="S527" s="215"/>
      <c r="T527" s="215"/>
      <c r="U527" s="215"/>
      <c r="V527" s="215"/>
      <c r="W527" s="80"/>
      <c r="X527" s="80"/>
      <c r="Y527" s="80"/>
      <c r="Z527" s="80"/>
      <c r="AA527" s="80"/>
      <c r="AB527" s="80"/>
      <c r="AC527" s="80"/>
      <c r="AD527" s="80"/>
      <c r="AE527" s="80"/>
      <c r="AF527" s="80"/>
    </row>
    <row r="528" spans="1:32" ht="15.75" thickBot="1">
      <c r="A528" s="986" t="s">
        <v>195</v>
      </c>
      <c r="B528" s="986"/>
      <c r="C528" s="986"/>
      <c r="D528" s="986"/>
      <c r="E528" s="987" t="s">
        <v>196</v>
      </c>
      <c r="F528" s="987"/>
      <c r="G528" s="987"/>
      <c r="H528" s="987"/>
      <c r="I528" s="987"/>
      <c r="J528" s="987"/>
      <c r="K528" s="987"/>
      <c r="L528" s="987"/>
      <c r="M528" s="987"/>
      <c r="N528" s="987"/>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c r="O530" s="215"/>
      <c r="P530" s="215"/>
      <c r="Q530" s="215"/>
      <c r="R530" s="215"/>
      <c r="S530" s="215"/>
      <c r="T530" s="215"/>
      <c r="U530" s="215"/>
      <c r="V530" s="215"/>
      <c r="W530" s="80"/>
      <c r="X530" s="80"/>
      <c r="Y530" s="80"/>
      <c r="Z530" s="80"/>
      <c r="AA530" s="80"/>
      <c r="AB530" s="80"/>
      <c r="AC530" s="80"/>
      <c r="AD530" s="80"/>
      <c r="AE530" s="80"/>
      <c r="AF530" s="80"/>
    </row>
    <row r="531" spans="1:32">
      <c r="O531" s="215"/>
      <c r="P531" s="215"/>
      <c r="Q531" s="215"/>
      <c r="R531" s="215"/>
      <c r="S531" s="215"/>
      <c r="T531" s="215"/>
      <c r="U531" s="215"/>
      <c r="V531" s="215"/>
      <c r="W531" s="80"/>
      <c r="X531" s="80"/>
      <c r="Y531" s="80"/>
      <c r="Z531" s="80"/>
      <c r="AA531" s="80"/>
      <c r="AB531" s="80"/>
      <c r="AC531" s="80"/>
      <c r="AD531" s="80"/>
      <c r="AE531" s="80"/>
      <c r="AF531" s="80"/>
    </row>
    <row r="532" spans="1:32" ht="15.75">
      <c r="A532" s="988" t="s">
        <v>29</v>
      </c>
      <c r="B532" s="988"/>
      <c r="O532" s="215"/>
      <c r="P532" s="215"/>
      <c r="Q532" s="215"/>
      <c r="R532" s="215"/>
      <c r="S532" s="215"/>
      <c r="T532" s="215"/>
      <c r="U532" s="215"/>
      <c r="V532" s="215"/>
      <c r="W532" s="80"/>
      <c r="X532" s="80"/>
      <c r="Y532" s="80"/>
      <c r="Z532" s="80"/>
      <c r="AA532" s="80"/>
      <c r="AB532" s="80"/>
      <c r="AC532" s="80"/>
      <c r="AD532" s="80"/>
      <c r="AE532" s="80"/>
      <c r="AF532" s="80"/>
    </row>
    <row r="533" spans="1:32" ht="15.75" thickBot="1">
      <c r="O533" s="215"/>
      <c r="P533" s="215"/>
      <c r="Q533" s="215"/>
      <c r="R533" s="215"/>
      <c r="S533" s="215"/>
      <c r="T533" s="215"/>
      <c r="U533" s="215"/>
      <c r="V533" s="215"/>
      <c r="W533" s="80"/>
      <c r="X533" s="80"/>
      <c r="Y533" s="80"/>
      <c r="Z533" s="80"/>
      <c r="AA533" s="80"/>
      <c r="AB533" s="80"/>
      <c r="AC533" s="80"/>
      <c r="AD533" s="80"/>
      <c r="AE533" s="80"/>
      <c r="AF533" s="80"/>
    </row>
    <row r="534" spans="1:32" ht="15.75" thickBot="1">
      <c r="A534" s="989" t="s">
        <v>197</v>
      </c>
      <c r="B534" s="989"/>
      <c r="C534" s="989"/>
      <c r="D534" s="989"/>
      <c r="E534" s="989"/>
      <c r="F534" s="34" t="s">
        <v>198</v>
      </c>
      <c r="G534" s="35"/>
      <c r="H534" s="35"/>
      <c r="I534" s="35"/>
      <c r="J534" s="35"/>
      <c r="K534" s="35"/>
      <c r="L534" s="35"/>
      <c r="M534" s="35"/>
      <c r="N534" s="35"/>
      <c r="O534" s="215"/>
      <c r="P534" s="215"/>
      <c r="Q534" s="215"/>
      <c r="R534" s="215"/>
      <c r="S534" s="215"/>
      <c r="T534" s="215"/>
      <c r="U534" s="215"/>
      <c r="V534" s="215"/>
      <c r="W534" s="80"/>
      <c r="X534" s="80"/>
      <c r="Y534" s="80"/>
      <c r="Z534" s="80"/>
      <c r="AA534" s="80"/>
      <c r="AB534" s="80"/>
      <c r="AC534" s="80"/>
      <c r="AD534" s="80"/>
      <c r="AE534" s="80"/>
      <c r="AF534" s="80"/>
    </row>
    <row r="535" spans="1:32">
      <c r="O535" s="215"/>
      <c r="P535" s="215"/>
      <c r="Q535" s="215"/>
      <c r="R535" s="215"/>
      <c r="S535" s="215"/>
      <c r="T535" s="215"/>
      <c r="U535" s="215"/>
      <c r="V535" s="215"/>
      <c r="W535" s="80"/>
      <c r="X535" s="80"/>
      <c r="Y535" s="80"/>
      <c r="Z535" s="80"/>
      <c r="AA535" s="80"/>
      <c r="AB535" s="80"/>
      <c r="AC535" s="80"/>
      <c r="AD535" s="80"/>
      <c r="AE535" s="80"/>
      <c r="AF535" s="80"/>
    </row>
    <row r="536" spans="1:32">
      <c r="A536" s="981" t="s">
        <v>199</v>
      </c>
      <c r="B536" s="981"/>
      <c r="C536" s="981"/>
      <c r="D536" s="981"/>
      <c r="E536" s="981"/>
      <c r="F536" s="982" t="s">
        <v>200</v>
      </c>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F537" s="982"/>
      <c r="G537" s="982"/>
      <c r="H537" s="982"/>
      <c r="I537" s="982"/>
      <c r="J537" s="982"/>
      <c r="K537" s="982"/>
      <c r="L537" s="982"/>
      <c r="M537" s="982"/>
      <c r="N537" s="982"/>
      <c r="O537" s="215"/>
      <c r="P537" s="215"/>
      <c r="Q537" s="215"/>
      <c r="R537" s="215"/>
      <c r="S537" s="215"/>
      <c r="T537" s="215"/>
      <c r="U537" s="215"/>
      <c r="V537" s="215"/>
      <c r="W537" s="80"/>
      <c r="X537" s="80"/>
      <c r="Y537" s="80"/>
      <c r="Z537" s="80"/>
      <c r="AA537" s="80"/>
      <c r="AB537" s="80"/>
      <c r="AC537" s="80"/>
      <c r="AD537" s="80"/>
      <c r="AE537" s="80"/>
      <c r="AF537" s="80"/>
    </row>
    <row r="538" spans="1:32">
      <c r="F538" s="982"/>
      <c r="G538" s="982"/>
      <c r="H538" s="982"/>
      <c r="I538" s="982"/>
      <c r="J538" s="982"/>
      <c r="K538" s="982"/>
      <c r="L538" s="982"/>
      <c r="M538" s="982"/>
      <c r="N538" s="982"/>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A540" s="983" t="s">
        <v>31</v>
      </c>
      <c r="B540" s="983"/>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O542" s="215"/>
      <c r="P542" s="215"/>
      <c r="Q542" s="215"/>
      <c r="R542" s="215"/>
      <c r="S542" s="215"/>
      <c r="T542" s="215"/>
      <c r="U542" s="215"/>
      <c r="V542" s="215"/>
      <c r="W542" s="80"/>
      <c r="X542" s="80"/>
      <c r="Y542" s="80"/>
      <c r="Z542" s="80"/>
      <c r="AA542" s="80"/>
      <c r="AB542" s="80"/>
      <c r="AC542" s="80"/>
      <c r="AD542" s="80"/>
      <c r="AE542" s="80"/>
      <c r="AF542" s="80"/>
    </row>
    <row r="543" spans="1:32">
      <c r="O543" s="215"/>
      <c r="P543" s="215"/>
      <c r="Q543" s="215"/>
      <c r="R543" s="215"/>
      <c r="S543" s="215"/>
      <c r="T543" s="215"/>
      <c r="U543" s="215"/>
      <c r="V543" s="215"/>
      <c r="W543" s="80"/>
      <c r="X543" s="80"/>
      <c r="Y543" s="80"/>
      <c r="Z543" s="80"/>
      <c r="AA543" s="80"/>
      <c r="AB543" s="80"/>
      <c r="AC543" s="80"/>
      <c r="AD543" s="80"/>
      <c r="AE543" s="80"/>
      <c r="AF543" s="80"/>
    </row>
    <row r="544" spans="1:32">
      <c r="A544" s="984" t="s">
        <v>32</v>
      </c>
      <c r="B544" s="984"/>
      <c r="C544" s="984"/>
      <c r="D544" s="984"/>
      <c r="E544" s="984"/>
      <c r="O544" s="215"/>
      <c r="P544" s="215"/>
      <c r="Q544" s="215"/>
      <c r="R544" s="215"/>
      <c r="S544" s="215"/>
      <c r="T544" s="215"/>
      <c r="U544" s="215"/>
      <c r="V544" s="215"/>
      <c r="W544" s="80"/>
      <c r="X544" s="80"/>
      <c r="Y544" s="80"/>
      <c r="Z544" s="80"/>
      <c r="AA544" s="80"/>
      <c r="AB544" s="80"/>
      <c r="AC544" s="80"/>
      <c r="AD544" s="80"/>
      <c r="AE544" s="80"/>
      <c r="AF544" s="80"/>
    </row>
    <row r="545" spans="1:32">
      <c r="I545" s="4"/>
      <c r="O545" s="215"/>
      <c r="P545" s="215"/>
      <c r="Q545" s="215"/>
      <c r="R545" s="215"/>
      <c r="S545" s="215"/>
      <c r="T545" s="215"/>
      <c r="U545" s="215"/>
      <c r="V545" s="215"/>
      <c r="W545" s="80"/>
      <c r="X545" s="80"/>
      <c r="Y545" s="80"/>
      <c r="Z545" s="80"/>
      <c r="AA545" s="80"/>
      <c r="AB545" s="80"/>
      <c r="AC545" s="80"/>
      <c r="AD545" s="80"/>
      <c r="AE545" s="80"/>
      <c r="AF545" s="80"/>
    </row>
    <row r="546" spans="1:32">
      <c r="O546" s="215"/>
      <c r="P546" s="215"/>
      <c r="Q546" s="215"/>
      <c r="R546" s="215"/>
      <c r="S546" s="215"/>
      <c r="T546" s="215"/>
      <c r="U546" s="215"/>
      <c r="V546" s="215"/>
      <c r="W546" s="80"/>
      <c r="X546" s="80"/>
      <c r="Y546" s="80"/>
      <c r="Z546" s="80"/>
      <c r="AA546" s="80"/>
      <c r="AB546" s="80"/>
      <c r="AC546" s="80"/>
      <c r="AD546" s="80"/>
      <c r="AE546" s="80"/>
      <c r="AF546" s="80"/>
    </row>
    <row r="547" spans="1:32">
      <c r="A547" s="981" t="s">
        <v>201</v>
      </c>
      <c r="B547" s="981"/>
      <c r="C547" s="981"/>
      <c r="D547" s="981"/>
      <c r="E547" s="981"/>
      <c r="F547" s="985" t="s">
        <v>202</v>
      </c>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985"/>
      <c r="G553" s="985"/>
      <c r="H553" s="985"/>
      <c r="I553" s="985"/>
      <c r="J553" s="985"/>
      <c r="K553" s="985"/>
      <c r="L553" s="985"/>
      <c r="M553" s="985"/>
      <c r="N553" s="985"/>
      <c r="O553" s="215"/>
      <c r="P553" s="215"/>
      <c r="Q553" s="215"/>
      <c r="R553" s="215"/>
      <c r="S553" s="215"/>
      <c r="T553" s="215"/>
      <c r="U553" s="215"/>
      <c r="V553" s="215"/>
      <c r="W553" s="80"/>
      <c r="X553" s="80"/>
      <c r="Y553" s="80"/>
      <c r="Z553" s="80"/>
      <c r="AA553" s="80"/>
      <c r="AB553" s="80"/>
      <c r="AC553" s="80"/>
      <c r="AD553" s="80"/>
      <c r="AE553" s="80"/>
      <c r="AF553" s="80"/>
    </row>
    <row r="554" spans="1:32">
      <c r="F554" s="985"/>
      <c r="G554" s="985"/>
      <c r="H554" s="985"/>
      <c r="I554" s="985"/>
      <c r="J554" s="985"/>
      <c r="K554" s="985"/>
      <c r="L554" s="985"/>
      <c r="M554" s="985"/>
      <c r="N554" s="985"/>
      <c r="O554" s="215"/>
      <c r="P554" s="215"/>
      <c r="Q554" s="215"/>
      <c r="R554" s="215"/>
      <c r="S554" s="215"/>
      <c r="T554" s="215"/>
      <c r="U554" s="215"/>
      <c r="V554" s="215"/>
      <c r="W554" s="80"/>
      <c r="X554" s="80"/>
      <c r="Y554" s="80"/>
      <c r="Z554" s="80"/>
      <c r="AA554" s="80"/>
      <c r="AB554" s="80"/>
      <c r="AC554" s="80"/>
      <c r="AD554" s="80"/>
      <c r="AE554" s="80"/>
      <c r="AF554" s="80"/>
    </row>
    <row r="555" spans="1:32">
      <c r="F555" s="32"/>
      <c r="G555" s="32"/>
      <c r="H555" s="32"/>
      <c r="I555" s="32"/>
      <c r="J555" s="32"/>
      <c r="K555" s="32"/>
      <c r="L555" s="32"/>
      <c r="M555" s="32"/>
      <c r="N555" s="32"/>
      <c r="O555" s="215"/>
      <c r="P555" s="215"/>
      <c r="Q555" s="215"/>
      <c r="R555" s="215"/>
      <c r="S555" s="215"/>
      <c r="T555" s="215"/>
      <c r="U555" s="215"/>
      <c r="V555" s="215"/>
      <c r="W555" s="80"/>
      <c r="X555" s="80"/>
      <c r="Y555" s="80"/>
      <c r="Z555" s="80"/>
      <c r="AA555" s="80"/>
      <c r="AB555" s="80"/>
      <c r="AC555" s="80"/>
      <c r="AD555" s="80"/>
      <c r="AE555" s="80"/>
      <c r="AF555" s="80"/>
    </row>
    <row r="556" spans="1:32">
      <c r="A556" s="981" t="s">
        <v>203</v>
      </c>
      <c r="B556" s="981"/>
      <c r="C556" s="981"/>
      <c r="D556" s="981"/>
      <c r="E556" s="981"/>
      <c r="F556" s="982" t="s">
        <v>204</v>
      </c>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O558" s="215"/>
      <c r="P558" s="215"/>
      <c r="Q558" s="215"/>
      <c r="R558" s="215"/>
      <c r="S558" s="215"/>
      <c r="T558" s="215"/>
      <c r="U558" s="215"/>
      <c r="V558" s="215"/>
      <c r="W558" s="80"/>
      <c r="X558" s="80"/>
      <c r="Y558" s="80"/>
      <c r="Z558" s="80"/>
      <c r="AA558" s="80"/>
      <c r="AB558" s="80"/>
      <c r="AC558" s="80"/>
      <c r="AD558" s="80"/>
      <c r="AE558" s="80"/>
      <c r="AF558" s="80"/>
    </row>
    <row r="559" spans="1:32">
      <c r="F559" s="982"/>
      <c r="G559" s="982"/>
      <c r="H559" s="982"/>
      <c r="I559" s="982"/>
      <c r="J559" s="982"/>
      <c r="K559" s="982"/>
      <c r="L559" s="982"/>
      <c r="M559" s="982"/>
      <c r="N559" s="982"/>
      <c r="O559" s="215"/>
      <c r="P559" s="215"/>
      <c r="Q559" s="215"/>
      <c r="R559" s="215"/>
      <c r="S559" s="215"/>
      <c r="T559" s="215"/>
      <c r="U559" s="215"/>
      <c r="V559" s="215"/>
      <c r="W559" s="80"/>
      <c r="X559" s="80"/>
      <c r="Y559" s="80"/>
      <c r="Z559" s="80"/>
      <c r="AA559" s="80"/>
      <c r="AB559" s="80"/>
      <c r="AC559" s="80"/>
      <c r="AD559" s="80"/>
      <c r="AE559" s="80"/>
      <c r="AF559" s="80"/>
    </row>
    <row r="560" spans="1:32">
      <c r="F560" s="982"/>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1:32">
      <c r="Q561" s="80"/>
      <c r="R561" s="80"/>
      <c r="S561" s="80"/>
      <c r="T561" s="80"/>
      <c r="U561" s="80"/>
      <c r="V561" s="80"/>
      <c r="W561" s="80"/>
      <c r="X561" s="80"/>
      <c r="Y561" s="80"/>
      <c r="Z561" s="80"/>
      <c r="AA561" s="80"/>
      <c r="AB561" s="80"/>
      <c r="AC561" s="80"/>
      <c r="AD561" s="80"/>
      <c r="AE561" s="80"/>
      <c r="AF561" s="80"/>
    </row>
    <row r="562" spans="1:32">
      <c r="A562" s="981" t="s">
        <v>205</v>
      </c>
      <c r="B562" s="981"/>
      <c r="C562" s="981"/>
      <c r="D562" s="981"/>
      <c r="E562" s="981"/>
      <c r="F562" s="982" t="s">
        <v>206</v>
      </c>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1: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1: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1: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row r="566" spans="1:32">
      <c r="F566" s="982"/>
      <c r="G566" s="982"/>
      <c r="H566" s="982"/>
      <c r="I566" s="982"/>
      <c r="J566" s="982"/>
      <c r="K566" s="982"/>
      <c r="L566" s="982"/>
      <c r="M566" s="982"/>
      <c r="N566" s="982"/>
      <c r="Q566" s="80"/>
      <c r="R566" s="80"/>
      <c r="S566" s="80"/>
      <c r="T566" s="80"/>
      <c r="U566" s="80"/>
      <c r="V566" s="80"/>
      <c r="W566" s="80"/>
      <c r="X566" s="80"/>
      <c r="Y566" s="80"/>
      <c r="Z566" s="80"/>
      <c r="AA566" s="80"/>
      <c r="AB566" s="80"/>
      <c r="AC566" s="80"/>
      <c r="AD566" s="80"/>
      <c r="AE566" s="80"/>
      <c r="AF566" s="80"/>
    </row>
    <row r="567" spans="1:32">
      <c r="F567" s="982"/>
      <c r="G567" s="982"/>
      <c r="H567" s="982"/>
      <c r="I567" s="982"/>
      <c r="J567" s="982"/>
      <c r="K567" s="982"/>
      <c r="L567" s="982"/>
      <c r="M567" s="982"/>
      <c r="N567" s="982"/>
      <c r="Q567" s="80"/>
      <c r="R567" s="80"/>
      <c r="S567" s="80"/>
      <c r="T567" s="80"/>
      <c r="U567" s="80"/>
      <c r="V567" s="80"/>
      <c r="W567" s="80"/>
      <c r="X567" s="80"/>
      <c r="Y567" s="80"/>
      <c r="Z567" s="80"/>
      <c r="AA567" s="80"/>
      <c r="AB567" s="80"/>
      <c r="AC567" s="80"/>
      <c r="AD567" s="80"/>
      <c r="AE567" s="80"/>
      <c r="AF567" s="80"/>
    </row>
  </sheetData>
  <mergeCells count="272">
    <mergeCell ref="A556:E556"/>
    <mergeCell ref="F556:N560"/>
    <mergeCell ref="A562:E562"/>
    <mergeCell ref="F562:N567"/>
    <mergeCell ref="A536:E536"/>
    <mergeCell ref="F536:N538"/>
    <mergeCell ref="A540:B540"/>
    <mergeCell ref="A544:E544"/>
    <mergeCell ref="A547:E547"/>
    <mergeCell ref="F547:N554"/>
    <mergeCell ref="A518:D518"/>
    <mergeCell ref="E518:N526"/>
    <mergeCell ref="A528:D528"/>
    <mergeCell ref="E528:N528"/>
    <mergeCell ref="A532:B532"/>
    <mergeCell ref="A534:E534"/>
    <mergeCell ref="A506:D506"/>
    <mergeCell ref="E506:N509"/>
    <mergeCell ref="A511:D511"/>
    <mergeCell ref="E511:N514"/>
    <mergeCell ref="A516:D516"/>
    <mergeCell ref="E516:N516"/>
    <mergeCell ref="A484:D484"/>
    <mergeCell ref="E484:N485"/>
    <mergeCell ref="A487:D487"/>
    <mergeCell ref="A489:D489"/>
    <mergeCell ref="E489:N494"/>
    <mergeCell ref="A497:D497"/>
    <mergeCell ref="E497:N504"/>
    <mergeCell ref="A476:D476"/>
    <mergeCell ref="E476:N476"/>
    <mergeCell ref="A478:D478"/>
    <mergeCell ref="E478:N479"/>
    <mergeCell ref="A481:D481"/>
    <mergeCell ref="E481:N482"/>
    <mergeCell ref="A417:E417"/>
    <mergeCell ref="A447:E447"/>
    <mergeCell ref="F447:N452"/>
    <mergeCell ref="A471:D471"/>
    <mergeCell ref="E471:N471"/>
    <mergeCell ref="A473:D473"/>
    <mergeCell ref="E473:N474"/>
    <mergeCell ref="A368:E368"/>
    <mergeCell ref="A369:B369"/>
    <mergeCell ref="A371:N371"/>
    <mergeCell ref="A372:N372"/>
    <mergeCell ref="A373:N373"/>
    <mergeCell ref="B374:I374"/>
    <mergeCell ref="L374:N374"/>
    <mergeCell ref="A354:N354"/>
    <mergeCell ref="A355:N355"/>
    <mergeCell ref="A356:N356"/>
    <mergeCell ref="A358:E358"/>
    <mergeCell ref="F363:I363"/>
    <mergeCell ref="A366:B366"/>
    <mergeCell ref="A348:N348"/>
    <mergeCell ref="A349:N349"/>
    <mergeCell ref="A350:N350"/>
    <mergeCell ref="A351:N351"/>
    <mergeCell ref="A352:N352"/>
    <mergeCell ref="A353:N353"/>
    <mergeCell ref="A338:C338"/>
    <mergeCell ref="A339:C339"/>
    <mergeCell ref="A340:C340"/>
    <mergeCell ref="A342:D342"/>
    <mergeCell ref="E342:N342"/>
    <mergeCell ref="A347:N347"/>
    <mergeCell ref="A332:C332"/>
    <mergeCell ref="A333:C333"/>
    <mergeCell ref="A334:C334"/>
    <mergeCell ref="A335:C335"/>
    <mergeCell ref="A336:C336"/>
    <mergeCell ref="A337:C337"/>
    <mergeCell ref="A326:C326"/>
    <mergeCell ref="A327:C327"/>
    <mergeCell ref="A328:C328"/>
    <mergeCell ref="A329:C329"/>
    <mergeCell ref="A330:C330"/>
    <mergeCell ref="A331:C331"/>
    <mergeCell ref="A308:D308"/>
    <mergeCell ref="K308:L308"/>
    <mergeCell ref="A309:F309"/>
    <mergeCell ref="C310:D310"/>
    <mergeCell ref="F310:N310"/>
    <mergeCell ref="E325:F325"/>
    <mergeCell ref="A305:D305"/>
    <mergeCell ref="K305:L305"/>
    <mergeCell ref="A306:D306"/>
    <mergeCell ref="K306:L306"/>
    <mergeCell ref="A307:D307"/>
    <mergeCell ref="K307:L307"/>
    <mergeCell ref="A292:B292"/>
    <mergeCell ref="A293:B293"/>
    <mergeCell ref="L293:M293"/>
    <mergeCell ref="A294:B294"/>
    <mergeCell ref="L294:M294"/>
    <mergeCell ref="A304:D304"/>
    <mergeCell ref="E304:F304"/>
    <mergeCell ref="H304:I304"/>
    <mergeCell ref="K304:M304"/>
    <mergeCell ref="A287:B287"/>
    <mergeCell ref="A289:B289"/>
    <mergeCell ref="A290:B290"/>
    <mergeCell ref="H290:J290"/>
    <mergeCell ref="L290:M290"/>
    <mergeCell ref="A291:B291"/>
    <mergeCell ref="A281:F281"/>
    <mergeCell ref="D282:E282"/>
    <mergeCell ref="F282:G282"/>
    <mergeCell ref="I282:J282"/>
    <mergeCell ref="K282:M282"/>
    <mergeCell ref="E283:F283"/>
    <mergeCell ref="D262:F262"/>
    <mergeCell ref="A272:N272"/>
    <mergeCell ref="A277:N277"/>
    <mergeCell ref="A278:N278"/>
    <mergeCell ref="A279:N279"/>
    <mergeCell ref="B280:G280"/>
    <mergeCell ref="I280:J280"/>
    <mergeCell ref="M280:N280"/>
    <mergeCell ref="J243:K243"/>
    <mergeCell ref="I251:L251"/>
    <mergeCell ref="I252:L252"/>
    <mergeCell ref="I253:L253"/>
    <mergeCell ref="I254:L254"/>
    <mergeCell ref="I255:L255"/>
    <mergeCell ref="E238:F238"/>
    <mergeCell ref="E239:F239"/>
    <mergeCell ref="E240:F240"/>
    <mergeCell ref="E241:F241"/>
    <mergeCell ref="E242:F242"/>
    <mergeCell ref="J242:K242"/>
    <mergeCell ref="E231:F231"/>
    <mergeCell ref="E232:F232"/>
    <mergeCell ref="E233:F233"/>
    <mergeCell ref="E234:F234"/>
    <mergeCell ref="E235:G235"/>
    <mergeCell ref="E237:F237"/>
    <mergeCell ref="E227:F227"/>
    <mergeCell ref="E228:F228"/>
    <mergeCell ref="I228:K228"/>
    <mergeCell ref="E229:F229"/>
    <mergeCell ref="I229:K229"/>
    <mergeCell ref="E230:F230"/>
    <mergeCell ref="E221:F221"/>
    <mergeCell ref="E222:F222"/>
    <mergeCell ref="E223:F223"/>
    <mergeCell ref="E224:F224"/>
    <mergeCell ref="E225:F225"/>
    <mergeCell ref="E226:F226"/>
    <mergeCell ref="A210:B210"/>
    <mergeCell ref="A211:B211"/>
    <mergeCell ref="A212:B212"/>
    <mergeCell ref="A213:C213"/>
    <mergeCell ref="A214:B214"/>
    <mergeCell ref="E220:F220"/>
    <mergeCell ref="A199:B199"/>
    <mergeCell ref="J199:K199"/>
    <mergeCell ref="I201:J201"/>
    <mergeCell ref="A206:B206"/>
    <mergeCell ref="A207:B207"/>
    <mergeCell ref="A209:B209"/>
    <mergeCell ref="J195:K195"/>
    <mergeCell ref="A196:B196"/>
    <mergeCell ref="J196:K196"/>
    <mergeCell ref="A197:B197"/>
    <mergeCell ref="J197:K197"/>
    <mergeCell ref="A198:B198"/>
    <mergeCell ref="J198:K198"/>
    <mergeCell ref="L191:M191"/>
    <mergeCell ref="A192:B192"/>
    <mergeCell ref="J192:K192"/>
    <mergeCell ref="A193:B193"/>
    <mergeCell ref="J193:K193"/>
    <mergeCell ref="A194:B194"/>
    <mergeCell ref="J194:K194"/>
    <mergeCell ref="A189:B189"/>
    <mergeCell ref="C189:H189"/>
    <mergeCell ref="I189:K189"/>
    <mergeCell ref="A191:B191"/>
    <mergeCell ref="C191:D191"/>
    <mergeCell ref="E191:F191"/>
    <mergeCell ref="G191:H191"/>
    <mergeCell ref="I191:K191"/>
    <mergeCell ref="A185:N185"/>
    <mergeCell ref="B186:G186"/>
    <mergeCell ref="M186:N186"/>
    <mergeCell ref="B187:C187"/>
    <mergeCell ref="K187:L187"/>
    <mergeCell ref="A188:B188"/>
    <mergeCell ref="E188:F188"/>
    <mergeCell ref="I188:J188"/>
    <mergeCell ref="A160:D160"/>
    <mergeCell ref="A161:D161"/>
    <mergeCell ref="A162:D162"/>
    <mergeCell ref="A181:C181"/>
    <mergeCell ref="A183:N183"/>
    <mergeCell ref="A184:N184"/>
    <mergeCell ref="D136:E136"/>
    <mergeCell ref="D137:E137"/>
    <mergeCell ref="D138:E138"/>
    <mergeCell ref="A140:F140"/>
    <mergeCell ref="A158:D158"/>
    <mergeCell ref="A159:D159"/>
    <mergeCell ref="D108:E108"/>
    <mergeCell ref="A109:F109"/>
    <mergeCell ref="D121:E121"/>
    <mergeCell ref="D122:E122"/>
    <mergeCell ref="D123:E123"/>
    <mergeCell ref="A124:F124"/>
    <mergeCell ref="A88:B88"/>
    <mergeCell ref="A93:C93"/>
    <mergeCell ref="F93:J93"/>
    <mergeCell ref="A94:F94"/>
    <mergeCell ref="D106:E106"/>
    <mergeCell ref="D107:E107"/>
    <mergeCell ref="A75:C75"/>
    <mergeCell ref="A78:B78"/>
    <mergeCell ref="A80:C80"/>
    <mergeCell ref="A83:B83"/>
    <mergeCell ref="C84:F84"/>
    <mergeCell ref="A85:C85"/>
    <mergeCell ref="A66:C66"/>
    <mergeCell ref="A67:B67"/>
    <mergeCell ref="A69:B69"/>
    <mergeCell ref="A71:B71"/>
    <mergeCell ref="A73:B73"/>
    <mergeCell ref="A74:C74"/>
    <mergeCell ref="A58:D58"/>
    <mergeCell ref="A59:C59"/>
    <mergeCell ref="A60:B60"/>
    <mergeCell ref="A62:B62"/>
    <mergeCell ref="A64:B64"/>
    <mergeCell ref="A65:C65"/>
    <mergeCell ref="A39:B39"/>
    <mergeCell ref="L39:M39"/>
    <mergeCell ref="A40:B40"/>
    <mergeCell ref="L40:M40"/>
    <mergeCell ref="A43:B43"/>
    <mergeCell ref="A44:E44"/>
    <mergeCell ref="F44:N46"/>
    <mergeCell ref="A35:B35"/>
    <mergeCell ref="A36:B36"/>
    <mergeCell ref="H36:J36"/>
    <mergeCell ref="L36:M36"/>
    <mergeCell ref="A37:B37"/>
    <mergeCell ref="A38:B38"/>
    <mergeCell ref="E21:F21"/>
    <mergeCell ref="A23:L23"/>
    <mergeCell ref="A25:C25"/>
    <mergeCell ref="A26:C26"/>
    <mergeCell ref="A27:C27"/>
    <mergeCell ref="A28:C28"/>
    <mergeCell ref="A19:C19"/>
    <mergeCell ref="F19:M19"/>
    <mergeCell ref="E20:F20"/>
    <mergeCell ref="G20:L20"/>
    <mergeCell ref="D8:E8"/>
    <mergeCell ref="H8:I8"/>
    <mergeCell ref="H11:I11"/>
    <mergeCell ref="H12:I12"/>
    <mergeCell ref="A13:C13"/>
    <mergeCell ref="H13:I13"/>
    <mergeCell ref="B4:I4"/>
    <mergeCell ref="K4:L4"/>
    <mergeCell ref="M4:N4"/>
    <mergeCell ref="B5:C5"/>
    <mergeCell ref="D6:E6"/>
    <mergeCell ref="G6:K6"/>
    <mergeCell ref="A14:C14"/>
    <mergeCell ref="H14:I14"/>
    <mergeCell ref="C18:D18"/>
  </mergeCells>
  <dataValidations count="13">
    <dataValidation type="list" allowBlank="1" showInputMessage="1" showErrorMessage="1" sqref="C18:D18">
      <formula1>$O$16:$O$19</formula1>
    </dataValidation>
    <dataValidation type="list" allowBlank="1" showInputMessage="1" showErrorMessage="1" sqref="D17">
      <formula1>$O$6:$O$10</formula1>
    </dataValidation>
    <dataValidation type="list" allowBlank="1" showInputMessage="1" showErrorMessage="1" sqref="D16">
      <formula1>$O$6:$O$15</formula1>
    </dataValidation>
    <dataValidation type="list" allowBlank="1" showInputMessage="1" showErrorMessage="1" sqref="D15">
      <formula1>$O$6:$O$14</formula1>
    </dataValidation>
    <dataValidation type="list" showDropDown="1" showInputMessage="1" showErrorMessage="1" sqref="G26">
      <formula1>$U$269:$U$279</formula1>
    </dataValidation>
    <dataValidation type="list" allowBlank="1" showInputMessage="1" showErrorMessage="1" sqref="F282:G282 F25">
      <formula1>$P$269:$P$277</formula1>
    </dataValidation>
    <dataValidation type="list" allowBlank="1" showInputMessage="1" showErrorMessage="1" sqref="K282:M282 K25">
      <formula1>$R$269:$R$277</formula1>
    </dataValidation>
    <dataValidation type="list" allowBlank="1" showInputMessage="1" showErrorMessage="1" sqref="D283 D26">
      <formula1>$T$269:$T$279</formula1>
    </dataValidation>
    <dataValidation type="list" allowBlank="1" showInputMessage="1" showErrorMessage="1" sqref="G283">
      <formula1>$U$269:$U$279</formula1>
    </dataValidation>
    <dataValidation type="list" allowBlank="1" showInputMessage="1" showErrorMessage="1" sqref="C287 C28:C33 C343:C346">
      <formula1>$P$279:$P$280</formula1>
    </dataValidation>
    <dataValidation type="list" allowBlank="1" showInputMessage="1" showErrorMessage="1" sqref="L294:M294 L40:M41">
      <formula1>$R$279:$R$280</formula1>
    </dataValidation>
    <dataValidation type="list" allowBlank="1" showInputMessage="1" showErrorMessage="1" sqref="C369:C370">
      <formula1>$O$363:$O$364</formula1>
    </dataValidation>
    <dataValidation type="list" allowBlank="1" showInputMessage="1" showErrorMessage="1" sqref="C43">
      <formula1>$O$33:$O$36</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X565"/>
  <sheetViews>
    <sheetView showGridLines="0" showRowColHeaders="0" topLeftCell="A376" zoomScaleNormal="100" zoomScalePageLayoutView="60" workbookViewId="0">
      <selection activeCell="U383" sqref="U383"/>
    </sheetView>
  </sheetViews>
  <sheetFormatPr baseColWidth="10" defaultRowHeight="15"/>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2">
      <c r="A1" s="357"/>
      <c r="B1" s="357"/>
      <c r="C1" s="357" t="s">
        <v>209</v>
      </c>
      <c r="D1" s="357"/>
      <c r="E1" s="357"/>
      <c r="F1" s="357"/>
      <c r="G1" s="357"/>
      <c r="H1" s="357"/>
      <c r="I1" s="357"/>
      <c r="J1" s="357"/>
      <c r="K1" s="357"/>
      <c r="L1" s="357"/>
      <c r="M1" s="357"/>
      <c r="N1" s="357"/>
      <c r="O1" s="80"/>
      <c r="P1" s="80"/>
      <c r="Q1" s="80"/>
      <c r="R1" s="80"/>
      <c r="S1" s="80"/>
      <c r="T1" s="80"/>
      <c r="U1" s="80"/>
    </row>
    <row r="2" spans="1:22">
      <c r="A2" s="357"/>
      <c r="B2" s="357"/>
      <c r="C2" s="357" t="s">
        <v>0</v>
      </c>
      <c r="D2" s="357"/>
      <c r="E2" s="357"/>
      <c r="F2" s="357"/>
      <c r="G2" s="357"/>
      <c r="H2" s="357"/>
      <c r="I2" s="357"/>
      <c r="J2" s="357"/>
      <c r="K2" s="357"/>
      <c r="L2" s="357"/>
      <c r="M2" s="357"/>
      <c r="N2" s="357"/>
      <c r="O2" s="80"/>
      <c r="P2" s="80"/>
      <c r="Q2" s="80"/>
      <c r="R2" s="80"/>
      <c r="S2" s="80"/>
      <c r="T2" s="80"/>
      <c r="U2" s="80"/>
    </row>
    <row r="3" spans="1:22">
      <c r="A3" s="357"/>
      <c r="B3" s="357"/>
      <c r="C3" s="357" t="s">
        <v>1</v>
      </c>
      <c r="D3" s="357"/>
      <c r="E3" s="357"/>
      <c r="F3" s="357"/>
      <c r="G3" s="357"/>
      <c r="H3" s="357"/>
      <c r="I3" s="357"/>
      <c r="J3" s="357"/>
      <c r="K3" s="357"/>
      <c r="L3" s="357"/>
      <c r="M3" s="357"/>
      <c r="N3" s="357"/>
      <c r="O3" s="80"/>
      <c r="P3" s="80"/>
      <c r="Q3" s="80"/>
      <c r="R3" s="80"/>
      <c r="S3" s="80"/>
      <c r="T3" s="80"/>
      <c r="U3" s="80"/>
    </row>
    <row r="4" spans="1:22">
      <c r="A4" s="379" t="s">
        <v>2</v>
      </c>
      <c r="B4" s="1251" t="s">
        <v>630</v>
      </c>
      <c r="C4" s="1252"/>
      <c r="D4" s="1252"/>
      <c r="E4" s="1252"/>
      <c r="F4" s="1252"/>
      <c r="G4" s="1252"/>
      <c r="H4" s="1252"/>
      <c r="I4" s="1252"/>
      <c r="J4" s="358"/>
      <c r="K4" s="1172" t="s">
        <v>291</v>
      </c>
      <c r="L4" s="1172"/>
      <c r="M4" s="1253" t="s">
        <v>631</v>
      </c>
      <c r="N4" s="1254"/>
      <c r="O4" s="80"/>
      <c r="P4" s="80"/>
      <c r="Q4" s="80"/>
      <c r="R4" s="80"/>
      <c r="S4" s="80"/>
      <c r="T4" s="80"/>
      <c r="U4" s="80"/>
    </row>
    <row r="5" spans="1:22">
      <c r="A5" s="380" t="s">
        <v>3</v>
      </c>
      <c r="B5" s="1255">
        <v>41501</v>
      </c>
      <c r="C5" s="1255"/>
      <c r="D5" s="796"/>
      <c r="E5" s="796"/>
      <c r="F5" s="796"/>
      <c r="G5" s="796"/>
      <c r="H5" s="796"/>
      <c r="I5" s="796"/>
      <c r="J5" s="79"/>
      <c r="K5" s="796"/>
      <c r="L5" s="796"/>
      <c r="M5" s="78"/>
      <c r="N5" s="359"/>
      <c r="O5" s="80"/>
      <c r="P5" s="80"/>
      <c r="Q5" s="80"/>
      <c r="R5" s="80"/>
      <c r="S5" s="80"/>
      <c r="T5" s="80"/>
      <c r="U5" s="80"/>
    </row>
    <row r="6" spans="1:22">
      <c r="A6" s="380" t="s">
        <v>234</v>
      </c>
      <c r="B6" s="796"/>
      <c r="C6" s="796"/>
      <c r="D6" s="1256">
        <v>38292</v>
      </c>
      <c r="E6" s="1255"/>
      <c r="F6" s="796"/>
      <c r="G6" s="1118" t="str">
        <f ca="1">DATEDIF(D6,TODAY(),"y")&amp;"_años_"&amp;DATEDIF(D6,TODAY(),"ym")&amp;"_meses_"&amp;DATEDIF(D6,TODAY(),"md")&amp;"_dias_"</f>
        <v>13_años_5_meses_17_dias_</v>
      </c>
      <c r="H6" s="1118"/>
      <c r="I6" s="1118"/>
      <c r="J6" s="1118"/>
      <c r="K6" s="1118"/>
      <c r="L6" s="796"/>
      <c r="M6" s="796"/>
      <c r="N6" s="360"/>
      <c r="O6" s="275">
        <v>1</v>
      </c>
      <c r="P6" s="215"/>
      <c r="Q6" s="215"/>
      <c r="R6" s="215"/>
      <c r="S6" s="215"/>
      <c r="T6" s="215"/>
      <c r="U6" s="215"/>
      <c r="V6" s="215"/>
    </row>
    <row r="7" spans="1:22">
      <c r="A7" s="380"/>
      <c r="B7" s="796"/>
      <c r="C7" s="796"/>
      <c r="D7" s="796"/>
      <c r="E7" s="796"/>
      <c r="F7" s="796"/>
      <c r="G7" s="796"/>
      <c r="H7" s="796"/>
      <c r="I7" s="796"/>
      <c r="J7" s="79"/>
      <c r="K7" s="796"/>
      <c r="L7" s="796"/>
      <c r="M7" s="78"/>
      <c r="N7" s="359"/>
      <c r="O7" s="275">
        <v>2</v>
      </c>
      <c r="P7" s="215"/>
      <c r="Q7" s="215"/>
      <c r="R7" s="215"/>
      <c r="S7" s="215"/>
      <c r="T7" s="215"/>
      <c r="U7" s="215"/>
      <c r="V7" s="215"/>
    </row>
    <row r="8" spans="1:22" ht="16.5" customHeight="1">
      <c r="A8" s="380" t="s">
        <v>73</v>
      </c>
      <c r="B8" s="79"/>
      <c r="C8" s="79"/>
      <c r="D8" s="1173" t="s">
        <v>406</v>
      </c>
      <c r="E8" s="1173"/>
      <c r="F8" s="169"/>
      <c r="G8" s="79"/>
      <c r="H8" s="1173"/>
      <c r="I8" s="1173"/>
      <c r="J8" s="169"/>
      <c r="K8" s="171"/>
      <c r="L8" s="790"/>
      <c r="M8" s="361"/>
      <c r="N8" s="360"/>
      <c r="O8" s="275">
        <v>3</v>
      </c>
      <c r="P8" s="215"/>
      <c r="Q8" s="215"/>
      <c r="R8" s="215"/>
      <c r="S8" s="215"/>
      <c r="T8" s="215"/>
      <c r="U8" s="215"/>
      <c r="V8" s="215"/>
    </row>
    <row r="9" spans="1:22">
      <c r="A9" s="380" t="s">
        <v>418</v>
      </c>
      <c r="B9" s="79"/>
      <c r="C9" s="79"/>
      <c r="D9" s="801" t="s">
        <v>5</v>
      </c>
      <c r="E9" s="801"/>
      <c r="F9" s="169"/>
      <c r="G9" s="79"/>
      <c r="H9" s="801"/>
      <c r="I9" s="801"/>
      <c r="J9" s="169"/>
      <c r="K9" s="171"/>
      <c r="L9" s="790"/>
      <c r="M9" s="361"/>
      <c r="N9" s="360"/>
      <c r="O9" s="275">
        <v>4</v>
      </c>
      <c r="P9" s="215"/>
      <c r="Q9" s="215"/>
      <c r="R9" s="215"/>
      <c r="S9" s="215"/>
      <c r="T9" s="215"/>
      <c r="U9" s="215"/>
      <c r="V9" s="215"/>
    </row>
    <row r="10" spans="1:22">
      <c r="A10" s="380" t="s">
        <v>412</v>
      </c>
      <c r="B10" s="79"/>
      <c r="C10" s="79"/>
      <c r="D10" s="801" t="s">
        <v>5</v>
      </c>
      <c r="E10" s="801"/>
      <c r="F10" s="169"/>
      <c r="G10" s="79"/>
      <c r="H10" s="801"/>
      <c r="I10" s="801"/>
      <c r="J10" s="169"/>
      <c r="K10" s="171"/>
      <c r="L10" s="790"/>
      <c r="M10" s="361"/>
      <c r="N10" s="360"/>
      <c r="O10" s="275">
        <v>5</v>
      </c>
      <c r="P10" s="215"/>
      <c r="Q10" s="215"/>
      <c r="R10" s="215"/>
      <c r="S10" s="215"/>
      <c r="T10" s="215"/>
      <c r="U10" s="215"/>
      <c r="V10" s="215"/>
    </row>
    <row r="11" spans="1:22" ht="15.75">
      <c r="A11" s="380" t="s">
        <v>417</v>
      </c>
      <c r="B11" s="79"/>
      <c r="C11" s="79"/>
      <c r="D11" s="139">
        <v>10</v>
      </c>
      <c r="E11" s="79" t="s">
        <v>5</v>
      </c>
      <c r="F11" s="169" t="s">
        <v>408</v>
      </c>
      <c r="G11" s="289">
        <v>8</v>
      </c>
      <c r="H11" s="1257" t="s">
        <v>407</v>
      </c>
      <c r="I11" s="1257"/>
      <c r="J11" s="783"/>
      <c r="K11" s="169"/>
      <c r="L11" s="801"/>
      <c r="M11" s="79"/>
      <c r="N11" s="360"/>
      <c r="O11" s="275">
        <v>6</v>
      </c>
      <c r="P11" s="215"/>
      <c r="Q11" s="215"/>
      <c r="R11" s="215"/>
      <c r="S11" s="215"/>
      <c r="T11" s="215"/>
      <c r="U11" s="215"/>
      <c r="V11" s="215"/>
    </row>
    <row r="12" spans="1:22" ht="15.75">
      <c r="A12" s="380" t="s">
        <v>6</v>
      </c>
      <c r="B12" s="79"/>
      <c r="C12" s="79"/>
      <c r="D12" s="139">
        <v>52</v>
      </c>
      <c r="E12" s="79" t="s">
        <v>7</v>
      </c>
      <c r="F12" s="79"/>
      <c r="G12" s="79"/>
      <c r="H12" s="1173"/>
      <c r="I12" s="1173"/>
      <c r="J12" s="801"/>
      <c r="K12" s="171"/>
      <c r="L12" s="790"/>
      <c r="M12" s="169"/>
      <c r="N12" s="488"/>
      <c r="O12" s="275">
        <v>7</v>
      </c>
      <c r="P12" s="215"/>
      <c r="Q12" s="215"/>
      <c r="R12" s="215"/>
      <c r="S12" s="215"/>
      <c r="T12" s="215"/>
      <c r="U12" s="215"/>
      <c r="V12" s="215"/>
    </row>
    <row r="13" spans="1:22" s="81" customFormat="1" ht="15.75">
      <c r="A13" s="1177" t="s">
        <v>11</v>
      </c>
      <c r="B13" s="1178"/>
      <c r="C13" s="1178"/>
      <c r="D13" s="139">
        <v>144</v>
      </c>
      <c r="E13" s="79" t="s">
        <v>17</v>
      </c>
      <c r="F13" s="79"/>
      <c r="G13" s="79"/>
      <c r="H13" s="1173"/>
      <c r="I13" s="1173"/>
      <c r="J13" s="801"/>
      <c r="K13" s="171"/>
      <c r="L13" s="790"/>
      <c r="M13" s="79"/>
      <c r="N13" s="360"/>
      <c r="O13" s="275">
        <v>8</v>
      </c>
      <c r="P13" s="215"/>
      <c r="Q13" s="215"/>
      <c r="R13" s="215"/>
      <c r="S13" s="215"/>
      <c r="T13" s="215"/>
      <c r="U13" s="215"/>
      <c r="V13" s="215"/>
    </row>
    <row r="14" spans="1:22" ht="15.75">
      <c r="A14" s="1177" t="s">
        <v>13</v>
      </c>
      <c r="B14" s="1178"/>
      <c r="C14" s="1178"/>
      <c r="D14" s="613">
        <f>D12/(D13*D13)*10000</f>
        <v>25.077160493827158</v>
      </c>
      <c r="E14" s="364" t="s">
        <v>14</v>
      </c>
      <c r="F14" s="79"/>
      <c r="G14" s="79"/>
      <c r="H14" s="1173"/>
      <c r="I14" s="1173"/>
      <c r="J14" s="801"/>
      <c r="K14" s="171"/>
      <c r="L14" s="790"/>
      <c r="M14" s="79"/>
      <c r="N14" s="360"/>
      <c r="O14" s="275">
        <v>9</v>
      </c>
      <c r="P14" s="215"/>
      <c r="Q14" s="215"/>
      <c r="R14" s="215"/>
      <c r="S14" s="215"/>
      <c r="T14" s="215"/>
      <c r="U14" s="215"/>
      <c r="V14" s="215"/>
    </row>
    <row r="15" spans="1:22" s="80" customFormat="1" ht="15.75">
      <c r="A15" s="481" t="s">
        <v>419</v>
      </c>
      <c r="B15" s="254"/>
      <c r="C15" s="254"/>
      <c r="D15" s="482">
        <v>2</v>
      </c>
      <c r="E15" s="364" t="s">
        <v>407</v>
      </c>
      <c r="F15" s="79"/>
      <c r="G15" s="79"/>
      <c r="H15" s="801"/>
      <c r="I15" s="801"/>
      <c r="J15" s="801"/>
      <c r="K15" s="171"/>
      <c r="L15" s="79"/>
      <c r="M15" s="79"/>
      <c r="N15" s="360"/>
      <c r="O15" s="215"/>
      <c r="P15" s="215"/>
      <c r="Q15" s="215"/>
      <c r="R15" s="215"/>
      <c r="S15" s="215"/>
      <c r="T15" s="215"/>
      <c r="U15" s="215"/>
      <c r="V15" s="215"/>
    </row>
    <row r="16" spans="1:22" ht="15.75">
      <c r="A16" s="481" t="s">
        <v>420</v>
      </c>
      <c r="B16" s="254"/>
      <c r="C16" s="254"/>
      <c r="D16" s="482">
        <v>6</v>
      </c>
      <c r="E16" s="364" t="s">
        <v>407</v>
      </c>
      <c r="F16" s="79"/>
      <c r="G16" s="79"/>
      <c r="H16" s="801"/>
      <c r="I16" s="801"/>
      <c r="J16" s="801"/>
      <c r="K16" s="171"/>
      <c r="L16" s="79"/>
      <c r="M16" s="79"/>
      <c r="N16" s="360"/>
      <c r="O16" s="215" t="s">
        <v>424</v>
      </c>
      <c r="P16" s="215"/>
      <c r="Q16" s="215"/>
      <c r="R16" s="215"/>
      <c r="S16" s="215"/>
      <c r="T16" s="215"/>
      <c r="U16" s="215"/>
      <c r="V16" s="215"/>
    </row>
    <row r="17" spans="1:22">
      <c r="A17" s="483" t="s">
        <v>421</v>
      </c>
      <c r="B17" s="255"/>
      <c r="C17" s="255"/>
      <c r="D17" s="484">
        <v>2</v>
      </c>
      <c r="E17" s="364" t="s">
        <v>422</v>
      </c>
      <c r="F17" s="79"/>
      <c r="G17" s="79"/>
      <c r="H17" s="801"/>
      <c r="I17" s="801"/>
      <c r="J17" s="801"/>
      <c r="K17" s="169"/>
      <c r="L17" s="79"/>
      <c r="M17" s="79"/>
      <c r="N17" s="360"/>
      <c r="O17" s="215" t="s">
        <v>423</v>
      </c>
      <c r="P17" s="215"/>
      <c r="Q17" s="215"/>
      <c r="R17" s="215"/>
      <c r="S17" s="215"/>
      <c r="T17" s="215"/>
      <c r="U17" s="215"/>
      <c r="V17" s="215"/>
    </row>
    <row r="18" spans="1:22" ht="15.75" customHeight="1">
      <c r="A18" s="802" t="s">
        <v>323</v>
      </c>
      <c r="B18" s="803"/>
      <c r="C18" s="1178" t="s">
        <v>425</v>
      </c>
      <c r="D18" s="1178"/>
      <c r="E18" s="364"/>
      <c r="F18" s="79"/>
      <c r="G18" s="79"/>
      <c r="H18" s="801"/>
      <c r="I18" s="801"/>
      <c r="J18" s="801"/>
      <c r="K18" s="169"/>
      <c r="L18" s="79"/>
      <c r="M18" s="79"/>
      <c r="N18" s="360"/>
      <c r="O18" s="215" t="s">
        <v>425</v>
      </c>
      <c r="P18" s="215"/>
      <c r="Q18" s="215"/>
      <c r="R18" s="215"/>
      <c r="S18" s="215"/>
      <c r="T18" s="215"/>
      <c r="U18" s="215"/>
      <c r="V18" s="215"/>
    </row>
    <row r="19" spans="1:22" ht="18.75">
      <c r="A19" s="1241"/>
      <c r="B19" s="1242"/>
      <c r="C19" s="1242"/>
      <c r="D19" s="365"/>
      <c r="E19" s="366"/>
      <c r="F19" s="1243"/>
      <c r="G19" s="1243"/>
      <c r="H19" s="1243"/>
      <c r="I19" s="1243"/>
      <c r="J19" s="1243"/>
      <c r="K19" s="1243"/>
      <c r="L19" s="1243"/>
      <c r="M19" s="1243"/>
      <c r="N19" s="367"/>
      <c r="O19" s="215" t="s">
        <v>324</v>
      </c>
      <c r="P19" s="215"/>
      <c r="Q19" s="215"/>
      <c r="R19" s="215"/>
      <c r="S19" s="215"/>
      <c r="T19" s="215"/>
      <c r="U19" s="215"/>
      <c r="V19" s="215"/>
    </row>
    <row r="20" spans="1:22">
      <c r="A20" s="238" t="s">
        <v>4</v>
      </c>
      <c r="B20" s="239">
        <v>10</v>
      </c>
      <c r="C20" s="238" t="s">
        <v>5</v>
      </c>
      <c r="D20" s="239">
        <v>8</v>
      </c>
      <c r="E20" s="1246" t="s">
        <v>407</v>
      </c>
      <c r="F20" s="1247"/>
      <c r="G20" s="1244"/>
      <c r="H20" s="1245"/>
      <c r="I20" s="1245"/>
      <c r="J20" s="1245"/>
      <c r="K20" s="1245"/>
      <c r="L20" s="1245"/>
      <c r="M20" s="814"/>
      <c r="N20" s="489"/>
      <c r="O20" s="215"/>
      <c r="P20" s="215"/>
      <c r="Q20" s="215"/>
      <c r="R20" s="215"/>
      <c r="S20" s="215"/>
      <c r="T20" s="215"/>
      <c r="U20" s="215"/>
      <c r="V20" s="215"/>
    </row>
    <row r="21" spans="1:22">
      <c r="A21" s="238" t="s">
        <v>4</v>
      </c>
      <c r="B21" s="239">
        <f>(B20*12)+D20</f>
        <v>128</v>
      </c>
      <c r="C21" s="238" t="s">
        <v>407</v>
      </c>
      <c r="D21" s="814"/>
      <c r="E21" s="1248" t="s">
        <v>74</v>
      </c>
      <c r="F21" s="1248"/>
      <c r="G21" s="240">
        <f>D12</f>
        <v>52</v>
      </c>
      <c r="H21" s="238" t="s">
        <v>409</v>
      </c>
      <c r="I21" s="814"/>
      <c r="J21" s="246" t="s">
        <v>11</v>
      </c>
      <c r="K21" s="239">
        <f>D13</f>
        <v>144</v>
      </c>
      <c r="L21" s="238" t="s">
        <v>410</v>
      </c>
      <c r="M21" s="814"/>
      <c r="N21" s="489"/>
      <c r="O21" s="215"/>
      <c r="P21" s="215"/>
      <c r="Q21" s="215"/>
      <c r="R21" s="215"/>
      <c r="S21" s="215"/>
      <c r="T21" s="215"/>
      <c r="U21" s="215"/>
      <c r="V21" s="215"/>
    </row>
    <row r="22" spans="1:22">
      <c r="A22" s="813"/>
      <c r="B22" s="814"/>
      <c r="C22" s="814"/>
      <c r="D22" s="814"/>
      <c r="E22" s="814"/>
      <c r="F22" s="814"/>
      <c r="G22" s="814"/>
      <c r="H22" s="814"/>
      <c r="I22" s="814"/>
      <c r="J22" s="814"/>
      <c r="K22" s="814"/>
      <c r="L22" s="814"/>
      <c r="M22" s="814"/>
      <c r="N22" s="489"/>
      <c r="O22" s="215"/>
      <c r="P22" s="215"/>
      <c r="Q22" s="215"/>
      <c r="R22" s="215"/>
      <c r="S22" s="215"/>
      <c r="T22" s="215"/>
      <c r="U22" s="215"/>
      <c r="V22" s="215"/>
    </row>
    <row r="23" spans="1:22">
      <c r="A23" s="1249" t="s">
        <v>78</v>
      </c>
      <c r="B23" s="1250"/>
      <c r="C23" s="1250"/>
      <c r="D23" s="1250"/>
      <c r="E23" s="1250"/>
      <c r="F23" s="1250"/>
      <c r="G23" s="1250"/>
      <c r="H23" s="1250"/>
      <c r="I23" s="1250"/>
      <c r="J23" s="1250"/>
      <c r="K23" s="1250"/>
      <c r="L23" s="1250"/>
      <c r="M23" s="814"/>
      <c r="N23" s="489"/>
      <c r="O23" s="215"/>
      <c r="P23" s="215"/>
      <c r="Q23" s="215"/>
      <c r="R23" s="215"/>
      <c r="S23" s="215"/>
      <c r="T23" s="215"/>
      <c r="U23" s="215"/>
      <c r="V23" s="215"/>
    </row>
    <row r="24" spans="1:22">
      <c r="A24" s="813"/>
      <c r="B24" s="814"/>
      <c r="C24" s="814"/>
      <c r="D24" s="814"/>
      <c r="E24" s="814"/>
      <c r="F24" s="238" t="s">
        <v>411</v>
      </c>
      <c r="G24" s="814"/>
      <c r="H24" s="814"/>
      <c r="I24" s="814"/>
      <c r="J24" s="814"/>
      <c r="K24" s="814"/>
      <c r="L24" s="814"/>
      <c r="M24" s="814"/>
      <c r="N24" s="489"/>
      <c r="O24" s="215"/>
      <c r="P24" s="215"/>
      <c r="Q24" s="215"/>
      <c r="R24" s="215"/>
      <c r="S24" s="215"/>
      <c r="T24" s="215"/>
      <c r="U24" s="215"/>
      <c r="V24" s="215"/>
    </row>
    <row r="25" spans="1:22">
      <c r="A25" s="1238" t="s">
        <v>412</v>
      </c>
      <c r="B25" s="1239"/>
      <c r="C25" s="1239"/>
      <c r="D25" s="239">
        <v>2.2000000000000002</v>
      </c>
      <c r="E25" s="812" t="s">
        <v>409</v>
      </c>
      <c r="F25" s="241">
        <f>(D25-3.2)*(100)/3.2</f>
        <v>-31.25</v>
      </c>
      <c r="G25" s="247">
        <f>3.2-D25</f>
        <v>1</v>
      </c>
      <c r="H25" s="242" t="s">
        <v>402</v>
      </c>
      <c r="I25" s="814"/>
      <c r="J25" s="814"/>
      <c r="K25" s="814"/>
      <c r="L25" s="814"/>
      <c r="M25" s="814"/>
      <c r="N25" s="489"/>
      <c r="O25" s="215"/>
      <c r="P25" s="215"/>
      <c r="Q25" s="215"/>
      <c r="R25" s="215"/>
      <c r="S25" s="215"/>
      <c r="T25" s="215"/>
      <c r="U25" s="215"/>
      <c r="V25" s="215"/>
    </row>
    <row r="26" spans="1:22">
      <c r="A26" s="1238" t="s">
        <v>413</v>
      </c>
      <c r="B26" s="1239"/>
      <c r="C26" s="1239"/>
      <c r="D26" s="239">
        <v>50</v>
      </c>
      <c r="E26" s="812" t="s">
        <v>410</v>
      </c>
      <c r="F26" s="241">
        <f>(D26-49)*(100)/49</f>
        <v>2.0408163265306123</v>
      </c>
      <c r="G26" s="239"/>
      <c r="H26" s="242" t="s">
        <v>414</v>
      </c>
      <c r="I26" s="814"/>
      <c r="J26" s="814"/>
      <c r="K26" s="814"/>
      <c r="L26" s="814"/>
      <c r="M26" s="814"/>
      <c r="N26" s="489"/>
      <c r="O26" s="215"/>
      <c r="P26" s="215">
        <f>50-D26</f>
        <v>0</v>
      </c>
      <c r="Q26" s="215"/>
      <c r="R26" s="215"/>
      <c r="S26" s="215"/>
      <c r="T26" s="215"/>
      <c r="U26" s="215"/>
      <c r="V26" s="215"/>
    </row>
    <row r="27" spans="1:22" ht="15.75">
      <c r="A27" s="1238" t="s">
        <v>415</v>
      </c>
      <c r="B27" s="1239"/>
      <c r="C27" s="1240"/>
      <c r="D27" s="815">
        <f>IF(B21=72,20.5,IF(B21=73,20.7,IF(B21=74,20.9,IF(B21=75,21.1,IF(B21=76,21.3,IF(B21=77,21.5,IF(B21=78,21.7,IF(B21=79,21.9,IF(B21=80,22.1,IF(B21=81,22.3,IF(B21=82,22.5,IF(B21=83,22.7,IF(B21=84,22.9,IF(B21=85,23.1,IF(B21=86,23.3,IF(B21=87,23.5,IF(B21=88,23.7,IF(B21=89,23.9,IF(B21=90,24.1,IF(B21=91,24.3,IF(B21=92,24.6,IF(B21=93,24.8,IF(B21=94,25,IF(B21=95,25.2,IF(B21=96,25.4,IF(B21=97,25.6,IF(B21=98,25.9,IF(B21=99,26.1,IF(B21=100,26.3,IF(B21=101,26.5,IF(B21=102,26.7,IF(B21=103,27,IF(B21=104,27.2,IF(B21=105,27.4,IF(B21=106,27.6,IF(B21=107,27.9,IF(B21=108,28.1,IF(B21=109,28.3,IF(B21=110,28.6,IF(B21=111,28.8,IF(B21=112,29.1,IF(B21=113,29.3,IF(B21=114,29.6,IF(B21=115,29.8,IF(B21=116,30.1,IF(B21=117,30.4,IF(B21=118,30.6,IF(B21=119,30.9,IF(B21=120,31.2,IF(B21=121,31.7,IF(B21=122,32,IF(B21=123,32.4,IF(B21=124,32.7,IF(B21=125,33,IF(B21=126,33.3,IF(B21=127,33.6,IF(B21=128,33.9,IF(B21=129,34.3,IF(B21=130,34.6,IF(B21=131,35,IF(B21=132,35.3)))))))))))))))))))))))))))))))))))))))))))))))))))))))))))))</f>
        <v>33.9</v>
      </c>
      <c r="E27" s="238" t="s">
        <v>409</v>
      </c>
      <c r="F27" s="241">
        <f>(G21-D27)*(100)/D27</f>
        <v>53.392330383480832</v>
      </c>
      <c r="G27" s="250">
        <f>D27-G21</f>
        <v>-18.100000000000001</v>
      </c>
      <c r="H27" s="243" t="s">
        <v>402</v>
      </c>
      <c r="I27" s="814"/>
      <c r="J27" s="814"/>
      <c r="K27" s="814"/>
      <c r="L27" s="814"/>
      <c r="M27" s="814"/>
      <c r="N27" s="489"/>
      <c r="O27" s="215"/>
      <c r="P27" s="215"/>
      <c r="Q27" s="215"/>
      <c r="R27" s="215"/>
      <c r="S27" s="215"/>
      <c r="T27" s="215"/>
      <c r="U27" s="215"/>
      <c r="V27" s="215"/>
    </row>
    <row r="28" spans="1:22">
      <c r="A28" s="1238" t="s">
        <v>416</v>
      </c>
      <c r="B28" s="1239"/>
      <c r="C28" s="1240"/>
      <c r="D28" s="816">
        <f>IF(B21=72,116,IF(B21=73,116.4,IF(B21=74,116.9,IF(B21=75,117.4,IF(B21=76,117.9,IF(B21=77,117.5,IF(B21=78,118.9,IF(B21=79,119.4,IF(B21=80,119.8,IF(B21=81,120.3,IF(B21=82,120.8,IF(B21=83,121.3,IF(B21=84,121.7,IF(B21=85,122.2,IF(B21=86,122.7,IF(B21=87,123.1,IF(B21=88,123.6,IF(B21=89,124.1,IF(B21=90,124.5,IF(B21=91,125,IF(B21=92,125.5,IF(B22=93,125.9,IF(B21=94,126.4,IF(B25=95,126.8,IF(B21=96,127.3,IF(B21=97,127.7,IF(B21=98,128.2,IF(B21=99,128.6,IF(B21=100,129,IF(B21=101,129.5,IF(B21=102,129.9,IF(B21=103,130.4,IF(B21=104,130.8,IF(B21=105,131.3,IF(B21=106,131.7,IF(B21=107,132.1,IF(B21=108,132.6,IF(B21=109,133,IF(B21=110,133.4,IF(B22=111,133.9,IF(B21=112,134.3,IF(B21=113,134.7,IF(B21=114,135.2,IF(B21=115,135.6,IF(B21=116,136.1,IF(B21=117,136.5,IF(B21=118,136.9,IF(B21=119,137.3,IF(B21=120,137.8,IF(B21=121,138.2,IF(B21=122,138.6,IF(B21=123,139.1,IF(B21=124,139.5,IF(B21=125,140,IF(B21=126,140.4,IF(B21=127,140.8,IF(B21=128,141.3,IF(B21=129,141.7,IF(B21=130,142.2,IF(B21=131,142.7,IF(B21=132,143.1)))))))))))))))))))))))))))))))))))))))))))))))))))))))))))))</f>
        <v>141.30000000000001</v>
      </c>
      <c r="E28" s="238" t="s">
        <v>410</v>
      </c>
      <c r="F28" s="241">
        <f>(K21-D28)*(100)/D28</f>
        <v>1.9108280254776988</v>
      </c>
      <c r="G28" s="239">
        <f>D28-K21</f>
        <v>-2.6999999999999886</v>
      </c>
      <c r="H28" s="243" t="s">
        <v>414</v>
      </c>
      <c r="I28" s="814"/>
      <c r="J28" s="814"/>
      <c r="K28" s="814"/>
      <c r="L28" s="814"/>
      <c r="M28" s="814"/>
      <c r="N28" s="489"/>
      <c r="O28" s="215"/>
      <c r="P28" s="215"/>
      <c r="Q28" s="215"/>
      <c r="R28" s="215"/>
      <c r="S28" s="215"/>
      <c r="T28" s="215"/>
      <c r="U28" s="215"/>
      <c r="V28" s="215"/>
    </row>
    <row r="29" spans="1:22">
      <c r="A29" s="486" t="s">
        <v>438</v>
      </c>
      <c r="B29" s="293"/>
      <c r="C29" s="293"/>
      <c r="D29" s="294">
        <f>IF(B21=73,116.6,IF(B22=74,117.1,IF(B22=75,117.5,IF(B22=76,118,IF(B22=77,118.5,IF(B22=78,119,IF(B22=79,119.4,IF(B22=80,119.9,IF(B22=81,120.3,IF(B22=82,120.8,IF(B22=83,121.2,IF(B22=84,121.7,IF(B22=85,122.1,IF(B22=86,122.6,IF(B22=87,123,IF(B22=88,123.5,IF(B22=89,123.9,IF(B22=90,124.4,IF(B22=91,124.8,IF(B22=92,125.2,IF(B22=93,125.7,IF(B22=94,126.1,IF(B22=95,126.5,IF(B22=96,127,IF(B22=97,127.4,IF(B22=98,127.8,IF(B22=99,128.3,IF(B22=100,128.7,IF(B22=101,129.1,IF(B22=102,129.6,IF(B22=103,130,IF(B22=104,130.4,IF(B22=105,130.9,IF(B22=106,131.3,IF(B22=107,131.7,IF(B22=108,132.2,IF(B22=109,132.6,IF(B22=110,133,IF(B22=111,133.5,IF(B22=112,133.9,IF(B22=113,134.4,IF(B22=114,134.8,IF(B22=115,135.3,IF(B22=116,135.7,IF(B22=117,136.1,IF(B22=118,136.6,IF(B22=119,137.1,IF(B22=120,137.5,IF(B22=121,138,IF(B22=122,138.4,IF(B22=123,138.9,IF(B22=124,139.4,IF(B22=125,139.9,IF(B22=126,140.3,IF(B22=127,140.8,IF(B22=128,141.3,IF(B22=129,141.8,IF(B22=130,142.3,IF(B22=131,142.8,IF(B22=132,143.3,))))))))))))))))))))))))))))))))))))))))))))))))))))))))))))</f>
        <v>0</v>
      </c>
      <c r="E29" s="293"/>
      <c r="F29" s="295"/>
      <c r="G29" s="296"/>
      <c r="H29" s="297"/>
      <c r="I29" s="293"/>
      <c r="J29" s="293"/>
      <c r="K29" s="293"/>
      <c r="L29" s="293"/>
      <c r="M29" s="293"/>
      <c r="N29" s="490"/>
      <c r="O29" s="215"/>
      <c r="P29" s="215"/>
      <c r="Q29" s="215"/>
      <c r="R29" s="215"/>
      <c r="S29" s="215"/>
      <c r="T29" s="215"/>
      <c r="U29" s="215"/>
      <c r="V29" s="215"/>
    </row>
    <row r="30" spans="1:22">
      <c r="A30" s="486" t="s">
        <v>435</v>
      </c>
      <c r="B30" s="293"/>
      <c r="C30" s="293"/>
      <c r="D30" s="296"/>
      <c r="E30" s="293"/>
      <c r="F30" s="295"/>
      <c r="G30" s="296"/>
      <c r="H30" s="297">
        <f>(G21/D27)*100</f>
        <v>153.39233038348084</v>
      </c>
      <c r="I30" s="293" t="str">
        <f>IF(H30&gt;110,"EXCESO O SOBREPESO",IF(H30=109.9,"NORMAL",IF(H30&gt;=90,"NORMAL",IF(H30=88.9,"DESNUTRICION LEVE 1ER GRADO",IF(H30&gt;=80,"DESNUTRICION LEVE 1ER GRADO",IF(H30=79.9,"DESNUTRICION MODERADA 2DO GRADO",IF(H30&gt;=70,"DESNUTRICION MODERADA 2DO GRADO",IF(H30&lt;70,"DESNUTRICION SEVERA 3ER GRADO"))))))))</f>
        <v>EXCESO O SOBREPESO</v>
      </c>
      <c r="J30" s="293"/>
      <c r="K30" s="293"/>
      <c r="L30" s="293"/>
      <c r="M30" s="293"/>
      <c r="N30" s="490"/>
      <c r="O30" s="215"/>
      <c r="P30" s="215"/>
      <c r="Q30" s="215"/>
      <c r="R30" s="215"/>
      <c r="S30" s="215"/>
      <c r="T30" s="215"/>
      <c r="U30" s="215"/>
      <c r="V30" s="215"/>
    </row>
    <row r="31" spans="1:22">
      <c r="A31" s="813" t="s">
        <v>436</v>
      </c>
      <c r="B31" s="814"/>
      <c r="C31" s="814"/>
      <c r="D31" s="251"/>
      <c r="E31" s="814"/>
      <c r="F31" s="252"/>
      <c r="G31" s="251"/>
      <c r="H31" s="253">
        <f>(G21/D27)*100</f>
        <v>153.39233038348084</v>
      </c>
      <c r="I31" s="814" t="str">
        <f>IF(H31&gt;=90,"NORMAL",IF(H31=89.9,"DESNUTRICION LEVE 1ER GRADO",IF(H31&gt;=75,"DESNUTRICION LEVE 1ER GRADO",IF(H31=74.9,"DESNUTRICION MODERADA 2DO GRADO",IF(H31&gt;=60,"DESNUTRICION MODERADA 2DO GRADO",IF(H31&lt;59.9,"DESNUTRICION SEVERA 3ER GRADO"))))))</f>
        <v>NORMAL</v>
      </c>
      <c r="J31" s="814"/>
      <c r="K31" s="814"/>
      <c r="L31" s="814"/>
      <c r="M31" s="814"/>
      <c r="N31" s="489"/>
      <c r="O31" s="215"/>
      <c r="P31" s="215"/>
      <c r="Q31" s="215"/>
      <c r="R31" s="215"/>
      <c r="S31" s="215"/>
      <c r="T31" s="215"/>
      <c r="U31" s="215"/>
      <c r="V31" s="215"/>
    </row>
    <row r="32" spans="1:22">
      <c r="A32" s="813" t="s">
        <v>437</v>
      </c>
      <c r="B32" s="814"/>
      <c r="C32" s="814"/>
      <c r="D32" s="251"/>
      <c r="E32" s="814"/>
      <c r="F32" s="252"/>
      <c r="G32" s="251"/>
      <c r="H32" s="253">
        <f>(K21/D28)*100</f>
        <v>101.91082802547771</v>
      </c>
      <c r="I32" s="814" t="str">
        <f>IF(H32&gt;95,"NORMAL",IF(H32=94.9,"DESNUTRICION LEVE 1ER GRADO",IF(H32&gt;=90,"DESNUTRICION LEVE 1ER GRADO",IF(H32=89.9,"DESNUTRICION MODERADA 2DO GRADO",IF(H32&gt;=85,"DESNUTRICION MODERADA 2DO GRADO",IF(H32&lt;84.9,"DESNUTRICION SEVERA 3ER GRADO"))))))</f>
        <v>NORMAL</v>
      </c>
      <c r="J32" s="814"/>
      <c r="K32" s="814"/>
      <c r="L32" s="814"/>
      <c r="M32" s="814"/>
      <c r="N32" s="489"/>
      <c r="O32" s="215"/>
      <c r="P32" s="215"/>
      <c r="Q32" s="215"/>
      <c r="R32" s="215"/>
      <c r="S32" s="215"/>
      <c r="T32" s="215"/>
      <c r="U32" s="215"/>
      <c r="V32" s="215"/>
    </row>
    <row r="33" spans="1:32">
      <c r="A33" s="813"/>
      <c r="B33" s="814"/>
      <c r="C33" s="814"/>
      <c r="D33" s="251"/>
      <c r="E33" s="814"/>
      <c r="F33" s="252"/>
      <c r="G33" s="251"/>
      <c r="H33" s="253"/>
      <c r="I33" s="814"/>
      <c r="J33" s="814"/>
      <c r="K33" s="814"/>
      <c r="L33" s="814"/>
      <c r="M33" s="814"/>
      <c r="N33" s="489"/>
      <c r="O33" s="213" t="s">
        <v>440</v>
      </c>
      <c r="P33" s="213"/>
      <c r="Q33" s="213"/>
      <c r="R33" s="215"/>
      <c r="S33" s="215"/>
      <c r="T33" s="215"/>
      <c r="U33" s="215"/>
      <c r="V33" s="215"/>
    </row>
    <row r="34" spans="1:32" ht="15.75">
      <c r="A34" s="487"/>
      <c r="B34" s="244"/>
      <c r="C34" s="244"/>
      <c r="D34" s="244"/>
      <c r="E34" s="244"/>
      <c r="F34" s="244"/>
      <c r="G34" s="244"/>
      <c r="H34" s="244"/>
      <c r="I34" s="244"/>
      <c r="J34" s="244"/>
      <c r="K34" s="244"/>
      <c r="L34" s="244"/>
      <c r="M34" s="245"/>
      <c r="N34" s="489"/>
      <c r="O34" s="214" t="s">
        <v>441</v>
      </c>
      <c r="P34" s="214"/>
      <c r="Q34" s="214"/>
      <c r="R34" s="215"/>
      <c r="S34" s="215"/>
      <c r="T34" s="215"/>
      <c r="U34" s="215"/>
      <c r="V34" s="215"/>
    </row>
    <row r="35" spans="1:32">
      <c r="A35" s="1078" t="s">
        <v>342</v>
      </c>
      <c r="B35" s="1079"/>
      <c r="C35" s="370"/>
      <c r="D35" s="370"/>
      <c r="E35" s="370"/>
      <c r="F35" s="370"/>
      <c r="G35" s="370"/>
      <c r="H35" s="370"/>
      <c r="I35" s="370"/>
      <c r="J35" s="370"/>
      <c r="K35" s="370"/>
      <c r="L35" s="370"/>
      <c r="M35" s="370"/>
      <c r="N35" s="371"/>
      <c r="O35" s="213" t="s">
        <v>442</v>
      </c>
      <c r="P35" s="213"/>
      <c r="Q35" s="215"/>
      <c r="R35" s="215"/>
      <c r="S35" s="215"/>
      <c r="T35" s="215"/>
      <c r="U35" s="215"/>
      <c r="V35" s="215"/>
    </row>
    <row r="36" spans="1:32">
      <c r="A36" s="1080" t="s">
        <v>343</v>
      </c>
      <c r="B36" s="1081"/>
      <c r="C36" s="370"/>
      <c r="D36" s="375" t="s">
        <v>348</v>
      </c>
      <c r="E36" s="375"/>
      <c r="F36" s="375"/>
      <c r="G36" s="376"/>
      <c r="H36" s="1076" t="s">
        <v>353</v>
      </c>
      <c r="I36" s="1076"/>
      <c r="J36" s="1076"/>
      <c r="K36" s="370"/>
      <c r="L36" s="1076" t="s">
        <v>357</v>
      </c>
      <c r="M36" s="1076"/>
      <c r="N36" s="371"/>
      <c r="O36" s="213" t="s">
        <v>443</v>
      </c>
      <c r="P36" s="213"/>
      <c r="Q36" s="215"/>
      <c r="R36" s="215"/>
      <c r="S36" s="215"/>
      <c r="T36" s="215"/>
      <c r="U36" s="215"/>
      <c r="V36" s="215"/>
    </row>
    <row r="37" spans="1:32">
      <c r="A37" s="1074" t="s">
        <v>344</v>
      </c>
      <c r="B37" s="1075"/>
      <c r="C37" s="789"/>
      <c r="D37" s="370" t="s">
        <v>349</v>
      </c>
      <c r="E37" s="370"/>
      <c r="F37" s="370"/>
      <c r="G37" s="789" t="s">
        <v>405</v>
      </c>
      <c r="H37" s="370" t="s">
        <v>354</v>
      </c>
      <c r="I37" s="370"/>
      <c r="J37" s="789"/>
      <c r="K37" s="370"/>
      <c r="L37" s="370" t="s">
        <v>358</v>
      </c>
      <c r="M37" s="370"/>
      <c r="N37" s="377"/>
      <c r="O37" s="215"/>
      <c r="P37" s="215"/>
      <c r="Q37" s="215"/>
      <c r="R37" s="215"/>
      <c r="S37" s="215"/>
      <c r="T37" s="215"/>
      <c r="U37" s="215"/>
      <c r="V37" s="215"/>
    </row>
    <row r="38" spans="1:32">
      <c r="A38" s="1074" t="s">
        <v>345</v>
      </c>
      <c r="B38" s="1075"/>
      <c r="C38" s="789"/>
      <c r="D38" s="370" t="s">
        <v>350</v>
      </c>
      <c r="E38" s="370"/>
      <c r="F38" s="370" t="s">
        <v>405</v>
      </c>
      <c r="G38" s="789"/>
      <c r="H38" s="370" t="s">
        <v>355</v>
      </c>
      <c r="I38" s="370"/>
      <c r="J38" s="789"/>
      <c r="K38" s="370"/>
      <c r="L38" s="370" t="s">
        <v>359</v>
      </c>
      <c r="M38" s="370"/>
      <c r="N38" s="377"/>
      <c r="O38" s="215"/>
      <c r="P38" s="215"/>
      <c r="Q38" s="215"/>
      <c r="R38" s="215"/>
      <c r="S38" s="215"/>
      <c r="T38" s="215"/>
      <c r="U38" s="215"/>
      <c r="V38" s="215"/>
    </row>
    <row r="39" spans="1:32">
      <c r="A39" s="1074" t="s">
        <v>346</v>
      </c>
      <c r="B39" s="1075"/>
      <c r="C39" s="789"/>
      <c r="D39" s="370" t="s">
        <v>351</v>
      </c>
      <c r="E39" s="370"/>
      <c r="F39" s="370"/>
      <c r="G39" s="789"/>
      <c r="H39" s="370" t="s">
        <v>356</v>
      </c>
      <c r="I39" s="370"/>
      <c r="J39" s="789"/>
      <c r="K39" s="370"/>
      <c r="L39" s="1076" t="s">
        <v>360</v>
      </c>
      <c r="M39" s="1076"/>
      <c r="N39" s="377"/>
      <c r="O39" s="215"/>
      <c r="P39" s="215"/>
      <c r="Q39" s="215"/>
      <c r="R39" s="215"/>
      <c r="S39" s="215"/>
      <c r="T39" s="215"/>
      <c r="U39" s="215"/>
      <c r="V39" s="215"/>
      <c r="W39" s="80"/>
      <c r="X39" s="80"/>
      <c r="Y39" s="80"/>
      <c r="Z39" s="80"/>
      <c r="AA39" s="80"/>
      <c r="AB39" s="80"/>
      <c r="AC39" s="80"/>
      <c r="AD39" s="80"/>
      <c r="AE39" s="80"/>
      <c r="AF39" s="80"/>
    </row>
    <row r="40" spans="1:32">
      <c r="A40" s="1074" t="s">
        <v>347</v>
      </c>
      <c r="B40" s="1075"/>
      <c r="C40" s="789" t="s">
        <v>405</v>
      </c>
      <c r="D40" s="370" t="s">
        <v>352</v>
      </c>
      <c r="E40" s="370"/>
      <c r="F40" s="370"/>
      <c r="G40" s="789"/>
      <c r="H40" s="370"/>
      <c r="I40" s="370"/>
      <c r="J40" s="370"/>
      <c r="K40" s="370"/>
      <c r="L40" s="1075" t="s">
        <v>362</v>
      </c>
      <c r="M40" s="1075"/>
      <c r="N40" s="377"/>
      <c r="O40" s="215"/>
      <c r="P40" s="215"/>
      <c r="Q40" s="215"/>
      <c r="R40" s="215"/>
      <c r="S40" s="215"/>
      <c r="T40" s="215"/>
      <c r="U40" s="215"/>
      <c r="V40" s="215"/>
      <c r="W40" s="80"/>
      <c r="X40" s="80"/>
      <c r="Y40" s="80"/>
      <c r="Z40" s="80"/>
      <c r="AA40" s="80"/>
      <c r="AB40" s="80"/>
      <c r="AC40" s="80"/>
      <c r="AD40" s="80"/>
      <c r="AE40" s="80"/>
      <c r="AF40" s="80"/>
    </row>
    <row r="41" spans="1:32">
      <c r="A41" s="787"/>
      <c r="B41" s="788"/>
      <c r="C41" s="789"/>
      <c r="D41" s="370"/>
      <c r="E41" s="370"/>
      <c r="F41" s="370"/>
      <c r="G41" s="789"/>
      <c r="H41" s="370"/>
      <c r="I41" s="370"/>
      <c r="J41" s="370"/>
      <c r="K41" s="370"/>
      <c r="L41" s="788"/>
      <c r="M41" s="788"/>
      <c r="N41" s="377"/>
      <c r="O41" s="215"/>
      <c r="P41" s="215"/>
      <c r="Q41" s="215"/>
      <c r="R41" s="215"/>
      <c r="S41" s="215"/>
      <c r="T41" s="215"/>
      <c r="U41" s="215"/>
      <c r="V41" s="215"/>
      <c r="W41" s="80"/>
      <c r="X41" s="80"/>
      <c r="Y41" s="80"/>
      <c r="Z41" s="80"/>
      <c r="AA41" s="80"/>
      <c r="AB41" s="80"/>
      <c r="AC41" s="80"/>
      <c r="AD41" s="80"/>
      <c r="AE41" s="80"/>
      <c r="AF41" s="80"/>
    </row>
    <row r="42" spans="1:32" ht="15.75">
      <c r="A42" s="382"/>
      <c r="B42" s="212"/>
      <c r="C42" s="212"/>
      <c r="D42" s="378"/>
      <c r="E42" s="86"/>
      <c r="F42" s="86"/>
      <c r="G42" s="86"/>
      <c r="H42" s="86"/>
      <c r="I42" s="86"/>
      <c r="J42" s="86"/>
      <c r="K42" s="86"/>
      <c r="L42" s="86"/>
      <c r="M42" s="86"/>
      <c r="N42" s="325"/>
      <c r="O42" s="215"/>
      <c r="P42" s="215"/>
      <c r="Q42" s="215"/>
      <c r="R42" s="215"/>
      <c r="S42" s="215"/>
      <c r="T42" s="215"/>
      <c r="U42" s="215"/>
      <c r="V42" s="215"/>
      <c r="W42" s="80"/>
      <c r="X42" s="80"/>
      <c r="Y42" s="80"/>
      <c r="Z42" s="80"/>
      <c r="AA42" s="80"/>
      <c r="AB42" s="80"/>
      <c r="AC42" s="80"/>
      <c r="AD42" s="80"/>
      <c r="AE42" s="80"/>
      <c r="AF42" s="80"/>
    </row>
    <row r="43" spans="1:32">
      <c r="A43" s="1234" t="s">
        <v>404</v>
      </c>
      <c r="B43" s="1235"/>
      <c r="C43" s="335" t="s">
        <v>440</v>
      </c>
      <c r="D43" s="335"/>
      <c r="E43" s="335"/>
      <c r="F43" s="335"/>
      <c r="G43" s="335"/>
      <c r="H43" s="335"/>
      <c r="I43" s="335"/>
      <c r="J43" s="335"/>
      <c r="K43" s="335"/>
      <c r="L43" s="335"/>
      <c r="M43" s="335"/>
      <c r="N43" s="352"/>
      <c r="O43" s="215"/>
      <c r="P43" s="215"/>
      <c r="Q43" s="215"/>
      <c r="R43" s="215"/>
      <c r="S43" s="215"/>
      <c r="T43" s="215"/>
      <c r="U43" s="215"/>
      <c r="V43" s="215"/>
      <c r="W43" s="80"/>
      <c r="X43" s="80"/>
      <c r="Y43" s="80"/>
      <c r="Z43" s="80"/>
      <c r="AA43" s="80"/>
      <c r="AB43" s="80"/>
      <c r="AC43" s="80"/>
      <c r="AD43" s="80"/>
      <c r="AE43" s="80"/>
      <c r="AF43" s="80"/>
    </row>
    <row r="44" spans="1:32">
      <c r="A44" s="1046"/>
      <c r="B44" s="1047"/>
      <c r="C44" s="1047"/>
      <c r="D44" s="1047"/>
      <c r="E44" s="1047"/>
      <c r="F44" s="1236"/>
      <c r="G44" s="1236"/>
      <c r="H44" s="1236"/>
      <c r="I44" s="1236"/>
      <c r="J44" s="1236"/>
      <c r="K44" s="1236"/>
      <c r="L44" s="1236"/>
      <c r="M44" s="1236"/>
      <c r="N44" s="1237"/>
      <c r="O44" s="215"/>
      <c r="P44" s="215"/>
      <c r="Q44" s="215"/>
      <c r="R44" s="215"/>
      <c r="S44" s="215"/>
      <c r="T44" s="215"/>
      <c r="U44" s="215"/>
      <c r="V44" s="215"/>
      <c r="W44" s="80"/>
      <c r="X44" s="80"/>
      <c r="Y44" s="80"/>
      <c r="Z44" s="80"/>
      <c r="AA44" s="80"/>
      <c r="AB44" s="80"/>
      <c r="AC44" s="80"/>
      <c r="AD44" s="80"/>
      <c r="AE44" s="80"/>
      <c r="AF44" s="80"/>
    </row>
    <row r="45" spans="1:32">
      <c r="A45" s="331"/>
      <c r="B45" s="86"/>
      <c r="C45" s="86"/>
      <c r="D45" s="86"/>
      <c r="E45" s="86"/>
      <c r="F45" s="1236"/>
      <c r="G45" s="1236"/>
      <c r="H45" s="1236"/>
      <c r="I45" s="1236"/>
      <c r="J45" s="1236"/>
      <c r="K45" s="1236"/>
      <c r="L45" s="1236"/>
      <c r="M45" s="1236"/>
      <c r="N45" s="1237"/>
      <c r="O45" s="215"/>
      <c r="P45" s="215"/>
      <c r="Q45" s="215"/>
      <c r="R45" s="215"/>
      <c r="S45" s="215"/>
      <c r="T45" s="215"/>
      <c r="U45" s="215"/>
      <c r="V45" s="215"/>
      <c r="W45" s="80"/>
      <c r="X45" s="80"/>
      <c r="Y45" s="80"/>
      <c r="Z45" s="80"/>
      <c r="AA45" s="80"/>
      <c r="AB45" s="80"/>
      <c r="AC45" s="80"/>
      <c r="AD45" s="80"/>
      <c r="AE45" s="80"/>
      <c r="AF45" s="80"/>
    </row>
    <row r="46" spans="1:32">
      <c r="A46" s="331"/>
      <c r="B46" s="86"/>
      <c r="C46" s="86"/>
      <c r="D46" s="86"/>
      <c r="E46" s="86"/>
      <c r="F46" s="1236"/>
      <c r="G46" s="1236"/>
      <c r="H46" s="1236"/>
      <c r="I46" s="1236"/>
      <c r="J46" s="1236"/>
      <c r="K46" s="1236"/>
      <c r="L46" s="1236"/>
      <c r="M46" s="1236"/>
      <c r="N46" s="1237"/>
      <c r="O46" s="215"/>
      <c r="P46" s="215"/>
      <c r="Q46" s="215"/>
      <c r="R46" s="215"/>
      <c r="S46" s="215"/>
      <c r="T46" s="215"/>
      <c r="U46" s="215"/>
      <c r="V46" s="215"/>
      <c r="W46" s="80"/>
      <c r="X46" s="80"/>
      <c r="Y46" s="80"/>
      <c r="Z46" s="80"/>
      <c r="AA46" s="80"/>
      <c r="AB46" s="80"/>
      <c r="AC46" s="80"/>
      <c r="AD46" s="80"/>
      <c r="AE46" s="80"/>
      <c r="AF46" s="80"/>
    </row>
    <row r="47" spans="1:32" ht="15.75">
      <c r="A47" s="382"/>
      <c r="B47" s="212"/>
      <c r="C47" s="212"/>
      <c r="D47" s="378"/>
      <c r="E47" s="86"/>
      <c r="F47" s="86"/>
      <c r="G47" s="86"/>
      <c r="H47" s="86"/>
      <c r="I47" s="86"/>
      <c r="J47" s="86"/>
      <c r="K47" s="86"/>
      <c r="L47" s="86"/>
      <c r="M47" s="86"/>
      <c r="N47" s="325"/>
      <c r="O47" s="215"/>
      <c r="P47" s="215"/>
      <c r="Q47" s="215"/>
      <c r="R47" s="215"/>
      <c r="S47" s="215"/>
      <c r="T47" s="215"/>
      <c r="U47" s="215"/>
      <c r="V47" s="215"/>
      <c r="W47" s="80"/>
      <c r="X47" s="80"/>
      <c r="Y47" s="80"/>
      <c r="Z47" s="80"/>
      <c r="AA47" s="80"/>
      <c r="AB47" s="80"/>
      <c r="AC47" s="80"/>
      <c r="AD47" s="80"/>
      <c r="AE47" s="80"/>
      <c r="AF47" s="80"/>
    </row>
    <row r="48" spans="1:32" ht="15.75">
      <c r="A48" s="382"/>
      <c r="B48" s="212"/>
      <c r="C48" s="212"/>
      <c r="D48" s="378"/>
      <c r="E48" s="86"/>
      <c r="F48" s="86"/>
      <c r="G48" s="86"/>
      <c r="H48" s="86"/>
      <c r="I48" s="86"/>
      <c r="J48" s="86"/>
      <c r="K48" s="86"/>
      <c r="L48" s="86"/>
      <c r="M48" s="86"/>
      <c r="N48" s="325"/>
      <c r="O48" s="215"/>
      <c r="P48" s="215"/>
      <c r="Q48" s="215"/>
      <c r="R48" s="215"/>
      <c r="S48" s="215"/>
      <c r="T48" s="215"/>
      <c r="U48" s="215"/>
      <c r="V48" s="215"/>
      <c r="W48" s="80"/>
      <c r="X48" s="80"/>
      <c r="Y48" s="80"/>
      <c r="Z48" s="80"/>
      <c r="AA48" s="80"/>
      <c r="AB48" s="80"/>
      <c r="AC48" s="80"/>
      <c r="AD48" s="80"/>
      <c r="AE48" s="80"/>
      <c r="AF48" s="80"/>
    </row>
    <row r="49" spans="1:32" ht="15.75">
      <c r="A49" s="383"/>
      <c r="B49" s="384"/>
      <c r="C49" s="384"/>
      <c r="D49" s="385"/>
      <c r="E49" s="335"/>
      <c r="F49" s="335"/>
      <c r="G49" s="335"/>
      <c r="H49" s="335"/>
      <c r="I49" s="335"/>
      <c r="J49" s="335"/>
      <c r="K49" s="335"/>
      <c r="L49" s="335"/>
      <c r="M49" s="335"/>
      <c r="N49" s="352"/>
      <c r="O49" s="215"/>
      <c r="P49" s="215"/>
      <c r="Q49" s="215"/>
      <c r="R49" s="215"/>
      <c r="S49" s="215"/>
      <c r="T49" s="215"/>
      <c r="U49" s="215"/>
      <c r="V49" s="215"/>
      <c r="W49" s="80"/>
      <c r="X49" s="80"/>
      <c r="Y49" s="80"/>
      <c r="Z49" s="80"/>
      <c r="AA49" s="80"/>
      <c r="AB49" s="80"/>
      <c r="AC49" s="80"/>
      <c r="AD49" s="80"/>
      <c r="AE49" s="80"/>
      <c r="AF49" s="80"/>
    </row>
    <row r="50" spans="1:32" ht="15.75">
      <c r="A50" s="800"/>
      <c r="B50" s="800"/>
      <c r="C50" s="800"/>
      <c r="D50" s="3"/>
      <c r="O50" s="215"/>
      <c r="P50" s="215"/>
      <c r="Q50" s="215"/>
      <c r="R50" s="215"/>
      <c r="S50" s="215"/>
      <c r="T50" s="215"/>
      <c r="U50" s="215"/>
      <c r="V50" s="215"/>
      <c r="W50" s="80"/>
      <c r="X50" s="80"/>
      <c r="Y50" s="80"/>
      <c r="Z50" s="80"/>
      <c r="AA50" s="80"/>
      <c r="AB50" s="80"/>
      <c r="AC50" s="80"/>
      <c r="AD50" s="80"/>
      <c r="AE50" s="80"/>
      <c r="AF50" s="80"/>
    </row>
    <row r="51" spans="1:32" s="62" customFormat="1" ht="15.75">
      <c r="A51" s="800"/>
      <c r="B51" s="800"/>
      <c r="C51" s="800"/>
      <c r="D51" s="3"/>
      <c r="E51" s="1"/>
      <c r="F51" s="1"/>
      <c r="G51" s="1"/>
      <c r="H51" s="1"/>
      <c r="I51" s="1"/>
      <c r="J51" s="1"/>
      <c r="K51" s="1"/>
      <c r="L51" s="1"/>
      <c r="M51" s="1"/>
      <c r="N51" s="1"/>
      <c r="O51" s="276"/>
      <c r="P51" s="276"/>
      <c r="Q51" s="276"/>
      <c r="R51" s="276"/>
      <c r="S51" s="276"/>
      <c r="T51" s="276"/>
      <c r="U51" s="276"/>
      <c r="V51" s="276"/>
      <c r="W51" s="273"/>
      <c r="X51" s="273"/>
      <c r="Y51" s="273"/>
      <c r="Z51" s="273"/>
      <c r="AA51" s="273"/>
      <c r="AB51" s="273"/>
      <c r="AC51" s="273"/>
      <c r="AD51" s="273"/>
      <c r="AE51" s="273"/>
      <c r="AF51" s="273"/>
    </row>
    <row r="52" spans="1:32" ht="15.75">
      <c r="A52" s="800"/>
      <c r="B52" s="800"/>
      <c r="C52" s="800"/>
      <c r="D52" s="3"/>
      <c r="O52" s="215"/>
      <c r="P52" s="215"/>
      <c r="Q52" s="215"/>
      <c r="R52" s="215"/>
      <c r="S52" s="215"/>
      <c r="T52" s="215"/>
      <c r="U52" s="215"/>
      <c r="V52" s="215"/>
      <c r="W52" s="80"/>
      <c r="X52" s="80"/>
      <c r="Y52" s="80"/>
      <c r="Z52" s="80"/>
      <c r="AA52" s="80"/>
      <c r="AB52" s="80"/>
      <c r="AC52" s="80"/>
      <c r="AD52" s="80"/>
      <c r="AE52" s="80"/>
      <c r="AF52" s="80"/>
    </row>
    <row r="53" spans="1:32" s="62" customFormat="1">
      <c r="A53" s="1"/>
      <c r="B53" s="1"/>
      <c r="C53" s="799" t="s">
        <v>211</v>
      </c>
      <c r="D53" s="799" t="s">
        <v>217</v>
      </c>
      <c r="E53" s="36"/>
      <c r="F53" s="36"/>
      <c r="G53" s="36"/>
      <c r="H53" s="36"/>
      <c r="I53" s="1"/>
      <c r="J53" s="1"/>
      <c r="K53" s="1"/>
      <c r="L53" s="1"/>
      <c r="M53" s="1"/>
      <c r="N53" s="1"/>
      <c r="O53" s="276"/>
      <c r="P53" s="276"/>
      <c r="Q53" s="276"/>
      <c r="R53" s="276"/>
      <c r="S53" s="276"/>
      <c r="T53" s="276"/>
      <c r="U53" s="276"/>
      <c r="V53" s="276"/>
      <c r="W53" s="273"/>
      <c r="X53" s="273"/>
      <c r="Y53" s="273"/>
      <c r="Z53" s="273"/>
      <c r="AA53" s="273"/>
      <c r="AB53" s="273"/>
      <c r="AC53" s="273"/>
      <c r="AD53" s="273"/>
      <c r="AE53" s="273"/>
      <c r="AF53" s="273"/>
    </row>
    <row r="54" spans="1:32">
      <c r="A54" s="43" t="s">
        <v>213</v>
      </c>
      <c r="B54" s="43"/>
      <c r="C54" s="41"/>
      <c r="D54" s="41" t="s">
        <v>218</v>
      </c>
      <c r="E54" s="140"/>
      <c r="G54" s="141"/>
      <c r="I54" s="141"/>
      <c r="K54" s="141"/>
      <c r="M54" s="142"/>
      <c r="O54" s="215"/>
      <c r="P54" s="215"/>
      <c r="Q54" s="215"/>
      <c r="R54" s="215"/>
      <c r="S54" s="215"/>
      <c r="T54" s="215"/>
      <c r="U54" s="215"/>
      <c r="V54" s="215"/>
      <c r="W54" s="80"/>
      <c r="X54" s="80"/>
      <c r="Y54" s="80"/>
      <c r="Z54" s="80"/>
      <c r="AA54" s="80"/>
      <c r="AB54" s="80"/>
      <c r="AC54" s="80"/>
      <c r="AD54" s="80"/>
      <c r="AE54" s="80"/>
      <c r="AF54" s="80"/>
    </row>
    <row r="55" spans="1:32">
      <c r="A55" s="43" t="s">
        <v>214</v>
      </c>
      <c r="B55" s="43"/>
      <c r="C55" s="41"/>
      <c r="D55" s="41" t="s">
        <v>218</v>
      </c>
      <c r="E55" s="140"/>
      <c r="G55" s="141"/>
      <c r="I55" s="141"/>
      <c r="K55" s="141"/>
      <c r="M55" s="142"/>
      <c r="O55" s="215"/>
      <c r="P55" s="215"/>
      <c r="Q55" s="215"/>
      <c r="R55" s="215"/>
      <c r="S55" s="215"/>
      <c r="T55" s="215"/>
      <c r="U55" s="215"/>
      <c r="V55" s="215"/>
      <c r="W55" s="80"/>
      <c r="X55" s="80"/>
      <c r="Y55" s="80"/>
      <c r="Z55" s="80"/>
      <c r="AA55" s="80"/>
      <c r="AB55" s="80"/>
      <c r="AC55" s="80"/>
      <c r="AD55" s="80"/>
      <c r="AE55" s="80"/>
      <c r="AF55" s="80"/>
    </row>
    <row r="56" spans="1:32">
      <c r="A56" s="43" t="s">
        <v>215</v>
      </c>
      <c r="B56" s="43"/>
      <c r="C56" s="41"/>
      <c r="D56" s="41" t="s">
        <v>218</v>
      </c>
      <c r="E56" s="140"/>
      <c r="G56" s="141"/>
      <c r="I56" s="141"/>
      <c r="K56" s="141"/>
      <c r="M56" s="142"/>
      <c r="O56" s="215"/>
      <c r="P56" s="215"/>
      <c r="Q56" s="215"/>
      <c r="R56" s="215"/>
      <c r="S56" s="215"/>
      <c r="T56" s="215"/>
      <c r="U56" s="215"/>
      <c r="V56" s="215"/>
      <c r="W56" s="80"/>
      <c r="X56" s="80"/>
      <c r="Y56" s="80"/>
      <c r="Z56" s="80"/>
      <c r="AA56" s="80"/>
      <c r="AB56" s="80"/>
      <c r="AC56" s="80"/>
      <c r="AD56" s="80"/>
      <c r="AE56" s="80"/>
      <c r="AF56" s="80"/>
    </row>
    <row r="57" spans="1:32">
      <c r="A57" s="43" t="s">
        <v>216</v>
      </c>
      <c r="B57" s="43"/>
      <c r="C57" s="41"/>
      <c r="D57" s="41" t="s">
        <v>218</v>
      </c>
      <c r="E57" s="140"/>
      <c r="G57" s="141"/>
      <c r="I57" s="141"/>
      <c r="K57" s="141"/>
      <c r="M57" s="142"/>
      <c r="O57" s="215"/>
      <c r="P57" s="215"/>
      <c r="Q57" s="215"/>
      <c r="R57" s="215"/>
      <c r="S57" s="215"/>
      <c r="T57" s="215"/>
      <c r="U57" s="215"/>
      <c r="V57" s="215"/>
      <c r="W57" s="80"/>
      <c r="X57" s="80"/>
      <c r="Y57" s="80"/>
      <c r="Z57" s="80"/>
      <c r="AA57" s="80"/>
      <c r="AB57" s="80"/>
      <c r="AC57" s="80"/>
      <c r="AD57" s="80"/>
      <c r="AE57" s="80"/>
      <c r="AF57" s="80"/>
    </row>
    <row r="58" spans="1:32" s="62" customFormat="1">
      <c r="A58" s="1148" t="s">
        <v>20</v>
      </c>
      <c r="B58" s="1148"/>
      <c r="C58" s="1148"/>
      <c r="D58" s="1148"/>
      <c r="E58" s="31"/>
      <c r="F58" s="1"/>
      <c r="G58" s="1"/>
      <c r="H58" s="1"/>
      <c r="I58" s="1"/>
      <c r="J58" s="1"/>
      <c r="K58" s="1"/>
      <c r="L58" s="1"/>
      <c r="M58" s="1"/>
      <c r="N58" s="1"/>
      <c r="O58" s="276"/>
      <c r="P58" s="276"/>
      <c r="Q58" s="276"/>
      <c r="R58" s="276"/>
      <c r="S58" s="276"/>
      <c r="T58" s="276"/>
      <c r="U58" s="276"/>
      <c r="V58" s="276"/>
      <c r="W58" s="273"/>
      <c r="X58" s="273"/>
      <c r="Y58" s="273"/>
      <c r="Z58" s="273"/>
      <c r="AA58" s="273"/>
      <c r="AB58" s="273"/>
      <c r="AC58" s="273"/>
      <c r="AD58" s="273"/>
      <c r="AE58" s="273"/>
      <c r="AF58" s="273"/>
    </row>
    <row r="59" spans="1:32">
      <c r="A59" s="1149" t="s">
        <v>21</v>
      </c>
      <c r="B59" s="1149"/>
      <c r="C59" s="1149"/>
      <c r="D59" s="4"/>
      <c r="O59" s="215"/>
      <c r="P59" s="215"/>
      <c r="Q59" s="215"/>
      <c r="R59" s="215"/>
      <c r="S59" s="215"/>
      <c r="T59" s="215"/>
      <c r="U59" s="215"/>
      <c r="V59" s="215"/>
      <c r="W59" s="80"/>
      <c r="X59" s="80"/>
      <c r="Y59" s="80"/>
      <c r="Z59" s="80"/>
      <c r="AA59" s="80"/>
      <c r="AB59" s="80"/>
      <c r="AC59" s="80"/>
      <c r="AD59" s="80"/>
      <c r="AE59" s="80"/>
      <c r="AF59" s="80"/>
    </row>
    <row r="60" spans="1:32" s="62" customFormat="1">
      <c r="A60" s="1135" t="s">
        <v>22</v>
      </c>
      <c r="B60" s="1135"/>
      <c r="C60" s="48" t="s">
        <v>226</v>
      </c>
      <c r="D60" s="44" t="s">
        <v>219</v>
      </c>
      <c r="E60" s="141">
        <v>0</v>
      </c>
      <c r="F60" s="1" t="str">
        <f>IF(E60=0,"ND",IF(E60&lt;12,"BAJO",IF(E60=11.9,"BAJO",IF(E60=12,"NORMAL",IF(E60&lt;=16,"NORMAL",IF(E60&gt;=16.1,"ALTO"))))))</f>
        <v>ND</v>
      </c>
      <c r="G60" s="141"/>
      <c r="H60" s="1" t="str">
        <f>IF(G60=0,"ND",IF(G60&lt;12,"BAJO",IF(G60=11.9,"BAJO",IF(G60=12,"NORMAL",IF(G60&lt;=16,"NORMAL",IF(G60&gt;=16.1,"ALTO"))))))</f>
        <v>ND</v>
      </c>
      <c r="I60" s="141"/>
      <c r="J60" s="1" t="str">
        <f>IF(I60=0,"ND",IF(I60&lt;12,"BAJO",IF(I60=11.9,"BAJO",IF(I60=12,"NORMAL",IF(I60&lt;=16,"NORMAL",IF(I60&gt;=16.1,"ALTO"))))))</f>
        <v>ND</v>
      </c>
      <c r="K60" s="141"/>
      <c r="L60" s="1" t="str">
        <f>IF(K60=0,"ND",IF(K60&lt;12,"BAJO",IF(K60=11.9,"BAJO",IF(K60=12,"NORMAL",IF(K60&lt;=16,"NORMAL",IF(K60&gt;=16.1,"ALTO"))))))</f>
        <v>ND</v>
      </c>
      <c r="M60" s="141"/>
      <c r="N60" s="1" t="str">
        <f>IF(M60=0,"ND",IF(M60&lt;12,"BAJO",IF(M60=11.9,"BAJO",IF(M60=12,"NORMAL",IF(M60&lt;=16,"NORMAL",IF(M60&gt;=16.1,"ALTO"))))))</f>
        <v>ND</v>
      </c>
      <c r="O60" s="276"/>
      <c r="P60" s="276"/>
      <c r="Q60" s="276"/>
      <c r="R60" s="276"/>
      <c r="S60" s="276"/>
      <c r="T60" s="276"/>
      <c r="U60" s="276"/>
      <c r="V60" s="276"/>
      <c r="W60" s="273"/>
      <c r="X60" s="273"/>
      <c r="Y60" s="273"/>
      <c r="Z60" s="273"/>
      <c r="AA60" s="273"/>
      <c r="AB60" s="273"/>
      <c r="AC60" s="273"/>
      <c r="AD60" s="273"/>
      <c r="AE60" s="273"/>
      <c r="AF60" s="273"/>
    </row>
    <row r="61" spans="1:32">
      <c r="A61" s="59"/>
      <c r="B61" s="59"/>
      <c r="C61" s="66"/>
      <c r="D61" s="67"/>
      <c r="E61" s="62"/>
      <c r="F61" s="62"/>
      <c r="G61" s="62"/>
      <c r="H61" s="62"/>
      <c r="I61" s="62"/>
      <c r="J61" s="62"/>
      <c r="K61" s="62"/>
      <c r="L61" s="62"/>
      <c r="M61" s="62"/>
      <c r="N61" s="62"/>
      <c r="O61" s="215"/>
      <c r="P61" s="215"/>
      <c r="Q61" s="215"/>
      <c r="R61" s="215"/>
      <c r="S61" s="215"/>
      <c r="T61" s="215"/>
      <c r="U61" s="215"/>
      <c r="V61" s="215"/>
      <c r="W61" s="80"/>
      <c r="X61" s="80"/>
      <c r="Y61" s="80"/>
      <c r="Z61" s="80"/>
      <c r="AA61" s="80"/>
      <c r="AB61" s="80"/>
      <c r="AC61" s="80"/>
      <c r="AD61" s="80"/>
      <c r="AE61" s="80"/>
      <c r="AF61" s="80"/>
    </row>
    <row r="62" spans="1:32" s="62" customFormat="1">
      <c r="A62" s="1135" t="s">
        <v>23</v>
      </c>
      <c r="B62" s="1135"/>
      <c r="C62" s="46" t="s">
        <v>227</v>
      </c>
      <c r="D62" s="42" t="s">
        <v>52</v>
      </c>
      <c r="E62" s="141">
        <v>0</v>
      </c>
      <c r="F62" s="1" t="str">
        <f>IF(E62=0,"ND",IF(E62&lt;36,"BAJO",IF(E62=35.9,"BAJO",IF(E62=36,"NORMAL",IF(E62&lt;=47,"NORMAL",IF(E62&gt;=47.1,"ALTO"))))))</f>
        <v>ND</v>
      </c>
      <c r="G62" s="141"/>
      <c r="H62" s="1" t="str">
        <f>IF(G62=0,"ND",IF(G62&lt;36,"BAJO",IF(G62=35.9,"BAJO",IF(G62=36,"NORMAL",IF(G62&lt;=47,"NORMAL",IF(G62&gt;=47.1,"ALTO"))))))</f>
        <v>ND</v>
      </c>
      <c r="I62" s="141"/>
      <c r="J62" s="1" t="str">
        <f>IF(I62=0,"ND",IF(I62&lt;36,"BAJO",IF(I62=35.9,"BAJO",IF(I62=36,"NORMAL",IF(I62&lt;=47,"NORMAL",IF(I62&gt;=47.1,"ALTO"))))))</f>
        <v>ND</v>
      </c>
      <c r="K62" s="141"/>
      <c r="L62" s="1" t="str">
        <f>IF(K62=0,"ND",IF(K62&lt;36,"BAJO",IF(K62=35.9,"BAJO",IF(K62=36,"NORMAL",IF(K62&lt;=47,"NORMAL",IF(K62&gt;=47.1,"ALTO"))))))</f>
        <v>ND</v>
      </c>
      <c r="M62" s="141"/>
      <c r="N62" s="1" t="str">
        <f>IF(M62=0,"ND",IF(M62&lt;36,"BAJO",IF(M62=35.9,"BAJO",IF(M62=36,"NORMAL",IF(M62&lt;=47,"NORMAL",IF(M62&gt;=47.1,"ALTO"))))))</f>
        <v>ND</v>
      </c>
      <c r="O62" s="276"/>
      <c r="P62" s="276"/>
      <c r="Q62" s="276"/>
      <c r="R62" s="276"/>
      <c r="S62" s="276"/>
      <c r="T62" s="276"/>
      <c r="U62" s="276"/>
      <c r="V62" s="276"/>
      <c r="W62" s="273"/>
      <c r="X62" s="273"/>
      <c r="Y62" s="273"/>
      <c r="Z62" s="273"/>
      <c r="AA62" s="273"/>
      <c r="AB62" s="273"/>
      <c r="AC62" s="273"/>
      <c r="AD62" s="273"/>
      <c r="AE62" s="273"/>
      <c r="AF62" s="273"/>
    </row>
    <row r="63" spans="1:32">
      <c r="A63" s="59"/>
      <c r="B63" s="59"/>
      <c r="C63" s="60"/>
      <c r="D63" s="61"/>
      <c r="E63" s="62"/>
      <c r="F63" s="62"/>
      <c r="G63" s="62"/>
      <c r="H63" s="62"/>
      <c r="I63" s="62"/>
      <c r="J63" s="62"/>
      <c r="K63" s="62"/>
      <c r="L63" s="62"/>
      <c r="M63" s="62"/>
      <c r="N63" s="62"/>
      <c r="O63" s="215"/>
      <c r="P63" s="215"/>
      <c r="Q63" s="215"/>
      <c r="R63" s="215"/>
      <c r="S63" s="215"/>
      <c r="T63" s="215"/>
      <c r="U63" s="215"/>
      <c r="V63" s="215"/>
      <c r="W63" s="80"/>
      <c r="X63" s="80"/>
      <c r="Y63" s="80"/>
      <c r="Z63" s="80"/>
      <c r="AA63" s="80"/>
      <c r="AB63" s="80"/>
      <c r="AC63" s="80"/>
      <c r="AD63" s="80"/>
      <c r="AE63" s="80"/>
      <c r="AF63" s="80"/>
    </row>
    <row r="64" spans="1:32">
      <c r="A64" s="1135" t="s">
        <v>24</v>
      </c>
      <c r="B64" s="1135"/>
      <c r="C64" s="46" t="s">
        <v>228</v>
      </c>
      <c r="D64" s="42" t="s">
        <v>220</v>
      </c>
      <c r="E64" s="141">
        <v>0</v>
      </c>
      <c r="F64" s="1" t="str">
        <f>IF(E64=0,"ND",IF(E64&lt;4000,"BAJO",IF(E64=4000,"NORMAL",IF(E64&lt;=11000,"NORMAL",IF(E64&gt;=11001,"ALTO")))))</f>
        <v>ND</v>
      </c>
      <c r="G64" s="141"/>
      <c r="H64" s="1" t="str">
        <f>IF(G64=0,"ND",IF(G64&lt;4000,"BAJO",IF(G64=4000,"NORMAL",IF(G64&lt;=11000,"NORMAL",IF(G64&gt;=11001,"ALTO")))))</f>
        <v>ND</v>
      </c>
      <c r="I64" s="143"/>
      <c r="J64" s="1" t="str">
        <f>IF(I64=0,"ND",IF(I64&lt;4000,"BAJO",IF(I64=4000,"NORMAL",IF(I64&lt;=11000,"NORMAL",IF(I64&gt;=11001,"ALTO")))))</f>
        <v>ND</v>
      </c>
      <c r="K64" s="143"/>
      <c r="L64" s="1" t="str">
        <f>IF(K64=0,"ND",IF(K64&lt;4000,"BAJO",IF(K64=4000,"NORMAL",IF(K64&lt;=11000,"NORMAL",IF(K64&gt;=11001,"ALTO")))))</f>
        <v>ND</v>
      </c>
      <c r="M64" s="143"/>
      <c r="N64" s="1" t="str">
        <f>IF(M64=0,"ND",IF(M64&lt;4000,"BAJO",IF(M64=4000,"NORMAL",IF(M64&lt;=11000,"NORMAL",IF(M64&gt;=11001,"ALTO")))))</f>
        <v>ND</v>
      </c>
      <c r="O64" s="215"/>
      <c r="P64" s="215"/>
      <c r="Q64" s="215"/>
      <c r="R64" s="215"/>
      <c r="S64" s="215"/>
      <c r="T64" s="215"/>
      <c r="U64" s="215"/>
      <c r="V64" s="215"/>
      <c r="W64" s="80"/>
      <c r="X64" s="80"/>
      <c r="Y64" s="80"/>
      <c r="Z64" s="80"/>
      <c r="AA64" s="80"/>
      <c r="AB64" s="80"/>
      <c r="AC64" s="80"/>
      <c r="AD64" s="80"/>
      <c r="AE64" s="80"/>
      <c r="AF64" s="80"/>
    </row>
    <row r="65" spans="1:32">
      <c r="A65" s="984"/>
      <c r="B65" s="984"/>
      <c r="C65" s="984"/>
      <c r="D65" s="4"/>
      <c r="O65" s="215"/>
      <c r="P65" s="215"/>
      <c r="Q65" s="215"/>
      <c r="R65" s="215"/>
      <c r="S65" s="215"/>
      <c r="T65" s="215"/>
      <c r="U65" s="215"/>
      <c r="V65" s="215"/>
      <c r="W65" s="80"/>
      <c r="X65" s="80"/>
      <c r="Y65" s="80"/>
      <c r="Z65" s="80"/>
      <c r="AA65" s="80"/>
      <c r="AB65" s="80"/>
      <c r="AC65" s="80"/>
      <c r="AD65" s="80"/>
      <c r="AE65" s="80"/>
      <c r="AF65" s="80"/>
    </row>
    <row r="66" spans="1:32">
      <c r="A66" s="1138" t="s">
        <v>20</v>
      </c>
      <c r="B66" s="1138"/>
      <c r="C66" s="1138"/>
      <c r="D66" s="4"/>
      <c r="O66" s="215"/>
      <c r="P66" s="215"/>
      <c r="Q66" s="215"/>
      <c r="R66" s="215"/>
      <c r="S66" s="215"/>
      <c r="T66" s="215"/>
      <c r="U66" s="215"/>
      <c r="V66" s="215"/>
      <c r="W66" s="80"/>
      <c r="X66" s="80"/>
      <c r="Y66" s="80"/>
      <c r="Z66" s="80"/>
      <c r="AA66" s="80"/>
      <c r="AB66" s="80"/>
      <c r="AC66" s="80"/>
      <c r="AD66" s="80"/>
      <c r="AE66" s="80"/>
      <c r="AF66" s="80"/>
    </row>
    <row r="67" spans="1:32" s="62" customFormat="1">
      <c r="A67" s="1135" t="s">
        <v>25</v>
      </c>
      <c r="B67" s="1135"/>
      <c r="C67" s="56" t="s">
        <v>229</v>
      </c>
      <c r="D67" s="57" t="s">
        <v>221</v>
      </c>
      <c r="E67" s="144">
        <v>0</v>
      </c>
      <c r="F67" s="1" t="str">
        <f>IF(E67=0,"ND",IF(E67&lt;65,"BAJO",IF(E67=64.9,"BAJO",IF(E67=65,"NORMAL",IF(E67&lt;=110,"NORMAL",IF(E67&gt;=110.1,"ALTO"))))))</f>
        <v>ND</v>
      </c>
      <c r="G67" s="144"/>
      <c r="H67" s="1" t="str">
        <f>IF(G67=0,"ND",IF(G67&lt;65,"BAJO",IF(G67=64.9,"BAJO",IF(G67=65,"NORMAL",IF(G67&lt;=110,"NORMAL",IF(G67&gt;=110.1,"ALTO"))))))</f>
        <v>ND</v>
      </c>
      <c r="I67" s="144"/>
      <c r="J67" s="1" t="str">
        <f>IF(I67=0,"ND",IF(I67&lt;65,"BAJO",IF(I67=64.9,"BAJO",IF(I67=65,"NORMAL",IF(I67&lt;=110,"NORMAL",IF(I67&gt;=110.1,"ALTO"))))))</f>
        <v>ND</v>
      </c>
      <c r="K67" s="144"/>
      <c r="L67" s="1" t="str">
        <f>IF(K67=0,"ND",IF(K67&lt;65,"BAJO",IF(K67=64.9,"BAJO",IF(K67=65,"NORMAL",IF(K67&lt;=110,"NORMAL",IF(K67&gt;=110.1,"ALTO"))))))</f>
        <v>ND</v>
      </c>
      <c r="M67" s="144"/>
      <c r="N67" s="1" t="str">
        <f>IF(M67=0,"ND",IF(M67&lt;65,"BAJO",IF(M67=64.9,"BAJO",IF(M67=65,"NORMAL",IF(M67&lt;=110,"NORMAL",IF(M67&gt;=110.1,"ALTO"))))))</f>
        <v>ND</v>
      </c>
      <c r="O67" s="276"/>
      <c r="P67" s="276"/>
      <c r="Q67" s="276"/>
      <c r="R67" s="276"/>
      <c r="S67" s="276"/>
      <c r="T67" s="276"/>
      <c r="U67" s="276"/>
      <c r="V67" s="276"/>
      <c r="W67" s="273"/>
      <c r="X67" s="273"/>
      <c r="Y67" s="273"/>
      <c r="Z67" s="273"/>
      <c r="AA67" s="273"/>
      <c r="AB67" s="273"/>
      <c r="AC67" s="273"/>
      <c r="AD67" s="273"/>
      <c r="AE67" s="273"/>
      <c r="AF67" s="273"/>
    </row>
    <row r="68" spans="1:32">
      <c r="A68" s="59"/>
      <c r="B68" s="59"/>
      <c r="C68" s="60"/>
      <c r="D68" s="61"/>
      <c r="E68" s="62"/>
      <c r="F68" s="62"/>
      <c r="G68" s="62"/>
      <c r="H68" s="62"/>
      <c r="I68" s="62"/>
      <c r="J68" s="62"/>
      <c r="K68" s="62"/>
      <c r="L68" s="62"/>
      <c r="M68" s="62"/>
      <c r="N68" s="62"/>
      <c r="O68" s="215"/>
      <c r="P68" s="215"/>
      <c r="Q68" s="215"/>
      <c r="R68" s="215"/>
      <c r="S68" s="215"/>
      <c r="T68" s="215"/>
      <c r="U68" s="215"/>
      <c r="V68" s="215"/>
      <c r="W68" s="80"/>
      <c r="X68" s="80"/>
      <c r="Y68" s="80"/>
      <c r="Z68" s="80"/>
      <c r="AA68" s="80"/>
      <c r="AB68" s="80"/>
      <c r="AC68" s="80"/>
      <c r="AD68" s="80"/>
      <c r="AE68" s="80"/>
      <c r="AF68" s="80"/>
    </row>
    <row r="69" spans="1:32">
      <c r="A69" s="1135" t="s">
        <v>26</v>
      </c>
      <c r="B69" s="1135"/>
      <c r="C69" s="70" t="s">
        <v>230</v>
      </c>
      <c r="D69" s="69" t="s">
        <v>221</v>
      </c>
      <c r="E69" s="145"/>
      <c r="F69" s="1" t="str">
        <f>IF(E69=0,"ND",IF(E69&lt;14,"BAJO",IF(E69=13.9,"BAJO",IF(E69=14,"NORMAL",IF(E69&lt;=44,"NORMAL",IF(E69&gt;=44.1,"ALTO"))))))</f>
        <v>ND</v>
      </c>
      <c r="G69" s="145"/>
      <c r="H69" s="1" t="str">
        <f>IF(G69=0,"ND",IF(G69&lt;14,"BAJO",IF(G69=13.9,"BAJO",IF(G69=14,"NORMAL",IF(G69&lt;=44,"NORMAL",IF(G69&gt;=44.1,"ALTO"))))))</f>
        <v>ND</v>
      </c>
      <c r="I69" s="145"/>
      <c r="J69" s="1" t="str">
        <f>IF(I69=0,"ND",IF(I69&lt;14,"BAJO",IF(I69=13.9,"BAJO",IF(I69=14,"NORMAL",IF(I69&lt;=44,"NORMAL",IF(I69&gt;=44.1,"ALTO"))))))</f>
        <v>ND</v>
      </c>
      <c r="K69" s="145"/>
      <c r="L69" s="1" t="str">
        <f>IF(K69=0,"ND",IF(K69&lt;14,"BAJO",IF(K69=13.9,"BAJO",IF(K69=14,"NORMAL",IF(K69&lt;=44,"NORMAL",IF(K69&gt;=44.1,"ALTO"))))))</f>
        <v>ND</v>
      </c>
      <c r="M69" s="145"/>
      <c r="N69" s="1" t="str">
        <f>IF(M69=0,"ND",IF(M69&lt;14,"BAJO",IF(M69=13.9,"BAJO",IF(M69=14,"NORMAL",IF(M69&lt;=44,"NORMAL",IF(M69&gt;=44.1,"ALTO"))))))</f>
        <v>ND</v>
      </c>
      <c r="O69" s="215"/>
      <c r="P69" s="215"/>
      <c r="Q69" s="215"/>
      <c r="R69" s="215"/>
      <c r="S69" s="215"/>
      <c r="T69" s="215"/>
      <c r="U69" s="215"/>
      <c r="V69" s="215"/>
      <c r="W69" s="80"/>
      <c r="X69" s="80"/>
      <c r="Y69" s="80"/>
      <c r="Z69" s="80"/>
      <c r="AA69" s="80"/>
      <c r="AB69" s="80"/>
      <c r="AC69" s="80"/>
      <c r="AD69" s="80"/>
      <c r="AE69" s="80"/>
      <c r="AF69" s="80"/>
    </row>
    <row r="70" spans="1:32">
      <c r="A70" s="59"/>
      <c r="B70" s="59"/>
      <c r="C70" s="71"/>
      <c r="D70" s="61"/>
      <c r="E70" s="62"/>
      <c r="F70" s="62"/>
      <c r="G70" s="62"/>
      <c r="H70" s="62"/>
      <c r="I70" s="62"/>
      <c r="J70" s="62"/>
      <c r="K70" s="62"/>
      <c r="L70" s="62"/>
      <c r="M70" s="62"/>
      <c r="N70" s="62"/>
      <c r="O70" s="215"/>
      <c r="P70" s="215"/>
      <c r="Q70" s="215"/>
      <c r="R70" s="215"/>
      <c r="S70" s="215"/>
      <c r="T70" s="215"/>
      <c r="U70" s="215"/>
      <c r="V70" s="215"/>
      <c r="W70" s="80"/>
      <c r="X70" s="80"/>
      <c r="Y70" s="80"/>
      <c r="Z70" s="80"/>
      <c r="AA70" s="80"/>
      <c r="AB70" s="80"/>
      <c r="AC70" s="80"/>
      <c r="AD70" s="80"/>
      <c r="AE70" s="80"/>
      <c r="AF70" s="80"/>
    </row>
    <row r="71" spans="1:32">
      <c r="A71" s="1135" t="s">
        <v>27</v>
      </c>
      <c r="B71" s="1135"/>
      <c r="C71" s="68" t="s">
        <v>225</v>
      </c>
      <c r="D71" s="69" t="s">
        <v>221</v>
      </c>
      <c r="E71" s="145">
        <v>0</v>
      </c>
      <c r="F71" s="1" t="str">
        <f>IF(E71=0,"ND",IF(E71&lt;3.4,"BAJO",IF(E71&lt;=3.39,"BAJO",IF(E71=3.4,"NORMAL",IF(E71&lt;=7,"NORMAL",IF(E71&gt;=7.1,"ALTO"))))))</f>
        <v>ND</v>
      </c>
      <c r="G71" s="145"/>
      <c r="H71" s="1" t="str">
        <f>IF(G71=0,"ND",IF(G71&lt;3.4,"BAJO",IF(G71&lt;=3.39,"BAJO",IF(G71=3.4,"NORMAL",IF(G71&lt;=7,"NORMAL",IF(G71&gt;=7.1,"ALTO"))))))</f>
        <v>ND</v>
      </c>
      <c r="I71" s="145"/>
      <c r="J71" s="1" t="str">
        <f>IF(I71=0,"ND",IF(I71&lt;3.4,"BAJO",IF(I71&lt;=3.39,"BAJO",IF(I71=3.4,"NORMAL",IF(I71&lt;=7,"NORMAL",IF(I71&gt;=7.1,"ALTO"))))))</f>
        <v>ND</v>
      </c>
      <c r="K71" s="145"/>
      <c r="L71" s="1" t="str">
        <f>IF(K71=0,"ND",IF(K71&lt;3.4,"BAJO",IF(K71&lt;=3.39,"BAJO",IF(K71=3.4,"NORMAL",IF(K71&lt;=7,"NORMAL",IF(K71&gt;=7.1,"ALTO"))))))</f>
        <v>ND</v>
      </c>
      <c r="M71" s="145"/>
      <c r="N71" s="1" t="str">
        <f>IF(M71=0,"ND",IF(M71&lt;3.4,"BAJO",IF(M71&lt;=3.39,"BAJO",IF(M71=3.4,"NORMAL",IF(M71&lt;=7,"NORMAL",IF(M71&gt;=7.1,"ALTO"))))))</f>
        <v>ND</v>
      </c>
      <c r="O71" s="215"/>
      <c r="P71" s="215"/>
      <c r="Q71" s="215"/>
      <c r="R71" s="215"/>
      <c r="S71" s="215"/>
      <c r="T71" s="215"/>
      <c r="U71" s="215"/>
      <c r="V71" s="215"/>
      <c r="W71" s="80"/>
      <c r="X71" s="80"/>
      <c r="Y71" s="80"/>
      <c r="Z71" s="80"/>
      <c r="AA71" s="80"/>
      <c r="AB71" s="80"/>
      <c r="AC71" s="80"/>
      <c r="AD71" s="80"/>
      <c r="AE71" s="80"/>
      <c r="AF71" s="80"/>
    </row>
    <row r="72" spans="1:32" s="63" customFormat="1">
      <c r="A72" s="59"/>
      <c r="B72" s="59"/>
      <c r="C72" s="60"/>
      <c r="D72" s="61"/>
      <c r="E72" s="62"/>
      <c r="F72" s="62"/>
      <c r="G72" s="62"/>
      <c r="H72" s="62"/>
      <c r="I72" s="62"/>
      <c r="J72" s="62"/>
      <c r="K72" s="62"/>
      <c r="L72" s="62"/>
      <c r="M72" s="62"/>
      <c r="N72" s="62"/>
      <c r="O72" s="277"/>
      <c r="P72" s="277"/>
      <c r="Q72" s="277"/>
      <c r="R72" s="277"/>
      <c r="S72" s="277"/>
      <c r="T72" s="277"/>
      <c r="U72" s="277"/>
      <c r="V72" s="277"/>
      <c r="W72" s="274"/>
      <c r="X72" s="274"/>
      <c r="Y72" s="274"/>
      <c r="Z72" s="274"/>
      <c r="AA72" s="274"/>
      <c r="AB72" s="274"/>
      <c r="AC72" s="274"/>
      <c r="AD72" s="274"/>
      <c r="AE72" s="274"/>
      <c r="AF72" s="274"/>
    </row>
    <row r="73" spans="1:32">
      <c r="A73" s="1135" t="s">
        <v>28</v>
      </c>
      <c r="B73" s="1135"/>
      <c r="C73" s="64" t="s">
        <v>231</v>
      </c>
      <c r="D73" s="58" t="s">
        <v>221</v>
      </c>
      <c r="E73" s="143"/>
      <c r="F73" s="1" t="str">
        <f>IF(E73=0,"ND",IF(E73&lt;0.5,"BAJO",IF(E73=0.49,"BAJO",IF(E73=0.5,"NORMAL",IF(E73&lt;=1.6,"NORMAL",IF(E73&gt;=1.61,"ALTO"))))))</f>
        <v>ND</v>
      </c>
      <c r="G73" s="143"/>
      <c r="H73" s="1" t="str">
        <f>IF(G73=0,"ND",IF(G73&lt;0.5,"BAJO",IF(G73=0.49,"BAJO",IF(G73=0.5,"NORMAL",IF(G73&lt;=1.6,"NORMAL",IF(G73&gt;=1.61,"ALTO"))))))</f>
        <v>ND</v>
      </c>
      <c r="I73" s="143"/>
      <c r="J73" s="1" t="str">
        <f>IF(I73=0,"ND",IF(I73&lt;0.5,"BAJO",IF(I73=0.49,"BAJO",IF(I73=0.5,"NORMAL",IF(I73&lt;=1.6,"NORMAL",IF(I73&gt;=1.61,"ALTO"))))))</f>
        <v>ND</v>
      </c>
      <c r="K73" s="143"/>
      <c r="L73" s="1" t="str">
        <f>IF(K73=0,"ND",IF(K73&lt;0.5,"BAJO",IF(K73=0.49,"BAJO",IF(K73=0.5,"NORMAL",IF(K73&lt;=1.6,"NORMAL",IF(K73&gt;=1.61,"ALTO"))))))</f>
        <v>ND</v>
      </c>
      <c r="M73" s="143"/>
      <c r="N73" s="1" t="str">
        <f>IF(M73=0,"ND",IF(M73&lt;0.5,"BAJO",IF(M73=0.49,"BAJO",IF(M73=0.5,"NORMAL",IF(M73&lt;=1.6,"NORMAL",IF(M73&gt;=1.61,"ALTO"))))))</f>
        <v>ND</v>
      </c>
      <c r="O73" s="215"/>
      <c r="P73" s="215"/>
      <c r="Q73" s="215"/>
      <c r="R73" s="215"/>
      <c r="S73" s="215"/>
      <c r="T73" s="215"/>
      <c r="U73" s="215"/>
      <c r="V73" s="215"/>
      <c r="W73" s="80"/>
      <c r="X73" s="80"/>
      <c r="Y73" s="80"/>
      <c r="Z73" s="80"/>
      <c r="AA73" s="80"/>
      <c r="AB73" s="80"/>
      <c r="AC73" s="80"/>
      <c r="AD73" s="80"/>
      <c r="AE73" s="80"/>
      <c r="AF73" s="80"/>
    </row>
    <row r="74" spans="1:32" s="63" customFormat="1">
      <c r="A74" s="984"/>
      <c r="B74" s="984"/>
      <c r="C74" s="984"/>
      <c r="D74" s="4"/>
      <c r="E74" s="1"/>
      <c r="F74" s="1"/>
      <c r="G74" s="1"/>
      <c r="H74" s="1"/>
      <c r="I74" s="1"/>
      <c r="J74" s="1"/>
      <c r="K74" s="1"/>
      <c r="L74" s="1"/>
      <c r="M74" s="1"/>
      <c r="N74" s="1"/>
      <c r="O74" s="277"/>
      <c r="P74" s="277"/>
      <c r="Q74" s="277"/>
      <c r="R74" s="277"/>
      <c r="S74" s="277"/>
      <c r="T74" s="277"/>
      <c r="U74" s="277"/>
      <c r="V74" s="277"/>
      <c r="W74" s="274"/>
      <c r="X74" s="274"/>
      <c r="Y74" s="274"/>
      <c r="Z74" s="274"/>
      <c r="AA74" s="274"/>
      <c r="AB74" s="274"/>
      <c r="AC74" s="274"/>
      <c r="AD74" s="274"/>
      <c r="AE74" s="274"/>
      <c r="AF74" s="274"/>
    </row>
    <row r="75" spans="1:32">
      <c r="A75" s="1138" t="s">
        <v>29</v>
      </c>
      <c r="B75" s="1138"/>
      <c r="C75" s="1138"/>
      <c r="D75" s="4"/>
      <c r="O75" s="215"/>
      <c r="P75" s="215"/>
      <c r="Q75" s="215"/>
      <c r="R75" s="215"/>
      <c r="S75" s="215"/>
      <c r="T75" s="215"/>
      <c r="U75" s="215"/>
      <c r="V75" s="215"/>
      <c r="W75" s="80"/>
      <c r="X75" s="80"/>
      <c r="Y75" s="80"/>
      <c r="Z75" s="80"/>
      <c r="AA75" s="80"/>
      <c r="AB75" s="80"/>
      <c r="AC75" s="80"/>
      <c r="AD75" s="80"/>
      <c r="AE75" s="80"/>
      <c r="AF75" s="80"/>
    </row>
    <row r="76" spans="1:32">
      <c r="A76" s="799" t="s">
        <v>30</v>
      </c>
      <c r="B76" s="799"/>
      <c r="C76" s="56" t="s">
        <v>224</v>
      </c>
      <c r="D76" s="57" t="s">
        <v>219</v>
      </c>
      <c r="E76" s="144">
        <v>0</v>
      </c>
      <c r="F76" s="1" t="str">
        <f>IF(E76=0,"ND",IF(E76&lt;6.4,"BAJO",IF(E76=6.39,"BAJO",IF(E76=6.4,"NORMAL",IF(E76&lt;=8.3,"NORMAL",IF(E76&gt;=8.31,"ALTO"))))))</f>
        <v>ND</v>
      </c>
      <c r="G76" s="144"/>
      <c r="H76" s="1" t="str">
        <f>IF(G76=0,"ND",IF(G76&lt;6.4,"BAJO",IF(G76=6.39,"BAJO",IF(G76=6.4,"NORMAL",IF(G76&lt;=8.3,"NORMAL",IF(G76&gt;=8.31,"ALTO"))))))</f>
        <v>ND</v>
      </c>
      <c r="I76" s="144"/>
      <c r="J76" s="1" t="str">
        <f>IF(I76=0,"ND",IF(I76&lt;6.4,"BAJO",IF(I76=6.39,"BAJO",IF(I76=6.4,"NORMAL",IF(I76&lt;=8.3,"NORMAL",IF(I76&gt;=8.31,"ALTO"))))))</f>
        <v>ND</v>
      </c>
      <c r="K76" s="144"/>
      <c r="L76" s="1" t="str">
        <f>IF(K76=0,"ND",IF(K76&lt;6.4,"BAJO",IF(K76=6.39,"BAJO",IF(K76=6.4,"NORMAL",IF(K76&lt;=8.3,"NORMAL",IF(K76&gt;=8.31,"ALTO"))))))</f>
        <v>ND</v>
      </c>
      <c r="M76" s="144"/>
      <c r="N76" s="1" t="str">
        <f>IF(M76=0,"ND",IF(M76&lt;6.4,"BAJO",IF(M76=6.39,"BAJO",IF(M76=6.4,"NORMAL",IF(M76&lt;=8.3,"NORMAL",IF(M76&gt;=8.31,"ALTO"))))))</f>
        <v>ND</v>
      </c>
      <c r="O76" s="215"/>
      <c r="P76" s="215"/>
      <c r="Q76" s="215"/>
      <c r="R76" s="215"/>
      <c r="S76" s="215"/>
      <c r="T76" s="215"/>
      <c r="U76" s="215"/>
      <c r="V76" s="215"/>
      <c r="W76" s="80"/>
      <c r="X76" s="80"/>
      <c r="Y76" s="80"/>
      <c r="Z76" s="80"/>
      <c r="AA76" s="80"/>
      <c r="AB76" s="80"/>
      <c r="AC76" s="80"/>
      <c r="AD76" s="80"/>
      <c r="AE76" s="80"/>
      <c r="AF76" s="80"/>
    </row>
    <row r="77" spans="1:32">
      <c r="A77" s="65"/>
      <c r="B77" s="65"/>
      <c r="C77" s="60"/>
      <c r="D77" s="61"/>
      <c r="E77" s="62"/>
      <c r="F77" s="62"/>
      <c r="G77" s="62"/>
      <c r="H77" s="62"/>
      <c r="I77" s="62"/>
      <c r="J77" s="62"/>
      <c r="K77" s="62"/>
      <c r="L77" s="62"/>
      <c r="M77" s="62"/>
      <c r="N77" s="62"/>
      <c r="O77" s="215"/>
      <c r="P77" s="215"/>
      <c r="Q77" s="215"/>
      <c r="R77" s="215"/>
      <c r="S77" s="215"/>
      <c r="T77" s="215"/>
      <c r="U77" s="215"/>
      <c r="V77" s="215"/>
      <c r="W77" s="80"/>
      <c r="X77" s="80"/>
      <c r="Y77" s="80"/>
      <c r="Z77" s="80"/>
      <c r="AA77" s="80"/>
      <c r="AB77" s="80"/>
      <c r="AC77" s="80"/>
      <c r="AD77" s="80"/>
      <c r="AE77" s="80"/>
      <c r="AF77" s="80"/>
    </row>
    <row r="78" spans="1:32">
      <c r="A78" s="1139" t="s">
        <v>31</v>
      </c>
      <c r="B78" s="1139"/>
      <c r="C78" s="64" t="s">
        <v>212</v>
      </c>
      <c r="D78" s="58" t="s">
        <v>219</v>
      </c>
      <c r="E78" s="143">
        <v>0</v>
      </c>
      <c r="F78" s="1" t="str">
        <f>IF(E78=0,"ND",IF(E78&lt;3.4,"BAJO",IF(E78=3.39,"BAJO",IF(E78=3.4,"NORMAL",IF(E78&lt;=5,"NORMAL",IF(E78&gt;=5.01,"ALTO"))))))</f>
        <v>ND</v>
      </c>
      <c r="G78" s="143"/>
      <c r="H78" s="1" t="str">
        <f>IF(G78=0,"ND",IF(G78&lt;3.4,"BAJO",IF(G78=3.39,"BAJO",IF(G78=3.4,"NORMAL",IF(G78&lt;=5,"NORMAL",IF(G78&gt;=5.01,"ALTO"))))))</f>
        <v>ND</v>
      </c>
      <c r="I78" s="143"/>
      <c r="J78" s="1" t="str">
        <f>IF(I78=0,"ND",IF(I78&lt;3.4,"BAJO",IF(I78=3.39,"BAJO",IF(I78=3.4,"NORMAL",IF(I78&lt;=5,"NORMAL",IF(I78&gt;=5.01,"ALTO"))))))</f>
        <v>ND</v>
      </c>
      <c r="K78" s="143"/>
      <c r="L78" s="1" t="str">
        <f>IF(K78=0,"ND",IF(K78&lt;3.4,"BAJO",IF(K78=3.39,"BAJO",IF(K78=3.4,"NORMAL",IF(K78&lt;=5,"NORMAL",IF(K78&gt;=5.01,"ALTO"))))))</f>
        <v>ND</v>
      </c>
      <c r="M78" s="143"/>
      <c r="N78" s="1" t="str">
        <f>IF(M78=0,"ND",IF(M78&lt;3.4,"BAJO",IF(M78=3.39,"BAJO",IF(M78=3.4,"NORMAL",IF(M78&lt;=5,"NORMAL",IF(M78&gt;=5.01,"ALTO"))))))</f>
        <v>ND</v>
      </c>
      <c r="O78" s="215"/>
      <c r="P78" s="215"/>
      <c r="Q78" s="215"/>
      <c r="R78" s="215"/>
      <c r="S78" s="215"/>
      <c r="T78" s="215"/>
      <c r="U78" s="215"/>
      <c r="V78" s="215"/>
      <c r="W78" s="80"/>
      <c r="X78" s="80"/>
      <c r="Y78" s="80"/>
      <c r="Z78" s="80"/>
      <c r="AA78" s="80"/>
      <c r="AB78" s="80"/>
      <c r="AC78" s="80"/>
      <c r="AD78" s="80"/>
      <c r="AE78" s="80"/>
      <c r="AF78" s="80"/>
    </row>
    <row r="79" spans="1:32">
      <c r="A79" s="5"/>
      <c r="B79" s="5"/>
      <c r="C79" s="5"/>
      <c r="D79" s="4"/>
      <c r="O79" s="215"/>
      <c r="P79" s="215"/>
      <c r="Q79" s="215"/>
      <c r="R79" s="215"/>
      <c r="S79" s="215"/>
      <c r="T79" s="215"/>
      <c r="U79" s="215"/>
      <c r="V79" s="215"/>
      <c r="W79" s="80"/>
      <c r="X79" s="80"/>
      <c r="Y79" s="80"/>
      <c r="Z79" s="80"/>
      <c r="AA79" s="80"/>
      <c r="AB79" s="80"/>
      <c r="AC79" s="80"/>
      <c r="AD79" s="80"/>
      <c r="AE79" s="80"/>
      <c r="AF79" s="80"/>
    </row>
    <row r="80" spans="1:32">
      <c r="A80" s="1138" t="s">
        <v>32</v>
      </c>
      <c r="B80" s="1138"/>
      <c r="C80" s="1138"/>
      <c r="D80" s="4"/>
      <c r="O80" s="215"/>
      <c r="P80" s="215"/>
      <c r="Q80" s="215"/>
      <c r="R80" s="215"/>
      <c r="S80" s="215"/>
      <c r="T80" s="215"/>
      <c r="U80" s="215"/>
      <c r="V80" s="215"/>
      <c r="W80" s="80"/>
      <c r="X80" s="80"/>
      <c r="Y80" s="80"/>
      <c r="Z80" s="80"/>
      <c r="AA80" s="80"/>
      <c r="AB80" s="80"/>
      <c r="AC80" s="80"/>
      <c r="AD80" s="80"/>
      <c r="AE80" s="80"/>
      <c r="AF80" s="80"/>
    </row>
    <row r="81" spans="1:32">
      <c r="A81" s="797" t="s">
        <v>33</v>
      </c>
      <c r="B81" s="797"/>
      <c r="C81" s="46" t="s">
        <v>232</v>
      </c>
      <c r="D81" s="42" t="s">
        <v>221</v>
      </c>
      <c r="E81" s="141">
        <v>0</v>
      </c>
      <c r="F81" s="1" t="str">
        <f>IF(E81=0,"ND",IF(E81&lt;140,"BAJO",IF(E81=139.9,"BAJO",IF(E81=140,"NORMAL",IF(E81&lt;=200,"NORMAL",IF(E81&gt;=200.1,"ALTO"))))))</f>
        <v>ND</v>
      </c>
      <c r="G81" s="141"/>
      <c r="H81" s="1" t="str">
        <f>IF(G81=0,"ND",IF(G81&lt;140,"BAJO",IF(G81=139.9,"BAJO",IF(G81=140,"NORMAL",IF(G81&lt;=200,"NORMAL",IF(G81&gt;=200.1,"ALTO"))))))</f>
        <v>ND</v>
      </c>
      <c r="I81" s="141"/>
      <c r="J81" s="1" t="str">
        <f>IF(I81=0,"ND",IF(I81&lt;140,"BAJO",IF(I81=139.9,"BAJO",IF(I81=140,"NORMAL",IF(I81&lt;=200,"NORMAL",IF(I81&gt;=200.1,"ALTO"))))))</f>
        <v>ND</v>
      </c>
      <c r="K81" s="141"/>
      <c r="L81" s="1" t="str">
        <f>IF(K81=0,"ND",IF(K81&lt;140,"BAJO",IF(K81=139.9,"BAJO",IF(K81=140,"NORMAL",IF(K81&lt;=200,"NORMAL",IF(K81&gt;=200.1,"ALTO"))))))</f>
        <v>ND</v>
      </c>
      <c r="M81" s="141"/>
      <c r="N81" s="1" t="str">
        <f>IF(M81=0,"ND",IF(M81&lt;140,"BAJO",IF(M81=139.9,"BAJO",IF(M81=140,"NORMAL",IF(M81&lt;=200,"NORMAL",IF(M81&gt;=200.1,"ALTO"))))))</f>
        <v>ND</v>
      </c>
      <c r="O81" s="215"/>
      <c r="P81" s="215"/>
      <c r="Q81" s="215"/>
      <c r="R81" s="215"/>
      <c r="S81" s="215"/>
      <c r="T81" s="215"/>
      <c r="U81" s="215"/>
      <c r="V81" s="215"/>
      <c r="W81" s="80"/>
      <c r="X81" s="80"/>
      <c r="Y81" s="80"/>
      <c r="Z81" s="80"/>
      <c r="AA81" s="80"/>
      <c r="AB81" s="80"/>
      <c r="AC81" s="80"/>
      <c r="AD81" s="80"/>
      <c r="AE81" s="80"/>
      <c r="AF81" s="80"/>
    </row>
    <row r="82" spans="1:32">
      <c r="A82" s="59"/>
      <c r="B82" s="59"/>
      <c r="C82" s="60"/>
      <c r="D82" s="61"/>
      <c r="E82" s="62"/>
      <c r="F82" s="62"/>
      <c r="G82" s="62"/>
      <c r="H82" s="62"/>
      <c r="I82" s="62"/>
      <c r="J82" s="62"/>
      <c r="K82" s="62"/>
      <c r="L82" s="62"/>
      <c r="M82" s="62"/>
      <c r="N82" s="63"/>
      <c r="O82" s="215"/>
      <c r="P82" s="215"/>
      <c r="Q82" s="215"/>
      <c r="R82" s="215"/>
      <c r="S82" s="215"/>
      <c r="T82" s="215"/>
      <c r="U82" s="215"/>
      <c r="V82" s="215"/>
      <c r="W82" s="80"/>
      <c r="X82" s="80"/>
      <c r="Y82" s="80"/>
      <c r="Z82" s="80"/>
      <c r="AA82" s="80"/>
      <c r="AB82" s="80"/>
      <c r="AC82" s="80"/>
      <c r="AD82" s="80"/>
      <c r="AE82" s="80"/>
      <c r="AF82" s="80"/>
    </row>
    <row r="83" spans="1:32">
      <c r="A83" s="1135" t="s">
        <v>34</v>
      </c>
      <c r="B83" s="1135"/>
      <c r="C83" s="47" t="s">
        <v>233</v>
      </c>
      <c r="D83" s="42" t="s">
        <v>221</v>
      </c>
      <c r="E83" s="141"/>
      <c r="F83" s="1" t="str">
        <f>IF(E83=0,"ND",IF(E83&lt;40,"BAJO",IF(E83=39.9,"BAJO",IF(E83=40,"NORMAL",IF(E83&lt;=160,"NORMAL",IF(E83&gt;=160.1,"ALTO"))))))</f>
        <v>ND</v>
      </c>
      <c r="G83" s="141"/>
      <c r="H83" s="1" t="str">
        <f>IF(G83=0,"ND",IF(G83&lt;40,"BAJO",IF(G83=39.9,"BAJO",IF(G83=40,"NORMAL",IF(G83&lt;=160,"NORMAL",IF(G83&gt;=160.1,"ALTO"))))))</f>
        <v>ND</v>
      </c>
      <c r="I83" s="141"/>
      <c r="J83" s="1" t="str">
        <f>IF(I83=0,"ND",IF(I83&lt;40,"BAJO",IF(I83=39.9,"BAJO",IF(I83=40,"NORMAL",IF(I83&lt;=160,"NORMAL",IF(I83&gt;=160.1,"ALTO"))))))</f>
        <v>ND</v>
      </c>
      <c r="K83" s="141"/>
      <c r="L83" s="1" t="str">
        <f>IF(K83=0,"ND",IF(K83&lt;40,"BAJO",IF(K83=39.9,"BAJO",IF(K83=40,"NORMAL",IF(K83&lt;=160,"NORMAL",IF(K83&gt;=160.1,"ALTO"))))))</f>
        <v>ND</v>
      </c>
      <c r="M83" s="141"/>
      <c r="N83" s="1" t="str">
        <f>IF(M83=0,"ND",IF(M83&lt;40,"BAJO",IF(M83=39.9,"BAJO",IF(M83=40,"NORMAL",IF(M83&lt;=160,"NORMAL",IF(M83&gt;=160.1,"ALTO"))))))</f>
        <v>ND</v>
      </c>
      <c r="O83" s="215"/>
      <c r="P83" s="215"/>
      <c r="Q83" s="215"/>
      <c r="R83" s="215"/>
      <c r="S83" s="215"/>
      <c r="T83" s="215"/>
      <c r="U83" s="215"/>
      <c r="V83" s="215"/>
      <c r="W83" s="80"/>
      <c r="X83" s="80"/>
      <c r="Y83" s="80"/>
      <c r="Z83" s="80"/>
      <c r="AA83" s="80"/>
      <c r="AB83" s="80"/>
      <c r="AC83" s="80"/>
      <c r="AD83" s="80"/>
      <c r="AE83" s="80"/>
      <c r="AF83" s="80"/>
    </row>
    <row r="84" spans="1:32">
      <c r="A84" s="59" t="s">
        <v>237</v>
      </c>
      <c r="B84" s="59"/>
      <c r="C84" s="1140"/>
      <c r="D84" s="1140"/>
      <c r="E84" s="1140"/>
      <c r="F84" s="1140"/>
      <c r="G84" s="62"/>
      <c r="H84" s="63"/>
      <c r="I84" s="62"/>
      <c r="J84" s="63"/>
      <c r="K84" s="62"/>
      <c r="L84" s="63"/>
      <c r="M84" s="62"/>
      <c r="N84" s="63"/>
      <c r="O84" s="215"/>
      <c r="P84" s="215"/>
      <c r="Q84" s="215"/>
      <c r="R84" s="215"/>
      <c r="S84" s="215"/>
      <c r="T84" s="215"/>
      <c r="U84" s="215"/>
      <c r="V84" s="215"/>
      <c r="W84" s="80"/>
      <c r="X84" s="80"/>
      <c r="Y84" s="80"/>
      <c r="Z84" s="80"/>
      <c r="AA84" s="80"/>
      <c r="AB84" s="80"/>
      <c r="AC84" s="80"/>
      <c r="AD84" s="80"/>
      <c r="AE84" s="80"/>
      <c r="AF84" s="80"/>
    </row>
    <row r="85" spans="1:32">
      <c r="A85" s="1138" t="s">
        <v>35</v>
      </c>
      <c r="B85" s="1138"/>
      <c r="C85" s="1138"/>
      <c r="D85" s="4"/>
      <c r="E85" s="45"/>
      <c r="O85" s="215"/>
      <c r="P85" s="215"/>
      <c r="Q85" s="215"/>
      <c r="R85" s="215"/>
      <c r="S85" s="215"/>
      <c r="T85" s="215"/>
      <c r="U85" s="215"/>
      <c r="V85" s="215"/>
      <c r="W85" s="80"/>
      <c r="X85" s="80"/>
      <c r="Y85" s="80"/>
      <c r="Z85" s="80"/>
      <c r="AA85" s="80"/>
      <c r="AB85" s="80"/>
      <c r="AC85" s="80"/>
      <c r="AD85" s="80"/>
      <c r="AE85" s="80"/>
      <c r="AF85" s="80"/>
    </row>
    <row r="86" spans="1:32">
      <c r="A86" s="798"/>
      <c r="B86" s="798"/>
      <c r="C86" s="798"/>
      <c r="D86" s="4"/>
      <c r="E86" s="45"/>
      <c r="O86" s="215"/>
      <c r="P86" s="215"/>
      <c r="Q86" s="215"/>
      <c r="R86" s="215"/>
      <c r="S86" s="215"/>
      <c r="T86" s="215"/>
      <c r="U86" s="215"/>
      <c r="V86" s="215"/>
      <c r="W86" s="80"/>
      <c r="X86" s="80"/>
      <c r="Y86" s="80"/>
      <c r="Z86" s="80"/>
      <c r="AA86" s="80"/>
      <c r="AB86" s="80"/>
      <c r="AC86" s="80"/>
      <c r="AD86" s="80"/>
      <c r="AE86" s="80"/>
      <c r="AF86" s="80"/>
    </row>
    <row r="87" spans="1:32">
      <c r="A87" s="798"/>
      <c r="B87" s="798"/>
      <c r="C87" s="798"/>
      <c r="D87" s="4"/>
      <c r="E87" s="45"/>
      <c r="O87" s="215"/>
      <c r="P87" s="215"/>
      <c r="Q87" s="215"/>
      <c r="R87" s="215"/>
      <c r="S87" s="215"/>
      <c r="T87" s="215"/>
      <c r="U87" s="215"/>
      <c r="V87" s="215"/>
      <c r="W87" s="80"/>
      <c r="X87" s="80"/>
      <c r="Y87" s="80"/>
      <c r="Z87" s="80"/>
      <c r="AA87" s="80"/>
      <c r="AB87" s="80"/>
      <c r="AC87" s="80"/>
      <c r="AD87" s="80"/>
      <c r="AE87" s="80"/>
      <c r="AF87" s="80"/>
    </row>
    <row r="88" spans="1:32">
      <c r="A88" s="1135" t="s">
        <v>222</v>
      </c>
      <c r="B88" s="1136"/>
      <c r="C88" s="49" t="s">
        <v>223</v>
      </c>
      <c r="D88" s="42" t="s">
        <v>221</v>
      </c>
      <c r="E88" s="141"/>
      <c r="F88" s="1" t="str">
        <f>IF(E88=0,"ND",IF(E88&lt;9,"BAJO",IF(E88=8.9,"BAJO",IF(E88=9,"NORMAL",IF(E88&lt;=20,"NORMAL",IF(E88&gt;=20.1,"ALTO"))))))</f>
        <v>ND</v>
      </c>
      <c r="G88" s="141"/>
      <c r="H88" s="1" t="str">
        <f>IF(G88=0,"ND",IF(G88&lt;9,"BAJO",IF(G88=8.9,"BAJO",IF(G88=9,"NORMAL",IF(G88&lt;=20,"NORMAL",IF(G88&gt;=20.1,"ALTO"))))))</f>
        <v>ND</v>
      </c>
      <c r="I88" s="141"/>
      <c r="J88" s="1" t="str">
        <f>IF(I88=0,"ND",IF(I88&lt;9,"BAJO",IF(I88=8.9,"BAJO",IF(I88=9,"NORMAL",IF(I88&lt;=20,"NORMAL",IF(I88&gt;=20.1,"ALTO"))))))</f>
        <v>ND</v>
      </c>
      <c r="K88" s="141"/>
      <c r="L88" s="1" t="str">
        <f>IF(K88=0,"ND",IF(K88&lt;9,"BAJO",IF(K88=8.9,"BAJO",IF(K88=9,"NORMAL",IF(K88&lt;=20,"NORMAL",IF(K88&gt;=20.1,"ALTO"))))))</f>
        <v>ND</v>
      </c>
      <c r="M88" s="141"/>
      <c r="N88" s="1" t="str">
        <f>IF(M88=0,"ND",IF(M88&lt;9,"BAJO",IF(M88=8.9,"BAJO",IF(M88=9,"NORMAL",IF(M88&lt;=20,"NORMAL",IF(M88&gt;=20.1,"ALTO"))))))</f>
        <v>ND</v>
      </c>
      <c r="O88" s="215"/>
      <c r="P88" s="215"/>
      <c r="Q88" s="215"/>
      <c r="R88" s="215"/>
      <c r="S88" s="215"/>
      <c r="T88" s="215"/>
      <c r="U88" s="215"/>
      <c r="V88" s="215"/>
      <c r="W88" s="80"/>
      <c r="X88" s="80"/>
      <c r="Y88" s="80"/>
      <c r="Z88" s="80"/>
      <c r="AA88" s="80"/>
      <c r="AB88" s="80"/>
      <c r="AC88" s="80"/>
      <c r="AD88" s="80"/>
      <c r="AE88" s="80"/>
      <c r="AF88" s="80"/>
    </row>
    <row r="89" spans="1:32">
      <c r="A89" s="797"/>
      <c r="B89" s="797"/>
      <c r="C89" s="117"/>
      <c r="D89" s="118"/>
      <c r="E89" s="85"/>
      <c r="F89" s="84"/>
      <c r="G89" s="85"/>
      <c r="H89" s="84"/>
      <c r="I89" s="85"/>
      <c r="J89" s="84"/>
      <c r="K89" s="85"/>
      <c r="L89" s="84"/>
      <c r="M89" s="85"/>
      <c r="O89" s="215"/>
      <c r="P89" s="215"/>
      <c r="Q89" s="215"/>
      <c r="R89" s="215"/>
      <c r="S89" s="215"/>
      <c r="T89" s="215"/>
      <c r="U89" s="215"/>
      <c r="V89" s="215"/>
      <c r="W89" s="80"/>
      <c r="X89" s="80"/>
      <c r="Y89" s="80"/>
      <c r="Z89" s="80"/>
      <c r="AA89" s="80"/>
      <c r="AB89" s="80"/>
      <c r="AC89" s="80"/>
      <c r="AD89" s="80"/>
      <c r="AE89" s="80"/>
      <c r="AF89" s="80"/>
    </row>
    <row r="90" spans="1:32">
      <c r="A90" s="797"/>
      <c r="B90" s="797"/>
      <c r="C90" s="117"/>
      <c r="D90" s="118"/>
      <c r="E90" s="85"/>
      <c r="F90" s="84"/>
      <c r="G90" s="85"/>
      <c r="H90" s="84"/>
      <c r="I90" s="85"/>
      <c r="J90" s="84"/>
      <c r="K90" s="85"/>
      <c r="L90" s="84"/>
      <c r="M90" s="85"/>
      <c r="O90" s="215"/>
      <c r="P90" s="215"/>
      <c r="Q90" s="215"/>
      <c r="R90" s="215"/>
      <c r="S90" s="215"/>
      <c r="T90" s="215"/>
      <c r="U90" s="215"/>
      <c r="V90" s="215"/>
      <c r="W90" s="80"/>
      <c r="X90" s="80"/>
      <c r="Y90" s="80"/>
      <c r="Z90" s="80"/>
      <c r="AA90" s="80"/>
      <c r="AB90" s="80"/>
      <c r="AC90" s="80"/>
      <c r="AD90" s="80"/>
      <c r="AE90" s="80"/>
      <c r="AF90" s="80"/>
    </row>
    <row r="91" spans="1:32">
      <c r="A91" s="797"/>
      <c r="B91" s="797"/>
      <c r="C91" s="117"/>
      <c r="D91" s="118"/>
      <c r="E91" s="85"/>
      <c r="F91" s="84"/>
      <c r="G91" s="85"/>
      <c r="H91" s="84"/>
      <c r="I91" s="85"/>
      <c r="J91" s="84"/>
      <c r="K91" s="85"/>
      <c r="L91" s="84"/>
      <c r="M91" s="85"/>
      <c r="O91" s="215"/>
      <c r="P91" s="215"/>
      <c r="Q91" s="215"/>
      <c r="R91" s="215"/>
      <c r="S91" s="215"/>
      <c r="T91" s="215"/>
      <c r="U91" s="215"/>
      <c r="V91" s="215"/>
      <c r="W91" s="80"/>
      <c r="X91" s="80"/>
      <c r="Y91" s="80"/>
      <c r="Z91" s="80"/>
      <c r="AA91" s="80"/>
      <c r="AB91" s="80"/>
      <c r="AC91" s="80"/>
      <c r="AD91" s="80"/>
      <c r="AE91" s="80"/>
      <c r="AF91" s="80"/>
    </row>
    <row r="92" spans="1:32">
      <c r="A92" s="797"/>
      <c r="B92" s="797"/>
      <c r="C92" s="117"/>
      <c r="D92" s="118"/>
      <c r="E92" s="85"/>
      <c r="F92" s="84"/>
      <c r="G92" s="85"/>
      <c r="H92" s="84"/>
      <c r="I92" s="85"/>
      <c r="J92" s="84"/>
      <c r="K92" s="85"/>
      <c r="L92" s="84"/>
      <c r="M92" s="85"/>
      <c r="O92" s="215"/>
      <c r="P92" s="215"/>
      <c r="Q92" s="215"/>
      <c r="R92" s="215"/>
      <c r="S92" s="215"/>
      <c r="T92" s="215"/>
      <c r="U92" s="215"/>
      <c r="V92" s="215"/>
      <c r="W92" s="80"/>
      <c r="X92" s="80"/>
      <c r="Y92" s="80"/>
      <c r="Z92" s="80"/>
      <c r="AA92" s="80"/>
      <c r="AB92" s="80"/>
      <c r="AC92" s="80"/>
      <c r="AD92" s="80"/>
      <c r="AE92" s="80"/>
      <c r="AF92" s="80"/>
    </row>
    <row r="93" spans="1:32">
      <c r="A93" s="984"/>
      <c r="B93" s="984"/>
      <c r="C93" s="984"/>
      <c r="D93" s="4"/>
      <c r="F93" s="1137" t="s">
        <v>37</v>
      </c>
      <c r="G93" s="1137"/>
      <c r="H93" s="1137"/>
      <c r="I93" s="1137"/>
      <c r="J93" s="1137"/>
      <c r="O93" s="215"/>
      <c r="P93" s="215"/>
      <c r="Q93" s="215"/>
      <c r="R93" s="215"/>
      <c r="S93" s="215"/>
      <c r="T93" s="215"/>
      <c r="U93" s="215"/>
      <c r="V93" s="215"/>
      <c r="W93" s="80"/>
      <c r="X93" s="80"/>
      <c r="Y93" s="80"/>
      <c r="Z93" s="80"/>
      <c r="AA93" s="80"/>
      <c r="AB93" s="80"/>
      <c r="AC93" s="80"/>
      <c r="AD93" s="80"/>
      <c r="AE93" s="80"/>
      <c r="AF93" s="80"/>
    </row>
    <row r="94" spans="1:32">
      <c r="A94" s="1131" t="s">
        <v>82</v>
      </c>
      <c r="B94" s="1131"/>
      <c r="C94" s="1131"/>
      <c r="D94" s="1131"/>
      <c r="E94" s="1131"/>
      <c r="F94" s="1131"/>
      <c r="G94" s="2"/>
      <c r="H94" s="2"/>
      <c r="I94" s="2"/>
      <c r="O94" s="215"/>
      <c r="P94" s="215"/>
      <c r="Q94" s="215"/>
      <c r="R94" s="215"/>
      <c r="S94" s="215"/>
      <c r="T94" s="215"/>
      <c r="U94" s="215"/>
      <c r="V94" s="215"/>
      <c r="W94" s="80"/>
      <c r="X94" s="80"/>
      <c r="Y94" s="80"/>
      <c r="Z94" s="80"/>
      <c r="AA94" s="80"/>
      <c r="AB94" s="80"/>
      <c r="AC94" s="80"/>
      <c r="AD94" s="80"/>
      <c r="AE94" s="80"/>
      <c r="AF94" s="80"/>
    </row>
    <row r="95" spans="1:32">
      <c r="A95" s="4"/>
      <c r="B95" s="4" t="s">
        <v>39</v>
      </c>
      <c r="C95" s="53" t="s">
        <v>40</v>
      </c>
      <c r="D95" s="54" t="s">
        <v>41</v>
      </c>
      <c r="E95" s="55" t="s">
        <v>42</v>
      </c>
      <c r="F95" s="4" t="s">
        <v>43</v>
      </c>
      <c r="G95" s="2"/>
      <c r="H95" s="2"/>
      <c r="I95" s="2"/>
      <c r="O95" s="215"/>
      <c r="P95" s="215"/>
      <c r="Q95" s="215"/>
      <c r="R95" s="215"/>
      <c r="S95" s="215"/>
      <c r="T95" s="215"/>
      <c r="U95" s="215"/>
      <c r="V95" s="215"/>
      <c r="W95" s="80"/>
      <c r="X95" s="80"/>
      <c r="Y95" s="80"/>
      <c r="Z95" s="80"/>
      <c r="AA95" s="80"/>
      <c r="AB95" s="80"/>
      <c r="AC95" s="80"/>
      <c r="AD95" s="80"/>
      <c r="AE95" s="80"/>
      <c r="AF95" s="80"/>
    </row>
    <row r="96" spans="1:32">
      <c r="A96" s="4" t="s">
        <v>44</v>
      </c>
      <c r="B96" s="146">
        <v>1</v>
      </c>
      <c r="C96" s="50">
        <f>B96*12</f>
        <v>12</v>
      </c>
      <c r="D96" s="51">
        <f>B96*9</f>
        <v>9</v>
      </c>
      <c r="E96" s="52">
        <f>B96*5</f>
        <v>5</v>
      </c>
      <c r="F96" s="9">
        <f t="shared" ref="F96:F103" si="0">(C96*4)+(D96*4)+(E96*9)</f>
        <v>129</v>
      </c>
      <c r="G96" s="2"/>
      <c r="H96" s="2"/>
      <c r="I96" s="2"/>
      <c r="O96" s="215"/>
      <c r="P96" s="215"/>
      <c r="Q96" s="215"/>
      <c r="R96" s="215"/>
      <c r="S96" s="215"/>
      <c r="T96" s="215"/>
      <c r="U96" s="215"/>
      <c r="V96" s="215"/>
      <c r="W96" s="80"/>
      <c r="X96" s="80"/>
      <c r="Y96" s="80"/>
      <c r="Z96" s="80"/>
      <c r="AA96" s="80"/>
      <c r="AB96" s="80"/>
      <c r="AC96" s="80"/>
      <c r="AD96" s="80"/>
      <c r="AE96" s="80"/>
      <c r="AF96" s="80"/>
    </row>
    <row r="97" spans="1:32">
      <c r="A97" s="4" t="s">
        <v>45</v>
      </c>
      <c r="B97" s="146">
        <v>2</v>
      </c>
      <c r="C97" s="6">
        <v>0</v>
      </c>
      <c r="D97" s="7">
        <f>B97*7</f>
        <v>14</v>
      </c>
      <c r="E97" s="8">
        <f>B97*4</f>
        <v>8</v>
      </c>
      <c r="F97" s="9">
        <f t="shared" si="0"/>
        <v>128</v>
      </c>
      <c r="G97" s="2"/>
      <c r="H97" s="2"/>
      <c r="I97" s="2"/>
      <c r="O97" s="215"/>
      <c r="P97" s="215"/>
      <c r="Q97" s="215"/>
      <c r="R97" s="215"/>
      <c r="S97" s="215"/>
      <c r="T97" s="215"/>
      <c r="U97" s="215"/>
      <c r="V97" s="215"/>
      <c r="W97" s="80"/>
      <c r="X97" s="80"/>
      <c r="Y97" s="80"/>
      <c r="Z97" s="80"/>
      <c r="AA97" s="80"/>
      <c r="AB97" s="80"/>
      <c r="AC97" s="80"/>
      <c r="AD97" s="80"/>
      <c r="AE97" s="80"/>
      <c r="AF97" s="80"/>
    </row>
    <row r="98" spans="1:32">
      <c r="A98" s="4" t="s">
        <v>46</v>
      </c>
      <c r="B98" s="146">
        <v>2</v>
      </c>
      <c r="C98" s="6">
        <f>B98*15</f>
        <v>30</v>
      </c>
      <c r="D98" s="7">
        <f>B98*0</f>
        <v>0</v>
      </c>
      <c r="E98" s="8">
        <f>B98*0</f>
        <v>0</v>
      </c>
      <c r="F98" s="9">
        <f t="shared" si="0"/>
        <v>120</v>
      </c>
      <c r="G98" s="2"/>
      <c r="H98" s="2"/>
      <c r="I98" s="2"/>
      <c r="O98" s="215"/>
      <c r="P98" s="215"/>
      <c r="Q98" s="215"/>
      <c r="R98" s="215"/>
      <c r="S98" s="215"/>
      <c r="T98" s="215"/>
      <c r="U98" s="215"/>
      <c r="V98" s="215"/>
      <c r="W98" s="80"/>
      <c r="X98" s="80"/>
      <c r="Y98" s="80"/>
      <c r="Z98" s="80"/>
      <c r="AA98" s="80"/>
      <c r="AB98" s="80"/>
      <c r="AC98" s="80"/>
      <c r="AD98" s="80"/>
      <c r="AE98" s="80"/>
      <c r="AF98" s="80"/>
    </row>
    <row r="99" spans="1:32">
      <c r="A99" s="4" t="s">
        <v>47</v>
      </c>
      <c r="B99" s="146">
        <v>0</v>
      </c>
      <c r="C99" s="6">
        <f>B99*4</f>
        <v>0</v>
      </c>
      <c r="D99" s="7">
        <f>B99*2</f>
        <v>0</v>
      </c>
      <c r="E99" s="8"/>
      <c r="F99" s="9">
        <f t="shared" si="0"/>
        <v>0</v>
      </c>
      <c r="G99" s="2"/>
      <c r="H99" s="2"/>
      <c r="I99" s="2"/>
      <c r="O99" s="215"/>
      <c r="P99" s="215"/>
      <c r="Q99" s="215"/>
      <c r="R99" s="215"/>
      <c r="S99" s="215"/>
      <c r="T99" s="215"/>
      <c r="U99" s="215"/>
      <c r="V99" s="215"/>
      <c r="W99" s="80"/>
      <c r="X99" s="80"/>
      <c r="Y99" s="80"/>
      <c r="Z99" s="80"/>
      <c r="AA99" s="80"/>
      <c r="AB99" s="80"/>
      <c r="AC99" s="80"/>
      <c r="AD99" s="80"/>
      <c r="AE99" s="80"/>
      <c r="AF99" s="80"/>
    </row>
    <row r="100" spans="1:32">
      <c r="A100" s="4" t="s">
        <v>48</v>
      </c>
      <c r="B100" s="146">
        <v>2</v>
      </c>
      <c r="C100" s="6">
        <f>B100*15</f>
        <v>30</v>
      </c>
      <c r="D100" s="7">
        <f>B100*2</f>
        <v>4</v>
      </c>
      <c r="E100" s="8">
        <f>B100*0</f>
        <v>0</v>
      </c>
      <c r="F100" s="9">
        <f t="shared" si="0"/>
        <v>136</v>
      </c>
      <c r="G100" s="2"/>
      <c r="H100" s="2"/>
      <c r="I100" s="2"/>
      <c r="O100" s="215"/>
      <c r="P100" s="215"/>
      <c r="Q100" s="215"/>
      <c r="R100" s="215"/>
      <c r="S100" s="215"/>
      <c r="T100" s="215"/>
      <c r="U100" s="215"/>
      <c r="V100" s="215"/>
      <c r="W100" s="80"/>
      <c r="X100" s="80"/>
      <c r="Y100" s="80"/>
      <c r="Z100" s="80"/>
      <c r="AA100" s="80"/>
      <c r="AB100" s="80"/>
      <c r="AC100" s="80"/>
      <c r="AD100" s="80"/>
      <c r="AE100" s="80"/>
      <c r="AF100" s="80"/>
    </row>
    <row r="101" spans="1:32">
      <c r="A101" s="4" t="s">
        <v>49</v>
      </c>
      <c r="B101" s="146">
        <v>0</v>
      </c>
      <c r="C101" s="6">
        <f>B101*20</f>
        <v>0</v>
      </c>
      <c r="D101" s="7">
        <f>B101*8</f>
        <v>0</v>
      </c>
      <c r="E101" s="8">
        <f>B101*1</f>
        <v>0</v>
      </c>
      <c r="F101" s="9">
        <f t="shared" si="0"/>
        <v>0</v>
      </c>
      <c r="G101" s="2"/>
      <c r="H101" s="2"/>
      <c r="I101" s="2"/>
      <c r="O101" s="215"/>
      <c r="P101" s="215"/>
      <c r="Q101" s="215"/>
      <c r="R101" s="215"/>
      <c r="S101" s="215"/>
      <c r="T101" s="215"/>
      <c r="U101" s="215"/>
      <c r="V101" s="215"/>
      <c r="W101" s="80"/>
      <c r="X101" s="80"/>
      <c r="Y101" s="80"/>
      <c r="Z101" s="80"/>
      <c r="AA101" s="80"/>
      <c r="AB101" s="80"/>
      <c r="AC101" s="80"/>
      <c r="AD101" s="80"/>
      <c r="AE101" s="80"/>
      <c r="AF101" s="80"/>
    </row>
    <row r="102" spans="1:32">
      <c r="A102" s="4" t="s">
        <v>50</v>
      </c>
      <c r="B102" s="146">
        <v>4</v>
      </c>
      <c r="C102" s="6">
        <f>B102*0</f>
        <v>0</v>
      </c>
      <c r="D102" s="7">
        <f>B102*0</f>
        <v>0</v>
      </c>
      <c r="E102" s="8">
        <f>B102*5</f>
        <v>20</v>
      </c>
      <c r="F102" s="9">
        <f t="shared" si="0"/>
        <v>180</v>
      </c>
      <c r="G102" s="2"/>
      <c r="H102" s="2"/>
      <c r="I102" s="2"/>
      <c r="O102" s="215"/>
      <c r="P102" s="215"/>
      <c r="Q102" s="215"/>
      <c r="R102" s="215"/>
      <c r="S102" s="215"/>
      <c r="T102" s="215"/>
      <c r="U102" s="215"/>
      <c r="V102" s="215"/>
      <c r="W102" s="80"/>
      <c r="X102" s="80"/>
      <c r="Y102" s="80"/>
      <c r="Z102" s="80"/>
      <c r="AA102" s="80"/>
      <c r="AB102" s="80"/>
      <c r="AC102" s="80"/>
      <c r="AD102" s="80"/>
      <c r="AE102" s="80"/>
      <c r="AF102" s="80"/>
    </row>
    <row r="103" spans="1:32">
      <c r="A103" s="4" t="s">
        <v>51</v>
      </c>
      <c r="B103" s="146">
        <v>4</v>
      </c>
      <c r="C103" s="6">
        <f>B103*10</f>
        <v>40</v>
      </c>
      <c r="D103" s="7">
        <f>B103*0</f>
        <v>0</v>
      </c>
      <c r="E103" s="10">
        <f>B103*0</f>
        <v>0</v>
      </c>
      <c r="F103" s="11">
        <f t="shared" si="0"/>
        <v>160</v>
      </c>
      <c r="O103" s="215"/>
      <c r="P103" s="215"/>
      <c r="Q103" s="215"/>
      <c r="R103" s="215"/>
      <c r="S103" s="215"/>
      <c r="T103" s="215"/>
      <c r="U103" s="215"/>
      <c r="V103" s="215"/>
      <c r="W103" s="80"/>
      <c r="X103" s="80"/>
      <c r="Y103" s="80"/>
      <c r="Z103" s="80"/>
      <c r="AA103" s="80"/>
      <c r="AB103" s="80"/>
      <c r="AC103" s="80"/>
      <c r="AD103" s="80"/>
      <c r="AE103" s="80"/>
      <c r="AF103" s="80"/>
    </row>
    <row r="104" spans="1:32">
      <c r="A104" s="4"/>
      <c r="B104" s="12"/>
      <c r="C104" s="6">
        <f>SUM(C96:C103)</f>
        <v>112</v>
      </c>
      <c r="D104" s="7">
        <f>SUM(D96:D103)</f>
        <v>27</v>
      </c>
      <c r="E104" s="10">
        <f>SUM(E96:E103)</f>
        <v>33</v>
      </c>
      <c r="F104" s="11">
        <f>SUM(F96:F103)</f>
        <v>853</v>
      </c>
      <c r="O104" s="215"/>
      <c r="P104" s="215"/>
      <c r="Q104" s="215"/>
      <c r="R104" s="215"/>
      <c r="S104" s="215"/>
      <c r="T104" s="215"/>
      <c r="U104" s="215"/>
      <c r="V104" s="215"/>
      <c r="W104" s="80"/>
      <c r="X104" s="80"/>
      <c r="Y104" s="80"/>
      <c r="Z104" s="80"/>
      <c r="AA104" s="80"/>
      <c r="AB104" s="80"/>
      <c r="AC104" s="80"/>
      <c r="AD104" s="80"/>
      <c r="AE104" s="80"/>
      <c r="AF104" s="80"/>
    </row>
    <row r="105" spans="1:32">
      <c r="B105" s="1" t="s">
        <v>52</v>
      </c>
      <c r="C105" s="1" t="s">
        <v>53</v>
      </c>
      <c r="D105" s="1" t="s">
        <v>54</v>
      </c>
      <c r="O105" s="215"/>
      <c r="P105" s="215"/>
      <c r="Q105" s="215"/>
      <c r="R105" s="215"/>
      <c r="S105" s="215"/>
      <c r="T105" s="215"/>
      <c r="U105" s="215"/>
      <c r="V105" s="215"/>
      <c r="W105" s="80"/>
      <c r="X105" s="80"/>
      <c r="Y105" s="80"/>
      <c r="Z105" s="80"/>
      <c r="AA105" s="80"/>
      <c r="AB105" s="80"/>
      <c r="AC105" s="80"/>
      <c r="AD105" s="80"/>
      <c r="AE105" s="80"/>
      <c r="AF105" s="80"/>
    </row>
    <row r="106" spans="1:32">
      <c r="A106" s="13" t="s">
        <v>55</v>
      </c>
      <c r="B106" s="14">
        <f>(D106*100)/F104</f>
        <v>52.520515826494723</v>
      </c>
      <c r="C106" s="1">
        <f>C104</f>
        <v>112</v>
      </c>
      <c r="D106" s="1130">
        <f>C106*4</f>
        <v>448</v>
      </c>
      <c r="E106" s="1130"/>
      <c r="O106" s="215"/>
      <c r="P106" s="215"/>
      <c r="Q106" s="215"/>
      <c r="R106" s="215"/>
      <c r="S106" s="215"/>
      <c r="T106" s="215"/>
      <c r="U106" s="215"/>
      <c r="V106" s="215"/>
      <c r="W106" s="80"/>
      <c r="X106" s="80"/>
      <c r="Y106" s="80"/>
      <c r="Z106" s="80"/>
      <c r="AA106" s="80"/>
      <c r="AB106" s="80"/>
      <c r="AC106" s="80"/>
      <c r="AD106" s="80"/>
      <c r="AE106" s="80"/>
      <c r="AF106" s="80"/>
    </row>
    <row r="107" spans="1:32">
      <c r="A107" s="15" t="s">
        <v>29</v>
      </c>
      <c r="B107" s="16">
        <f>(D107*100)/F104</f>
        <v>12.661195779601407</v>
      </c>
      <c r="C107" s="1">
        <f>D104</f>
        <v>27</v>
      </c>
      <c r="D107" s="1130">
        <f>C107*4</f>
        <v>108</v>
      </c>
      <c r="E107" s="1130"/>
      <c r="O107" s="215"/>
      <c r="P107" s="215"/>
      <c r="Q107" s="215"/>
      <c r="R107" s="215"/>
      <c r="S107" s="215"/>
      <c r="T107" s="215"/>
      <c r="U107" s="215"/>
      <c r="V107" s="215"/>
      <c r="W107" s="80"/>
      <c r="X107" s="80"/>
      <c r="Y107" s="80"/>
      <c r="Z107" s="80"/>
      <c r="AA107" s="80"/>
      <c r="AB107" s="80"/>
      <c r="AC107" s="80"/>
      <c r="AD107" s="80"/>
      <c r="AE107" s="80"/>
      <c r="AF107" s="80"/>
    </row>
    <row r="108" spans="1:32">
      <c r="A108" s="17" t="s">
        <v>56</v>
      </c>
      <c r="B108" s="18">
        <f>(D108*100)/F104</f>
        <v>34.81828839390387</v>
      </c>
      <c r="C108" s="1">
        <f>E104</f>
        <v>33</v>
      </c>
      <c r="D108" s="1130">
        <f>C108*9</f>
        <v>297</v>
      </c>
      <c r="E108" s="1130"/>
      <c r="O108" s="215"/>
      <c r="P108" s="215"/>
      <c r="Q108" s="215"/>
      <c r="R108" s="215"/>
      <c r="S108" s="215"/>
      <c r="T108" s="215"/>
      <c r="U108" s="215"/>
      <c r="V108" s="215"/>
      <c r="W108" s="80"/>
      <c r="X108" s="80"/>
      <c r="Y108" s="80"/>
      <c r="Z108" s="80"/>
      <c r="AA108" s="80"/>
      <c r="AB108" s="80"/>
      <c r="AC108" s="80"/>
      <c r="AD108" s="80"/>
      <c r="AE108" s="80"/>
      <c r="AF108" s="80"/>
    </row>
    <row r="109" spans="1:32">
      <c r="A109" s="1131" t="s">
        <v>84</v>
      </c>
      <c r="B109" s="1131"/>
      <c r="C109" s="1131"/>
      <c r="D109" s="1131"/>
      <c r="E109" s="1131"/>
      <c r="F109" s="1131"/>
      <c r="O109" s="215"/>
      <c r="P109" s="215"/>
      <c r="Q109" s="215"/>
      <c r="R109" s="215"/>
      <c r="S109" s="215"/>
      <c r="T109" s="215"/>
      <c r="U109" s="215"/>
      <c r="V109" s="215"/>
      <c r="W109" s="80"/>
      <c r="X109" s="80"/>
      <c r="Y109" s="80"/>
      <c r="Z109" s="80"/>
      <c r="AA109" s="80"/>
      <c r="AB109" s="80"/>
      <c r="AC109" s="80"/>
      <c r="AD109" s="80"/>
      <c r="AE109" s="80"/>
      <c r="AF109" s="80"/>
    </row>
    <row r="110" spans="1:32">
      <c r="A110" s="4"/>
      <c r="B110" s="4" t="s">
        <v>39</v>
      </c>
      <c r="C110" s="53" t="s">
        <v>40</v>
      </c>
      <c r="D110" s="54" t="s">
        <v>41</v>
      </c>
      <c r="E110" s="55" t="s">
        <v>42</v>
      </c>
      <c r="F110" s="4" t="s">
        <v>43</v>
      </c>
      <c r="O110" s="215"/>
      <c r="P110" s="215"/>
      <c r="Q110" s="215"/>
      <c r="R110" s="215"/>
      <c r="S110" s="215"/>
      <c r="T110" s="215"/>
      <c r="U110" s="215"/>
      <c r="V110" s="215"/>
      <c r="W110" s="80"/>
      <c r="X110" s="80"/>
      <c r="Y110" s="80"/>
      <c r="Z110" s="80"/>
      <c r="AA110" s="80"/>
      <c r="AB110" s="80"/>
      <c r="AC110" s="80"/>
      <c r="AD110" s="80"/>
      <c r="AE110" s="80"/>
      <c r="AF110" s="80"/>
    </row>
    <row r="111" spans="1:32">
      <c r="A111" s="4" t="s">
        <v>44</v>
      </c>
      <c r="B111" s="146">
        <v>0</v>
      </c>
      <c r="C111" s="50">
        <f>B111*12</f>
        <v>0</v>
      </c>
      <c r="D111" s="51">
        <f>B111*9</f>
        <v>0</v>
      </c>
      <c r="E111" s="52">
        <f>B111*5</f>
        <v>0</v>
      </c>
      <c r="F111" s="9">
        <f t="shared" ref="F111:F118" si="1">(C111*4)+(D111*4)+(E111*9)</f>
        <v>0</v>
      </c>
      <c r="O111" s="215"/>
      <c r="P111" s="215"/>
      <c r="Q111" s="215"/>
      <c r="R111" s="215"/>
      <c r="S111" s="215"/>
      <c r="T111" s="215"/>
      <c r="U111" s="215"/>
      <c r="V111" s="215"/>
      <c r="W111" s="80"/>
      <c r="X111" s="80"/>
      <c r="Y111" s="80"/>
      <c r="Z111" s="80"/>
      <c r="AA111" s="80"/>
      <c r="AB111" s="80"/>
      <c r="AC111" s="80"/>
      <c r="AD111" s="80"/>
      <c r="AE111" s="80"/>
      <c r="AF111" s="80"/>
    </row>
    <row r="112" spans="1:32">
      <c r="A112" s="4" t="s">
        <v>45</v>
      </c>
      <c r="B112" s="146">
        <v>1</v>
      </c>
      <c r="C112" s="6">
        <v>0</v>
      </c>
      <c r="D112" s="7">
        <f>B112*7</f>
        <v>7</v>
      </c>
      <c r="E112" s="8">
        <f>B112*4</f>
        <v>4</v>
      </c>
      <c r="F112" s="9">
        <f t="shared" si="1"/>
        <v>64</v>
      </c>
      <c r="O112" s="215"/>
      <c r="P112" s="215"/>
      <c r="Q112" s="215"/>
      <c r="R112" s="215"/>
      <c r="S112" s="215"/>
      <c r="T112" s="215"/>
      <c r="U112" s="215"/>
      <c r="V112" s="215"/>
      <c r="W112" s="80"/>
      <c r="X112" s="80"/>
      <c r="Y112" s="80"/>
      <c r="Z112" s="80"/>
      <c r="AA112" s="80"/>
      <c r="AB112" s="80"/>
      <c r="AC112" s="80"/>
      <c r="AD112" s="80"/>
      <c r="AE112" s="80"/>
      <c r="AF112" s="80"/>
    </row>
    <row r="113" spans="1:32">
      <c r="A113" s="4" t="s">
        <v>46</v>
      </c>
      <c r="B113" s="146">
        <v>2</v>
      </c>
      <c r="C113" s="6">
        <f>B113*15</f>
        <v>30</v>
      </c>
      <c r="D113" s="7">
        <f>B113*0</f>
        <v>0</v>
      </c>
      <c r="E113" s="8">
        <f>B113*0</f>
        <v>0</v>
      </c>
      <c r="F113" s="9">
        <f t="shared" si="1"/>
        <v>120</v>
      </c>
      <c r="O113" s="215"/>
      <c r="P113" s="215"/>
      <c r="Q113" s="215"/>
      <c r="R113" s="215"/>
      <c r="S113" s="215"/>
      <c r="T113" s="215"/>
      <c r="U113" s="215"/>
      <c r="V113" s="215"/>
      <c r="W113" s="80"/>
      <c r="X113" s="80"/>
      <c r="Y113" s="80"/>
      <c r="Z113" s="80"/>
      <c r="AA113" s="80"/>
      <c r="AB113" s="80"/>
      <c r="AC113" s="80"/>
      <c r="AD113" s="80"/>
      <c r="AE113" s="80"/>
      <c r="AF113" s="80"/>
    </row>
    <row r="114" spans="1:32">
      <c r="A114" s="4" t="s">
        <v>47</v>
      </c>
      <c r="B114" s="146">
        <v>0</v>
      </c>
      <c r="C114" s="6">
        <f>B114*4</f>
        <v>0</v>
      </c>
      <c r="D114" s="7">
        <f>B114*2</f>
        <v>0</v>
      </c>
      <c r="E114" s="8"/>
      <c r="F114" s="9">
        <f t="shared" si="1"/>
        <v>0</v>
      </c>
      <c r="O114" s="215"/>
      <c r="P114" s="215"/>
      <c r="Q114" s="215"/>
      <c r="R114" s="215"/>
      <c r="S114" s="215"/>
      <c r="T114" s="215"/>
      <c r="U114" s="215"/>
      <c r="V114" s="215"/>
      <c r="W114" s="80"/>
      <c r="X114" s="80"/>
      <c r="Y114" s="80"/>
      <c r="Z114" s="80"/>
      <c r="AA114" s="80"/>
      <c r="AB114" s="80"/>
      <c r="AC114" s="80"/>
      <c r="AD114" s="80"/>
      <c r="AE114" s="80"/>
      <c r="AF114" s="80"/>
    </row>
    <row r="115" spans="1:32">
      <c r="A115" s="4" t="s">
        <v>48</v>
      </c>
      <c r="B115" s="146">
        <v>7</v>
      </c>
      <c r="C115" s="6">
        <f>B115*15</f>
        <v>105</v>
      </c>
      <c r="D115" s="7">
        <f>B115*2</f>
        <v>14</v>
      </c>
      <c r="E115" s="8">
        <f>B115*0</f>
        <v>0</v>
      </c>
      <c r="F115" s="9">
        <f t="shared" si="1"/>
        <v>476</v>
      </c>
      <c r="O115" s="215"/>
      <c r="P115" s="215"/>
      <c r="Q115" s="215"/>
      <c r="R115" s="215"/>
      <c r="S115" s="215"/>
      <c r="T115" s="215"/>
      <c r="U115" s="215"/>
      <c r="V115" s="215"/>
      <c r="W115" s="80"/>
      <c r="X115" s="80"/>
      <c r="Y115" s="80"/>
      <c r="Z115" s="80"/>
      <c r="AA115" s="80"/>
      <c r="AB115" s="80"/>
      <c r="AC115" s="80"/>
      <c r="AD115" s="80"/>
      <c r="AE115" s="80"/>
      <c r="AF115" s="80"/>
    </row>
    <row r="116" spans="1:32">
      <c r="A116" s="4" t="s">
        <v>49</v>
      </c>
      <c r="B116" s="146">
        <v>1</v>
      </c>
      <c r="C116" s="6">
        <f>B116*20</f>
        <v>20</v>
      </c>
      <c r="D116" s="7">
        <f>B116*8</f>
        <v>8</v>
      </c>
      <c r="E116" s="8">
        <f>B116*1</f>
        <v>1</v>
      </c>
      <c r="F116" s="9">
        <f t="shared" si="1"/>
        <v>121</v>
      </c>
      <c r="O116" s="215"/>
      <c r="P116" s="215"/>
      <c r="Q116" s="215"/>
      <c r="R116" s="215"/>
      <c r="S116" s="215"/>
      <c r="T116" s="215"/>
      <c r="U116" s="215"/>
      <c r="V116" s="215"/>
      <c r="W116" s="80"/>
      <c r="X116" s="80"/>
      <c r="Y116" s="80"/>
      <c r="Z116" s="80"/>
      <c r="AA116" s="80"/>
      <c r="AB116" s="80"/>
      <c r="AC116" s="80"/>
      <c r="AD116" s="80"/>
      <c r="AE116" s="80"/>
      <c r="AF116" s="80"/>
    </row>
    <row r="117" spans="1:32">
      <c r="A117" s="4" t="s">
        <v>50</v>
      </c>
      <c r="B117" s="146">
        <v>1</v>
      </c>
      <c r="C117" s="6">
        <f>B117*0</f>
        <v>0</v>
      </c>
      <c r="D117" s="7">
        <f>B117*0</f>
        <v>0</v>
      </c>
      <c r="E117" s="8">
        <f>B117*5</f>
        <v>5</v>
      </c>
      <c r="F117" s="9">
        <f t="shared" si="1"/>
        <v>45</v>
      </c>
      <c r="O117" s="215"/>
      <c r="P117" s="215"/>
      <c r="Q117" s="215"/>
      <c r="R117" s="215"/>
      <c r="S117" s="215"/>
      <c r="T117" s="215"/>
      <c r="U117" s="215"/>
      <c r="V117" s="215"/>
      <c r="W117" s="80"/>
      <c r="X117" s="80"/>
      <c r="Y117" s="80"/>
      <c r="Z117" s="80"/>
      <c r="AA117" s="80"/>
      <c r="AB117" s="80"/>
      <c r="AC117" s="80"/>
      <c r="AD117" s="80"/>
      <c r="AE117" s="80"/>
      <c r="AF117" s="80"/>
    </row>
    <row r="118" spans="1:32">
      <c r="A118" s="4" t="s">
        <v>51</v>
      </c>
      <c r="B118" s="146">
        <v>4</v>
      </c>
      <c r="C118" s="6">
        <f>B118*10</f>
        <v>40</v>
      </c>
      <c r="D118" s="7">
        <f>B118*0</f>
        <v>0</v>
      </c>
      <c r="E118" s="10">
        <f>B118*0</f>
        <v>0</v>
      </c>
      <c r="F118" s="11">
        <f t="shared" si="1"/>
        <v>160</v>
      </c>
      <c r="O118" s="215"/>
      <c r="P118" s="215"/>
      <c r="Q118" s="215"/>
      <c r="R118" s="215"/>
      <c r="S118" s="215"/>
      <c r="T118" s="215"/>
      <c r="U118" s="215"/>
      <c r="V118" s="215"/>
      <c r="W118" s="80"/>
      <c r="X118" s="80"/>
      <c r="Y118" s="80"/>
      <c r="Z118" s="80"/>
      <c r="AA118" s="80"/>
      <c r="AB118" s="80"/>
      <c r="AC118" s="80"/>
      <c r="AD118" s="80"/>
      <c r="AE118" s="80"/>
      <c r="AF118" s="80"/>
    </row>
    <row r="119" spans="1:32">
      <c r="A119" s="4"/>
      <c r="B119" s="12"/>
      <c r="C119" s="6">
        <f>SUM(C111:C118)</f>
        <v>195</v>
      </c>
      <c r="D119" s="7">
        <f>SUM(D111:D118)</f>
        <v>29</v>
      </c>
      <c r="E119" s="10">
        <f>SUM(E111:E118)</f>
        <v>10</v>
      </c>
      <c r="F119" s="11">
        <f>SUM(F111:F118)</f>
        <v>986</v>
      </c>
      <c r="O119" s="215"/>
      <c r="P119" s="215"/>
      <c r="Q119" s="215"/>
      <c r="R119" s="215"/>
      <c r="S119" s="215"/>
      <c r="T119" s="215"/>
      <c r="U119" s="215"/>
      <c r="V119" s="215"/>
      <c r="W119" s="80"/>
      <c r="X119" s="80"/>
      <c r="Y119" s="80"/>
      <c r="Z119" s="80"/>
      <c r="AA119" s="80"/>
      <c r="AB119" s="80"/>
      <c r="AC119" s="80"/>
      <c r="AD119" s="80"/>
      <c r="AE119" s="80"/>
      <c r="AF119" s="80"/>
    </row>
    <row r="120" spans="1:32">
      <c r="B120" s="1" t="s">
        <v>52</v>
      </c>
      <c r="C120" s="1" t="s">
        <v>53</v>
      </c>
      <c r="D120" s="1" t="s">
        <v>54</v>
      </c>
      <c r="O120" s="215"/>
      <c r="P120" s="215"/>
      <c r="Q120" s="215"/>
      <c r="R120" s="215"/>
      <c r="S120" s="215"/>
      <c r="T120" s="215"/>
      <c r="U120" s="215"/>
      <c r="V120" s="215"/>
      <c r="W120" s="80"/>
      <c r="X120" s="80"/>
      <c r="Y120" s="80"/>
      <c r="Z120" s="80"/>
      <c r="AA120" s="80"/>
      <c r="AB120" s="80"/>
      <c r="AC120" s="80"/>
      <c r="AD120" s="80"/>
      <c r="AE120" s="80"/>
      <c r="AF120" s="80"/>
    </row>
    <row r="121" spans="1:32">
      <c r="A121" s="13" t="s">
        <v>55</v>
      </c>
      <c r="B121" s="14">
        <f>(D121*100)/F119</f>
        <v>79.107505070993909</v>
      </c>
      <c r="C121" s="1">
        <f>C119</f>
        <v>195</v>
      </c>
      <c r="D121" s="1130">
        <f>C121*4</f>
        <v>780</v>
      </c>
      <c r="E121" s="1130"/>
      <c r="O121" s="215"/>
      <c r="P121" s="215"/>
      <c r="Q121" s="215"/>
      <c r="R121" s="215"/>
      <c r="S121" s="215"/>
      <c r="T121" s="215"/>
      <c r="U121" s="215"/>
      <c r="V121" s="215"/>
      <c r="W121" s="80"/>
      <c r="X121" s="80"/>
      <c r="Y121" s="80"/>
      <c r="Z121" s="80"/>
      <c r="AA121" s="80"/>
      <c r="AB121" s="80"/>
      <c r="AC121" s="80"/>
      <c r="AD121" s="80"/>
      <c r="AE121" s="80"/>
      <c r="AF121" s="80"/>
    </row>
    <row r="122" spans="1:32">
      <c r="A122" s="15" t="s">
        <v>29</v>
      </c>
      <c r="B122" s="16">
        <f>(D122*100)/F119</f>
        <v>11.764705882352942</v>
      </c>
      <c r="C122" s="1">
        <f>D119</f>
        <v>29</v>
      </c>
      <c r="D122" s="1130">
        <f>C122*4</f>
        <v>116</v>
      </c>
      <c r="E122" s="1130"/>
      <c r="O122" s="215"/>
      <c r="P122" s="215"/>
      <c r="Q122" s="215"/>
      <c r="R122" s="215"/>
      <c r="S122" s="215"/>
      <c r="T122" s="215"/>
      <c r="U122" s="215"/>
      <c r="V122" s="215"/>
      <c r="W122" s="80"/>
      <c r="X122" s="80"/>
      <c r="Y122" s="80"/>
      <c r="Z122" s="80"/>
      <c r="AA122" s="80"/>
      <c r="AB122" s="80"/>
      <c r="AC122" s="80"/>
      <c r="AD122" s="80"/>
      <c r="AE122" s="80"/>
      <c r="AF122" s="80"/>
    </row>
    <row r="123" spans="1:32">
      <c r="A123" s="17" t="s">
        <v>56</v>
      </c>
      <c r="B123" s="18">
        <f>(D123*100)/F119</f>
        <v>9.1277890466531435</v>
      </c>
      <c r="C123" s="1">
        <f>E119</f>
        <v>10</v>
      </c>
      <c r="D123" s="1130">
        <f>C123*9</f>
        <v>90</v>
      </c>
      <c r="E123" s="1130"/>
      <c r="O123" s="215"/>
      <c r="P123" s="215"/>
      <c r="Q123" s="215"/>
      <c r="R123" s="215"/>
      <c r="S123" s="215"/>
      <c r="T123" s="215"/>
      <c r="U123" s="215"/>
      <c r="V123" s="215"/>
      <c r="W123" s="80"/>
      <c r="X123" s="80"/>
      <c r="Y123" s="80"/>
      <c r="Z123" s="80"/>
      <c r="AA123" s="80"/>
      <c r="AB123" s="80"/>
      <c r="AC123" s="80"/>
      <c r="AD123" s="80"/>
      <c r="AE123" s="80"/>
      <c r="AF123" s="80"/>
    </row>
    <row r="124" spans="1:32">
      <c r="A124" s="1131" t="s">
        <v>86</v>
      </c>
      <c r="B124" s="1131"/>
      <c r="C124" s="1131"/>
      <c r="D124" s="1131"/>
      <c r="E124" s="1131"/>
      <c r="F124" s="1131"/>
      <c r="O124" s="215"/>
      <c r="P124" s="215"/>
      <c r="Q124" s="215"/>
      <c r="R124" s="215"/>
      <c r="S124" s="215"/>
      <c r="T124" s="215"/>
      <c r="U124" s="215"/>
      <c r="V124" s="215"/>
      <c r="W124" s="80"/>
      <c r="X124" s="80"/>
      <c r="Y124" s="80"/>
      <c r="Z124" s="80"/>
      <c r="AA124" s="80"/>
      <c r="AB124" s="80"/>
      <c r="AC124" s="80"/>
      <c r="AD124" s="80"/>
      <c r="AE124" s="80"/>
      <c r="AF124" s="80"/>
    </row>
    <row r="125" spans="1:32">
      <c r="A125" s="4"/>
      <c r="B125" s="4" t="s">
        <v>39</v>
      </c>
      <c r="C125" s="53" t="s">
        <v>40</v>
      </c>
      <c r="D125" s="54" t="s">
        <v>41</v>
      </c>
      <c r="E125" s="55" t="s">
        <v>42</v>
      </c>
      <c r="F125" s="4" t="s">
        <v>43</v>
      </c>
      <c r="O125" s="215"/>
      <c r="P125" s="215"/>
      <c r="Q125" s="215"/>
      <c r="R125" s="215"/>
      <c r="S125" s="215"/>
      <c r="T125" s="215"/>
      <c r="U125" s="215"/>
      <c r="V125" s="215"/>
      <c r="W125" s="80"/>
      <c r="X125" s="80"/>
      <c r="Y125" s="80"/>
      <c r="Z125" s="80"/>
      <c r="AA125" s="80"/>
      <c r="AB125" s="80"/>
      <c r="AC125" s="80"/>
      <c r="AD125" s="80"/>
      <c r="AE125" s="80"/>
      <c r="AF125" s="80"/>
    </row>
    <row r="126" spans="1:32">
      <c r="A126" s="4" t="s">
        <v>44</v>
      </c>
      <c r="B126" s="146">
        <v>1</v>
      </c>
      <c r="C126" s="50">
        <f>B126*12</f>
        <v>12</v>
      </c>
      <c r="D126" s="51">
        <f>B126*9</f>
        <v>9</v>
      </c>
      <c r="E126" s="52">
        <f>B126*5</f>
        <v>5</v>
      </c>
      <c r="F126" s="9">
        <f t="shared" ref="F126:F133" si="2">(C126*4)+(D126*4)+(E126*9)</f>
        <v>129</v>
      </c>
      <c r="O126" s="215"/>
      <c r="P126" s="215"/>
      <c r="Q126" s="215"/>
      <c r="R126" s="215"/>
      <c r="S126" s="215"/>
      <c r="T126" s="215"/>
      <c r="U126" s="215"/>
      <c r="V126" s="215"/>
      <c r="W126" s="80"/>
      <c r="X126" s="80"/>
      <c r="Y126" s="80"/>
      <c r="Z126" s="80"/>
      <c r="AA126" s="80"/>
      <c r="AB126" s="80"/>
      <c r="AC126" s="80"/>
      <c r="AD126" s="80"/>
      <c r="AE126" s="80"/>
      <c r="AF126" s="80"/>
    </row>
    <row r="127" spans="1:32">
      <c r="A127" s="4" t="s">
        <v>45</v>
      </c>
      <c r="B127" s="146">
        <v>3</v>
      </c>
      <c r="C127" s="6">
        <v>0</v>
      </c>
      <c r="D127" s="7">
        <f>B127*7</f>
        <v>21</v>
      </c>
      <c r="E127" s="8">
        <f>B127*4</f>
        <v>12</v>
      </c>
      <c r="F127" s="9">
        <f t="shared" si="2"/>
        <v>192</v>
      </c>
      <c r="O127" s="215"/>
      <c r="P127" s="215"/>
      <c r="Q127" s="215"/>
      <c r="R127" s="215"/>
      <c r="S127" s="215"/>
      <c r="T127" s="215"/>
      <c r="U127" s="215"/>
      <c r="V127" s="215"/>
      <c r="W127" s="80"/>
      <c r="X127" s="80"/>
      <c r="Y127" s="80"/>
      <c r="Z127" s="80"/>
      <c r="AA127" s="80"/>
      <c r="AB127" s="80"/>
      <c r="AC127" s="80"/>
      <c r="AD127" s="80"/>
      <c r="AE127" s="80"/>
      <c r="AF127" s="80"/>
    </row>
    <row r="128" spans="1:32">
      <c r="A128" s="4" t="s">
        <v>46</v>
      </c>
      <c r="B128" s="146">
        <v>0</v>
      </c>
      <c r="C128" s="6">
        <f>B128*15</f>
        <v>0</v>
      </c>
      <c r="D128" s="7">
        <f>B128*0</f>
        <v>0</v>
      </c>
      <c r="E128" s="8">
        <f>B128*0</f>
        <v>0</v>
      </c>
      <c r="F128" s="9">
        <f t="shared" si="2"/>
        <v>0</v>
      </c>
      <c r="O128" s="215"/>
      <c r="P128" s="215"/>
      <c r="Q128" s="215"/>
      <c r="R128" s="215"/>
      <c r="S128" s="215" t="s">
        <v>305</v>
      </c>
      <c r="T128" s="215"/>
      <c r="U128" s="215"/>
      <c r="V128" s="215"/>
      <c r="W128" s="80"/>
      <c r="X128" s="80"/>
      <c r="Y128" s="80"/>
      <c r="Z128" s="80"/>
      <c r="AA128" s="80"/>
      <c r="AB128" s="80"/>
      <c r="AC128" s="80"/>
      <c r="AD128" s="80"/>
      <c r="AE128" s="80"/>
      <c r="AF128" s="80"/>
    </row>
    <row r="129" spans="1:32">
      <c r="A129" s="4" t="s">
        <v>47</v>
      </c>
      <c r="B129" s="146">
        <v>0</v>
      </c>
      <c r="C129" s="6">
        <f>B129*4</f>
        <v>0</v>
      </c>
      <c r="D129" s="7">
        <f>B129*2</f>
        <v>0</v>
      </c>
      <c r="E129" s="8"/>
      <c r="F129" s="9">
        <f t="shared" si="2"/>
        <v>0</v>
      </c>
      <c r="O129" s="215"/>
      <c r="P129" s="215"/>
      <c r="Q129" s="215"/>
      <c r="R129" s="215"/>
      <c r="S129" s="215" t="s">
        <v>306</v>
      </c>
      <c r="T129" s="215"/>
      <c r="U129" s="215">
        <v>1.2</v>
      </c>
      <c r="V129" s="215"/>
      <c r="W129" s="80"/>
      <c r="X129" s="80"/>
      <c r="Y129" s="80"/>
      <c r="Z129" s="80"/>
      <c r="AA129" s="80"/>
      <c r="AB129" s="80"/>
      <c r="AC129" s="80"/>
      <c r="AD129" s="80"/>
      <c r="AE129" s="80"/>
      <c r="AF129" s="80"/>
    </row>
    <row r="130" spans="1:32">
      <c r="A130" s="4" t="s">
        <v>48</v>
      </c>
      <c r="B130" s="146">
        <v>5</v>
      </c>
      <c r="C130" s="6">
        <f>B130*15</f>
        <v>75</v>
      </c>
      <c r="D130" s="7">
        <f>B130*2</f>
        <v>10</v>
      </c>
      <c r="E130" s="8">
        <f>B130*0</f>
        <v>0</v>
      </c>
      <c r="F130" s="9">
        <f t="shared" si="2"/>
        <v>340</v>
      </c>
      <c r="O130" s="215"/>
      <c r="P130" s="215"/>
      <c r="Q130" s="215"/>
      <c r="R130" s="215"/>
      <c r="S130" s="215" t="s">
        <v>307</v>
      </c>
      <c r="T130" s="215"/>
      <c r="U130" s="215">
        <v>1.3</v>
      </c>
      <c r="V130" s="215"/>
      <c r="W130" s="80"/>
      <c r="X130" s="80"/>
      <c r="Y130" s="80"/>
      <c r="Z130" s="80"/>
      <c r="AA130" s="80"/>
      <c r="AB130" s="80"/>
      <c r="AC130" s="80"/>
      <c r="AD130" s="80"/>
      <c r="AE130" s="80"/>
      <c r="AF130" s="80"/>
    </row>
    <row r="131" spans="1:32">
      <c r="A131" s="4" t="s">
        <v>49</v>
      </c>
      <c r="B131" s="146">
        <v>0</v>
      </c>
      <c r="C131" s="6">
        <f>B131*20</f>
        <v>0</v>
      </c>
      <c r="D131" s="7">
        <f>B131*8</f>
        <v>0</v>
      </c>
      <c r="E131" s="8">
        <f>B131*1</f>
        <v>0</v>
      </c>
      <c r="F131" s="9">
        <f t="shared" si="2"/>
        <v>0</v>
      </c>
      <c r="O131" s="215"/>
      <c r="P131" s="215"/>
      <c r="Q131" s="215"/>
      <c r="R131" s="215"/>
      <c r="S131" s="215" t="s">
        <v>308</v>
      </c>
      <c r="T131" s="215"/>
      <c r="U131" s="215"/>
      <c r="V131" s="215"/>
      <c r="W131" s="80"/>
      <c r="X131" s="80"/>
      <c r="Y131" s="80"/>
      <c r="Z131" s="80"/>
      <c r="AA131" s="80"/>
      <c r="AB131" s="80"/>
      <c r="AC131" s="80"/>
      <c r="AD131" s="80"/>
      <c r="AE131" s="80"/>
      <c r="AF131" s="80"/>
    </row>
    <row r="132" spans="1:32">
      <c r="A132" s="4" t="s">
        <v>50</v>
      </c>
      <c r="B132" s="146">
        <v>4</v>
      </c>
      <c r="C132" s="6">
        <f>B132*0</f>
        <v>0</v>
      </c>
      <c r="D132" s="7">
        <f>B132*0</f>
        <v>0</v>
      </c>
      <c r="E132" s="8">
        <f>B132*5</f>
        <v>20</v>
      </c>
      <c r="F132" s="9">
        <f t="shared" si="2"/>
        <v>180</v>
      </c>
      <c r="O132" s="215"/>
      <c r="P132" s="215"/>
      <c r="Q132" s="215"/>
      <c r="R132" s="215"/>
      <c r="S132" s="215" t="s">
        <v>309</v>
      </c>
      <c r="T132" s="215"/>
      <c r="U132" s="215"/>
      <c r="V132" s="215"/>
      <c r="W132" s="80"/>
      <c r="X132" s="80"/>
      <c r="Y132" s="80"/>
      <c r="Z132" s="80"/>
      <c r="AA132" s="80"/>
      <c r="AB132" s="80"/>
      <c r="AC132" s="80"/>
      <c r="AD132" s="80"/>
      <c r="AE132" s="80"/>
      <c r="AF132" s="80"/>
    </row>
    <row r="133" spans="1:32">
      <c r="A133" s="4" t="s">
        <v>51</v>
      </c>
      <c r="B133" s="146">
        <v>6</v>
      </c>
      <c r="C133" s="6">
        <f>B133*10</f>
        <v>60</v>
      </c>
      <c r="D133" s="7">
        <f>B133*0</f>
        <v>0</v>
      </c>
      <c r="E133" s="10">
        <f>B133*0</f>
        <v>0</v>
      </c>
      <c r="F133" s="11">
        <f t="shared" si="2"/>
        <v>240</v>
      </c>
      <c r="O133" s="215"/>
      <c r="P133" s="215"/>
      <c r="Q133" s="215"/>
      <c r="R133" s="215"/>
      <c r="S133" s="215" t="s">
        <v>310</v>
      </c>
      <c r="T133" s="215"/>
      <c r="U133" s="215"/>
      <c r="V133" s="215"/>
      <c r="W133" s="80"/>
      <c r="X133" s="80"/>
      <c r="Y133" s="80"/>
      <c r="Z133" s="80"/>
      <c r="AA133" s="80"/>
      <c r="AB133" s="80"/>
      <c r="AC133" s="80"/>
      <c r="AD133" s="80"/>
      <c r="AE133" s="80"/>
      <c r="AF133" s="80"/>
    </row>
    <row r="134" spans="1:32">
      <c r="A134" s="4"/>
      <c r="B134" s="12"/>
      <c r="C134" s="6">
        <f>SUM(C126:C133)</f>
        <v>147</v>
      </c>
      <c r="D134" s="7">
        <f>SUM(D126:D133)</f>
        <v>40</v>
      </c>
      <c r="E134" s="10">
        <f>SUM(E126:E133)</f>
        <v>37</v>
      </c>
      <c r="F134" s="11">
        <f>SUM(F126:F133)</f>
        <v>1081</v>
      </c>
      <c r="O134" s="215"/>
      <c r="P134" s="215"/>
      <c r="Q134" s="215"/>
      <c r="R134" s="215"/>
      <c r="S134" s="215" t="s">
        <v>311</v>
      </c>
      <c r="T134" s="215"/>
      <c r="U134" s="215">
        <v>1.4</v>
      </c>
      <c r="V134" s="215"/>
      <c r="W134" s="80"/>
      <c r="X134" s="80"/>
      <c r="Y134" s="80"/>
      <c r="Z134" s="80"/>
      <c r="AA134" s="80"/>
      <c r="AB134" s="80"/>
      <c r="AC134" s="80"/>
      <c r="AD134" s="80"/>
      <c r="AE134" s="80"/>
      <c r="AF134" s="80"/>
    </row>
    <row r="135" spans="1:32">
      <c r="B135" s="1" t="s">
        <v>52</v>
      </c>
      <c r="C135" s="1" t="s">
        <v>53</v>
      </c>
      <c r="D135" s="1" t="s">
        <v>54</v>
      </c>
      <c r="O135" s="215"/>
      <c r="P135" s="215"/>
      <c r="Q135" s="215"/>
      <c r="R135" s="215"/>
      <c r="S135" s="215" t="s">
        <v>312</v>
      </c>
      <c r="T135" s="215"/>
      <c r="U135" s="215"/>
      <c r="V135" s="215"/>
      <c r="W135" s="80"/>
      <c r="X135" s="80"/>
      <c r="Y135" s="80"/>
      <c r="Z135" s="80"/>
      <c r="AA135" s="80"/>
      <c r="AB135" s="80"/>
      <c r="AC135" s="80"/>
      <c r="AD135" s="80"/>
      <c r="AE135" s="80"/>
      <c r="AF135" s="80"/>
    </row>
    <row r="136" spans="1:32">
      <c r="A136" s="13" t="s">
        <v>55</v>
      </c>
      <c r="B136" s="14">
        <f>(D136*100)/F134</f>
        <v>54.394079555966698</v>
      </c>
      <c r="C136" s="1">
        <f>C134</f>
        <v>147</v>
      </c>
      <c r="D136" s="1130">
        <f>C136*4</f>
        <v>588</v>
      </c>
      <c r="E136" s="1130"/>
      <c r="O136" s="215"/>
      <c r="P136" s="215"/>
      <c r="Q136" s="215"/>
      <c r="R136" s="215"/>
      <c r="S136" s="215" t="s">
        <v>313</v>
      </c>
      <c r="T136" s="215"/>
      <c r="U136" s="215">
        <v>1.1000000000000001</v>
      </c>
      <c r="V136" s="215"/>
      <c r="W136" s="80"/>
      <c r="X136" s="80"/>
      <c r="Y136" s="80"/>
      <c r="Z136" s="80"/>
      <c r="AA136" s="80"/>
      <c r="AB136" s="80"/>
      <c r="AC136" s="80"/>
      <c r="AD136" s="80"/>
      <c r="AE136" s="80"/>
      <c r="AF136" s="80"/>
    </row>
    <row r="137" spans="1:32">
      <c r="A137" s="15" t="s">
        <v>29</v>
      </c>
      <c r="B137" s="16">
        <f>(D137*100)/F134</f>
        <v>14.801110083256244</v>
      </c>
      <c r="C137" s="1">
        <f>D134</f>
        <v>40</v>
      </c>
      <c r="D137" s="1130">
        <f>C137*4</f>
        <v>160</v>
      </c>
      <c r="E137" s="1130"/>
      <c r="O137" s="215"/>
      <c r="P137" s="215"/>
      <c r="Q137" s="215"/>
      <c r="R137" s="215"/>
      <c r="S137" s="215" t="s">
        <v>314</v>
      </c>
      <c r="T137" s="215"/>
      <c r="U137" s="215">
        <v>1.2</v>
      </c>
      <c r="V137" s="215"/>
      <c r="W137" s="80"/>
      <c r="X137" s="80"/>
      <c r="Y137" s="80"/>
      <c r="Z137" s="80"/>
      <c r="AA137" s="80"/>
      <c r="AB137" s="80"/>
      <c r="AC137" s="80"/>
      <c r="AD137" s="80"/>
      <c r="AE137" s="80"/>
      <c r="AF137" s="80"/>
    </row>
    <row r="138" spans="1:32">
      <c r="A138" s="17" t="s">
        <v>56</v>
      </c>
      <c r="B138" s="18">
        <f>(D138*100)/F134</f>
        <v>30.804810360777058</v>
      </c>
      <c r="C138" s="1">
        <f>E134</f>
        <v>37</v>
      </c>
      <c r="D138" s="1130">
        <f>C138*9</f>
        <v>333</v>
      </c>
      <c r="E138" s="1130"/>
      <c r="O138" s="215"/>
      <c r="P138" s="215"/>
      <c r="Q138" s="215"/>
      <c r="R138" s="215"/>
      <c r="S138" s="215" t="s">
        <v>315</v>
      </c>
      <c r="T138" s="215"/>
      <c r="U138" s="215"/>
      <c r="V138" s="215"/>
      <c r="W138" s="80"/>
      <c r="X138" s="80"/>
      <c r="Y138" s="80"/>
      <c r="Z138" s="80"/>
      <c r="AA138" s="80"/>
      <c r="AB138" s="80"/>
      <c r="AC138" s="80"/>
      <c r="AD138" s="80"/>
      <c r="AE138" s="80"/>
      <c r="AF138" s="80"/>
    </row>
    <row r="139" spans="1:32">
      <c r="O139" s="215"/>
      <c r="P139" s="215"/>
      <c r="Q139" s="215"/>
      <c r="R139" s="215"/>
      <c r="S139" s="215"/>
      <c r="T139" s="215"/>
      <c r="U139" s="215"/>
      <c r="V139" s="215"/>
      <c r="W139" s="80"/>
      <c r="X139" s="80"/>
      <c r="Y139" s="80"/>
      <c r="Z139" s="80"/>
      <c r="AA139" s="80"/>
      <c r="AB139" s="80"/>
      <c r="AC139" s="80"/>
      <c r="AD139" s="80"/>
      <c r="AE139" s="80"/>
      <c r="AF139" s="80"/>
    </row>
    <row r="140" spans="1:32">
      <c r="A140" s="1131" t="s">
        <v>207</v>
      </c>
      <c r="B140" s="1131"/>
      <c r="C140" s="1131"/>
      <c r="D140" s="1131"/>
      <c r="E140" s="1131"/>
      <c r="F140" s="1131"/>
      <c r="O140" s="215"/>
      <c r="P140" s="215"/>
      <c r="Q140" s="215"/>
      <c r="R140" s="215"/>
      <c r="S140" s="215" t="s">
        <v>316</v>
      </c>
      <c r="T140" s="215"/>
      <c r="U140" s="215">
        <v>1.35</v>
      </c>
      <c r="V140" s="215"/>
      <c r="W140" s="80"/>
      <c r="X140" s="80"/>
      <c r="Y140" s="80"/>
      <c r="Z140" s="80"/>
      <c r="AA140" s="80"/>
      <c r="AB140" s="80"/>
      <c r="AC140" s="80"/>
      <c r="AD140" s="80"/>
      <c r="AE140" s="80"/>
      <c r="AF140" s="80"/>
    </row>
    <row r="141" spans="1:32">
      <c r="A141" s="4"/>
      <c r="B141" s="4" t="s">
        <v>39</v>
      </c>
      <c r="C141" s="53" t="s">
        <v>40</v>
      </c>
      <c r="D141" s="54" t="s">
        <v>41</v>
      </c>
      <c r="E141" s="55" t="s">
        <v>42</v>
      </c>
      <c r="F141" s="4" t="s">
        <v>43</v>
      </c>
      <c r="O141" s="215"/>
      <c r="P141" s="215"/>
      <c r="Q141" s="215"/>
      <c r="R141" s="215"/>
      <c r="S141" s="215" t="s">
        <v>317</v>
      </c>
      <c r="T141" s="215"/>
      <c r="U141" s="215">
        <v>1.6</v>
      </c>
      <c r="V141" s="215"/>
      <c r="W141" s="80"/>
      <c r="X141" s="80"/>
      <c r="Y141" s="80"/>
      <c r="Z141" s="80"/>
      <c r="AA141" s="80"/>
      <c r="AB141" s="80"/>
      <c r="AC141" s="80"/>
      <c r="AD141" s="80"/>
      <c r="AE141" s="80"/>
      <c r="AF141" s="80"/>
    </row>
    <row r="142" spans="1:32">
      <c r="A142" s="4" t="s">
        <v>44</v>
      </c>
      <c r="B142" s="39">
        <f t="shared" ref="B142:B149" si="3">B96+B111+B126</f>
        <v>2</v>
      </c>
      <c r="C142" s="50">
        <f>B142*12</f>
        <v>24</v>
      </c>
      <c r="D142" s="51">
        <f>B142*9</f>
        <v>18</v>
      </c>
      <c r="E142" s="52">
        <f>B142*5</f>
        <v>10</v>
      </c>
      <c r="F142" s="9">
        <f t="shared" ref="F142:F149" si="4">(C142*4)+(D142*4)+(E142*9)</f>
        <v>258</v>
      </c>
      <c r="O142" s="215"/>
      <c r="P142" s="215"/>
      <c r="Q142" s="215"/>
      <c r="R142" s="215"/>
      <c r="S142" s="215" t="s">
        <v>318</v>
      </c>
      <c r="T142" s="215"/>
      <c r="U142" s="215"/>
      <c r="V142" s="215"/>
      <c r="W142" s="80"/>
      <c r="X142" s="80"/>
      <c r="Y142" s="80"/>
      <c r="Z142" s="80"/>
      <c r="AA142" s="80"/>
      <c r="AB142" s="80"/>
      <c r="AC142" s="80"/>
      <c r="AD142" s="80"/>
      <c r="AE142" s="80"/>
      <c r="AF142" s="80"/>
    </row>
    <row r="143" spans="1:32">
      <c r="A143" s="4" t="s">
        <v>45</v>
      </c>
      <c r="B143" s="39">
        <f t="shared" si="3"/>
        <v>6</v>
      </c>
      <c r="C143" s="6">
        <v>0</v>
      </c>
      <c r="D143" s="7">
        <f>B143*7</f>
        <v>42</v>
      </c>
      <c r="E143" s="8">
        <f>B143*4</f>
        <v>24</v>
      </c>
      <c r="F143" s="9">
        <f t="shared" si="4"/>
        <v>384</v>
      </c>
      <c r="O143" s="215"/>
      <c r="P143" s="215"/>
      <c r="Q143" s="215"/>
      <c r="R143" s="215"/>
      <c r="S143" s="215" t="s">
        <v>319</v>
      </c>
      <c r="T143" s="215"/>
      <c r="U143" s="215">
        <v>1.5</v>
      </c>
      <c r="V143" s="215"/>
      <c r="W143" s="80"/>
      <c r="X143" s="80"/>
      <c r="Y143" s="80"/>
      <c r="Z143" s="80"/>
      <c r="AA143" s="80"/>
      <c r="AB143" s="80"/>
      <c r="AC143" s="80"/>
      <c r="AD143" s="80"/>
      <c r="AE143" s="80"/>
      <c r="AF143" s="80"/>
    </row>
    <row r="144" spans="1:32">
      <c r="A144" s="4" t="s">
        <v>46</v>
      </c>
      <c r="B144" s="39">
        <f t="shared" si="3"/>
        <v>4</v>
      </c>
      <c r="C144" s="6">
        <f>B144*15</f>
        <v>60</v>
      </c>
      <c r="D144" s="7">
        <f>B144*0</f>
        <v>0</v>
      </c>
      <c r="E144" s="8">
        <f>B144*0</f>
        <v>0</v>
      </c>
      <c r="F144" s="9">
        <f t="shared" si="4"/>
        <v>240</v>
      </c>
      <c r="O144" s="215"/>
      <c r="P144" s="215"/>
      <c r="Q144" s="215"/>
      <c r="R144" s="215"/>
      <c r="S144" s="215" t="s">
        <v>320</v>
      </c>
      <c r="T144" s="215"/>
      <c r="U144" s="215">
        <v>1.9</v>
      </c>
      <c r="V144" s="215"/>
      <c r="W144" s="80"/>
      <c r="X144" s="80"/>
      <c r="Y144" s="80"/>
      <c r="Z144" s="80"/>
      <c r="AA144" s="80"/>
      <c r="AB144" s="80"/>
      <c r="AC144" s="80"/>
      <c r="AD144" s="80"/>
      <c r="AE144" s="80"/>
      <c r="AF144" s="80"/>
    </row>
    <row r="145" spans="1:32">
      <c r="A145" s="4" t="s">
        <v>47</v>
      </c>
      <c r="B145" s="39">
        <f t="shared" si="3"/>
        <v>0</v>
      </c>
      <c r="C145" s="6">
        <f>B145*4</f>
        <v>0</v>
      </c>
      <c r="D145" s="7">
        <f>B145*2</f>
        <v>0</v>
      </c>
      <c r="E145" s="8"/>
      <c r="F145" s="9">
        <f t="shared" si="4"/>
        <v>0</v>
      </c>
      <c r="O145" s="215"/>
      <c r="P145" s="215"/>
      <c r="Q145" s="215"/>
      <c r="R145" s="215"/>
      <c r="S145" s="215"/>
      <c r="T145" s="215"/>
      <c r="U145" s="215"/>
      <c r="V145" s="215"/>
      <c r="W145" s="80"/>
      <c r="X145" s="80"/>
      <c r="Y145" s="80"/>
      <c r="Z145" s="80"/>
      <c r="AA145" s="80"/>
      <c r="AB145" s="80"/>
      <c r="AC145" s="80"/>
      <c r="AD145" s="80"/>
      <c r="AE145" s="80"/>
      <c r="AF145" s="80"/>
    </row>
    <row r="146" spans="1:32">
      <c r="A146" s="4" t="s">
        <v>48</v>
      </c>
      <c r="B146" s="39">
        <f t="shared" si="3"/>
        <v>14</v>
      </c>
      <c r="C146" s="6">
        <f>B146*15</f>
        <v>210</v>
      </c>
      <c r="D146" s="7">
        <f>B146*2</f>
        <v>28</v>
      </c>
      <c r="E146" s="8">
        <f>B146*0</f>
        <v>0</v>
      </c>
      <c r="F146" s="9">
        <f t="shared" si="4"/>
        <v>952</v>
      </c>
      <c r="O146" s="215"/>
      <c r="P146" s="215"/>
      <c r="Q146" s="215"/>
      <c r="R146" s="215"/>
      <c r="S146" s="215"/>
      <c r="T146" s="215"/>
      <c r="U146" s="215"/>
      <c r="V146" s="215"/>
      <c r="W146" s="80"/>
      <c r="X146" s="80"/>
      <c r="Y146" s="80"/>
      <c r="Z146" s="80"/>
      <c r="AA146" s="80"/>
      <c r="AB146" s="80"/>
      <c r="AC146" s="80"/>
      <c r="AD146" s="80"/>
      <c r="AE146" s="80"/>
      <c r="AF146" s="80"/>
    </row>
    <row r="147" spans="1:32">
      <c r="A147" s="4" t="s">
        <v>49</v>
      </c>
      <c r="B147" s="39">
        <f t="shared" si="3"/>
        <v>1</v>
      </c>
      <c r="C147" s="6">
        <f>B147*20</f>
        <v>20</v>
      </c>
      <c r="D147" s="7">
        <f>B147*8</f>
        <v>8</v>
      </c>
      <c r="E147" s="8">
        <f>B147*1</f>
        <v>1</v>
      </c>
      <c r="F147" s="9">
        <f t="shared" si="4"/>
        <v>121</v>
      </c>
      <c r="O147" s="215"/>
      <c r="P147" s="215"/>
      <c r="Q147" s="215"/>
      <c r="R147" s="215"/>
      <c r="S147" s="215"/>
      <c r="T147" s="215"/>
      <c r="U147" s="215"/>
      <c r="V147" s="215"/>
      <c r="W147" s="80"/>
      <c r="X147" s="80"/>
      <c r="Y147" s="80"/>
      <c r="Z147" s="80"/>
      <c r="AA147" s="80"/>
      <c r="AB147" s="80"/>
      <c r="AC147" s="80"/>
      <c r="AD147" s="80"/>
      <c r="AE147" s="80"/>
      <c r="AF147" s="80"/>
    </row>
    <row r="148" spans="1:32">
      <c r="A148" s="4" t="s">
        <v>50</v>
      </c>
      <c r="B148" s="39">
        <f t="shared" si="3"/>
        <v>9</v>
      </c>
      <c r="C148" s="6">
        <f>B148*0</f>
        <v>0</v>
      </c>
      <c r="D148" s="7">
        <f>B148*0</f>
        <v>0</v>
      </c>
      <c r="E148" s="8">
        <f>B148*5</f>
        <v>45</v>
      </c>
      <c r="F148" s="9">
        <f t="shared" si="4"/>
        <v>405</v>
      </c>
      <c r="O148" s="215"/>
      <c r="P148" s="215"/>
      <c r="Q148" s="215"/>
      <c r="R148" s="215"/>
      <c r="S148" s="215"/>
      <c r="T148" s="215"/>
      <c r="U148" s="215"/>
      <c r="V148" s="215"/>
      <c r="W148" s="80"/>
      <c r="X148" s="80"/>
      <c r="Y148" s="80"/>
      <c r="Z148" s="80"/>
      <c r="AA148" s="80"/>
      <c r="AB148" s="80"/>
      <c r="AC148" s="80"/>
      <c r="AD148" s="80"/>
      <c r="AE148" s="80"/>
      <c r="AF148" s="80"/>
    </row>
    <row r="149" spans="1:32">
      <c r="A149" s="4" t="s">
        <v>51</v>
      </c>
      <c r="B149" s="39">
        <f t="shared" si="3"/>
        <v>14</v>
      </c>
      <c r="C149" s="6">
        <f>B149*10</f>
        <v>140</v>
      </c>
      <c r="D149" s="7">
        <f>B149*0</f>
        <v>0</v>
      </c>
      <c r="E149" s="10">
        <f>B149*0</f>
        <v>0</v>
      </c>
      <c r="F149" s="11">
        <f t="shared" si="4"/>
        <v>560</v>
      </c>
      <c r="O149" s="215"/>
      <c r="P149" s="215"/>
      <c r="Q149" s="215"/>
      <c r="R149" s="215"/>
      <c r="S149" s="215"/>
      <c r="T149" s="215"/>
      <c r="U149" s="215"/>
      <c r="V149" s="215"/>
      <c r="W149" s="80"/>
      <c r="X149" s="80"/>
      <c r="Y149" s="80"/>
      <c r="Z149" s="80"/>
      <c r="AA149" s="80"/>
      <c r="AB149" s="80"/>
      <c r="AC149" s="80"/>
      <c r="AD149" s="80"/>
      <c r="AE149" s="80"/>
      <c r="AF149" s="80"/>
    </row>
    <row r="150" spans="1:32">
      <c r="A150" s="4"/>
      <c r="B150" s="12"/>
      <c r="C150" s="6">
        <f>SUM(C142:C149)</f>
        <v>454</v>
      </c>
      <c r="D150" s="7">
        <f>SUM(D142:D149)</f>
        <v>96</v>
      </c>
      <c r="E150" s="10">
        <f>SUM(E142:E149)</f>
        <v>80</v>
      </c>
      <c r="F150" s="11">
        <f>SUM(F142:F149)</f>
        <v>2920</v>
      </c>
      <c r="O150" s="215"/>
      <c r="P150" s="215"/>
      <c r="Q150" s="215"/>
      <c r="R150" s="215"/>
      <c r="S150" s="215"/>
      <c r="T150" s="215"/>
      <c r="U150" s="215"/>
      <c r="V150" s="215"/>
      <c r="W150" s="80"/>
      <c r="X150" s="80"/>
      <c r="Y150" s="80"/>
      <c r="Z150" s="80"/>
      <c r="AA150" s="80"/>
      <c r="AB150" s="80"/>
      <c r="AC150" s="80"/>
      <c r="AD150" s="80"/>
      <c r="AE150" s="80"/>
      <c r="AF150" s="80"/>
    </row>
    <row r="151" spans="1:32">
      <c r="B151" s="1" t="s">
        <v>52</v>
      </c>
      <c r="C151" s="4" t="s">
        <v>53</v>
      </c>
      <c r="D151" s="75" t="s">
        <v>54</v>
      </c>
      <c r="E151" s="75"/>
      <c r="O151" s="215"/>
      <c r="P151" s="215"/>
      <c r="Q151" s="215">
        <v>1</v>
      </c>
      <c r="R151" s="215"/>
      <c r="S151" s="215"/>
      <c r="T151" s="215"/>
      <c r="U151" s="215"/>
      <c r="V151" s="215"/>
      <c r="W151" s="80"/>
      <c r="X151" s="80"/>
      <c r="Y151" s="80"/>
      <c r="Z151" s="80"/>
      <c r="AA151" s="80"/>
      <c r="AB151" s="80"/>
      <c r="AC151" s="80"/>
      <c r="AD151" s="80"/>
      <c r="AE151" s="80"/>
      <c r="AF151" s="80"/>
    </row>
    <row r="152" spans="1:32">
      <c r="A152" s="13" t="s">
        <v>55</v>
      </c>
      <c r="B152" s="14">
        <v>54</v>
      </c>
      <c r="C152" s="4">
        <f>C150</f>
        <v>454</v>
      </c>
      <c r="D152" s="74">
        <f>C152*4</f>
        <v>1816</v>
      </c>
      <c r="E152" s="73"/>
      <c r="O152" s="215"/>
      <c r="P152" s="215"/>
      <c r="Q152" s="215">
        <v>1.1399999999999999</v>
      </c>
      <c r="R152" s="215"/>
      <c r="S152" s="215"/>
      <c r="T152" s="215"/>
      <c r="U152" s="215"/>
      <c r="V152" s="215"/>
      <c r="W152" s="80"/>
      <c r="X152" s="80"/>
      <c r="Y152" s="80"/>
      <c r="Z152" s="80"/>
      <c r="AA152" s="80"/>
      <c r="AB152" s="80"/>
      <c r="AC152" s="80"/>
      <c r="AD152" s="80"/>
      <c r="AE152" s="80"/>
      <c r="AF152" s="80"/>
    </row>
    <row r="153" spans="1:32">
      <c r="A153" s="15" t="s">
        <v>29</v>
      </c>
      <c r="B153" s="16">
        <v>18</v>
      </c>
      <c r="C153" s="4">
        <f>D150</f>
        <v>96</v>
      </c>
      <c r="D153" s="74">
        <f>C153*4</f>
        <v>384</v>
      </c>
      <c r="E153" s="73"/>
      <c r="O153" s="215"/>
      <c r="P153" s="215"/>
      <c r="Q153" s="215">
        <v>1.27</v>
      </c>
      <c r="R153" s="215"/>
      <c r="S153" s="215"/>
      <c r="T153" s="215"/>
      <c r="U153" s="215"/>
      <c r="V153" s="215"/>
      <c r="W153" s="80"/>
      <c r="X153" s="80"/>
      <c r="Y153" s="80"/>
      <c r="Z153" s="80"/>
      <c r="AA153" s="80"/>
      <c r="AB153" s="80"/>
      <c r="AC153" s="80"/>
      <c r="AD153" s="80"/>
      <c r="AE153" s="80"/>
      <c r="AF153" s="80"/>
    </row>
    <row r="154" spans="1:32">
      <c r="A154" s="17" t="s">
        <v>56</v>
      </c>
      <c r="B154" s="18">
        <v>28</v>
      </c>
      <c r="C154" s="4">
        <f>E150</f>
        <v>80</v>
      </c>
      <c r="D154" s="74">
        <f>C154*9</f>
        <v>720</v>
      </c>
      <c r="E154" s="73"/>
      <c r="O154" s="215"/>
      <c r="P154" s="215"/>
      <c r="Q154" s="215">
        <v>1.45</v>
      </c>
      <c r="R154" s="215"/>
      <c r="S154" s="215"/>
      <c r="T154" s="215"/>
      <c r="U154" s="215"/>
      <c r="V154" s="215"/>
      <c r="W154" s="80"/>
      <c r="X154" s="80"/>
      <c r="Y154" s="80"/>
      <c r="Z154" s="80"/>
      <c r="AA154" s="80"/>
      <c r="AB154" s="80"/>
      <c r="AC154" s="80"/>
      <c r="AD154" s="80"/>
      <c r="AE154" s="80"/>
      <c r="AF154" s="80"/>
    </row>
    <row r="155" spans="1:32">
      <c r="B155" s="76">
        <f>SUM(B152:B154)</f>
        <v>100</v>
      </c>
      <c r="C155" s="77"/>
      <c r="D155" s="76">
        <f>SUM(D152:D154)</f>
        <v>2920</v>
      </c>
      <c r="O155" s="215"/>
      <c r="P155" s="215"/>
      <c r="Q155" s="215"/>
      <c r="R155" s="215"/>
      <c r="S155" s="215"/>
      <c r="T155" s="215"/>
      <c r="U155" s="215"/>
      <c r="V155" s="215"/>
      <c r="W155" s="80"/>
      <c r="X155" s="80"/>
      <c r="Y155" s="80"/>
      <c r="Z155" s="80"/>
      <c r="AA155" s="80"/>
      <c r="AB155" s="80"/>
      <c r="AC155" s="80"/>
      <c r="AD155" s="80"/>
      <c r="AE155" s="80"/>
      <c r="AF155" s="80"/>
    </row>
    <row r="156" spans="1:32">
      <c r="A156" s="19"/>
      <c r="B156" s="19" t="s">
        <v>38</v>
      </c>
      <c r="C156" s="19"/>
      <c r="D156" s="19"/>
      <c r="E156" s="19"/>
      <c r="F156" s="19"/>
      <c r="O156" s="215"/>
      <c r="P156" s="215"/>
      <c r="Q156" s="215"/>
      <c r="R156" s="215"/>
      <c r="S156" s="215"/>
      <c r="T156" s="215"/>
      <c r="U156" s="215"/>
      <c r="V156" s="215"/>
      <c r="W156" s="80"/>
      <c r="X156" s="80"/>
      <c r="Y156" s="80"/>
      <c r="Z156" s="80"/>
      <c r="AA156" s="80"/>
      <c r="AB156" s="80"/>
      <c r="AC156" s="80"/>
      <c r="AD156" s="80"/>
      <c r="AE156" s="80"/>
      <c r="AF156" s="80"/>
    </row>
    <row r="157" spans="1:32">
      <c r="A157" s="246" t="s">
        <v>426</v>
      </c>
      <c r="B157" s="246"/>
      <c r="C157" s="246"/>
      <c r="D157" s="246"/>
      <c r="E157" s="272" t="s">
        <v>43</v>
      </c>
      <c r="F157" s="272" t="s">
        <v>69</v>
      </c>
      <c r="G157" s="272" t="s">
        <v>52</v>
      </c>
      <c r="H157" s="262" t="s">
        <v>439</v>
      </c>
      <c r="I157" s="263"/>
      <c r="J157" s="244"/>
      <c r="O157" s="215"/>
      <c r="P157" s="215"/>
      <c r="Q157" s="215"/>
      <c r="R157" s="215"/>
      <c r="S157" s="215"/>
      <c r="T157" s="215"/>
      <c r="U157" s="215"/>
      <c r="V157" s="215"/>
      <c r="W157" s="80"/>
      <c r="X157" s="80"/>
      <c r="Y157" s="80"/>
      <c r="Z157" s="80"/>
      <c r="AA157" s="80"/>
      <c r="AB157" s="80"/>
      <c r="AC157" s="80"/>
      <c r="AD157" s="80"/>
      <c r="AE157" s="80"/>
      <c r="AF157" s="80"/>
    </row>
    <row r="158" spans="1:32">
      <c r="A158" s="1231" t="s">
        <v>427</v>
      </c>
      <c r="B158" s="1232"/>
      <c r="C158" s="1232"/>
      <c r="D158" s="1233"/>
      <c r="E158" s="256">
        <f>IF(J11&lt;=73,"95"*D27,IF(J11&lt;=96,"90"*D27,IF(J11&lt;=120,"78"*D27,IF(J11&lt;=144,2200))))</f>
        <v>3220.5</v>
      </c>
      <c r="F158" s="244"/>
      <c r="G158" s="244"/>
      <c r="H158" s="244"/>
      <c r="I158" s="244"/>
      <c r="J158" s="244"/>
      <c r="O158" s="215"/>
      <c r="P158" s="215"/>
      <c r="Q158" s="215"/>
      <c r="R158" s="215"/>
      <c r="S158" s="215"/>
      <c r="T158" s="215"/>
      <c r="U158" s="215"/>
      <c r="V158" s="215"/>
      <c r="W158" s="80"/>
      <c r="X158" s="80"/>
      <c r="Y158" s="80"/>
      <c r="Z158" s="80"/>
      <c r="AA158" s="80"/>
      <c r="AB158" s="80"/>
      <c r="AC158" s="80"/>
      <c r="AD158" s="80"/>
      <c r="AE158" s="80"/>
      <c r="AF158" s="80"/>
    </row>
    <row r="159" spans="1:32">
      <c r="A159" s="1231" t="s">
        <v>374</v>
      </c>
      <c r="B159" s="1232"/>
      <c r="C159" s="1232"/>
      <c r="D159" s="1233"/>
      <c r="E159" s="257">
        <f>E158*0.55</f>
        <v>1771.2750000000001</v>
      </c>
      <c r="F159" s="257">
        <f>E159/4</f>
        <v>442.81875000000002</v>
      </c>
      <c r="G159" s="258">
        <f>(E159*100)/E158</f>
        <v>55</v>
      </c>
      <c r="H159" s="244"/>
      <c r="I159" s="244"/>
      <c r="J159" s="244"/>
      <c r="O159" s="215"/>
      <c r="P159" s="215"/>
      <c r="Q159" s="215"/>
      <c r="R159" s="215"/>
      <c r="S159" s="215"/>
      <c r="T159" s="215"/>
      <c r="U159" s="215"/>
      <c r="V159" s="215"/>
      <c r="W159" s="80"/>
      <c r="X159" s="80"/>
      <c r="Y159" s="80"/>
      <c r="Z159" s="80"/>
      <c r="AA159" s="80"/>
      <c r="AB159" s="80"/>
      <c r="AC159" s="80"/>
      <c r="AD159" s="80"/>
      <c r="AE159" s="80"/>
      <c r="AF159" s="80"/>
    </row>
    <row r="160" spans="1:32">
      <c r="A160" s="1231" t="s">
        <v>29</v>
      </c>
      <c r="B160" s="1232"/>
      <c r="C160" s="1232"/>
      <c r="D160" s="1233"/>
      <c r="E160" s="257">
        <f>F160*4</f>
        <v>135.6</v>
      </c>
      <c r="F160" s="257">
        <f>IF(J11&lt;=144,"1.0"*D27)</f>
        <v>33.9</v>
      </c>
      <c r="G160" s="258">
        <f>(E160*100)/E158</f>
        <v>4.2105263157894735</v>
      </c>
      <c r="H160" s="257">
        <f>F160/D27</f>
        <v>1</v>
      </c>
      <c r="I160" s="244"/>
      <c r="J160" s="244"/>
      <c r="O160" s="215"/>
      <c r="P160" s="215"/>
      <c r="Q160" s="215"/>
      <c r="R160" s="215"/>
      <c r="S160" s="215"/>
      <c r="T160" s="215"/>
      <c r="U160" s="215"/>
      <c r="V160" s="215"/>
      <c r="W160" s="80"/>
      <c r="X160" s="80"/>
      <c r="Y160" s="80"/>
      <c r="Z160" s="80"/>
      <c r="AA160" s="80"/>
      <c r="AB160" s="80"/>
      <c r="AC160" s="80"/>
      <c r="AD160" s="80"/>
      <c r="AE160" s="80"/>
      <c r="AF160" s="80"/>
    </row>
    <row r="161" spans="1:32">
      <c r="A161" s="1231" t="s">
        <v>56</v>
      </c>
      <c r="B161" s="1232"/>
      <c r="C161" s="1232"/>
      <c r="D161" s="1233"/>
      <c r="E161" s="257">
        <f>E158-E159-E160</f>
        <v>1313.625</v>
      </c>
      <c r="F161" s="258">
        <f>E161/9</f>
        <v>145.95833333333334</v>
      </c>
      <c r="G161" s="258">
        <f>(E161*100)/E158</f>
        <v>40.789473684210527</v>
      </c>
      <c r="H161" s="244"/>
      <c r="I161" s="244"/>
      <c r="J161" s="244"/>
      <c r="O161" s="215"/>
      <c r="P161" s="215"/>
      <c r="Q161" s="215"/>
      <c r="R161" s="215"/>
      <c r="S161" s="215"/>
      <c r="T161" s="215"/>
      <c r="U161" s="215"/>
      <c r="V161" s="215"/>
      <c r="W161" s="80"/>
      <c r="X161" s="80"/>
      <c r="Y161" s="80"/>
      <c r="Z161" s="80"/>
      <c r="AA161" s="80"/>
      <c r="AB161" s="80"/>
      <c r="AC161" s="80"/>
      <c r="AD161" s="80"/>
      <c r="AE161" s="80"/>
      <c r="AF161" s="80"/>
    </row>
    <row r="162" spans="1:32">
      <c r="A162" s="1231" t="s">
        <v>428</v>
      </c>
      <c r="B162" s="1232"/>
      <c r="C162" s="1232"/>
      <c r="D162" s="1233"/>
      <c r="E162" s="259"/>
      <c r="F162" s="259"/>
      <c r="G162" s="259"/>
      <c r="H162" s="244"/>
      <c r="I162" s="257">
        <f>IF(D27&lt;=21,1520,IF(D27&lt;=22,1540,IF(D27&lt;=23,1560,IF(D27&lt;=24,1580,IF(D27&lt;=25,1600,IF(D27&lt;=26,1620,IF(D27&lt;=27,1640,IF(D27&lt;=28,1660,IF(D27&lt;=29,1680,IF(D27&lt;=30,1700,IF(D27&lt;=31,1720,IF(D27&lt;=32,1740,IF(D27&lt;=33,1760,IF(D27&lt;=34,1780,IF(D27&lt;=39,1800,IF(D27&lt;=40,1820,IF(D27&lt;=41,1840,IF(D27&lt;=42,1860,IF(D27&lt;=43,1880,)))))))))))))))))))</f>
        <v>1780</v>
      </c>
      <c r="J162" s="244" t="s">
        <v>429</v>
      </c>
      <c r="O162" s="215"/>
      <c r="P162" s="215"/>
      <c r="Q162" s="215"/>
      <c r="R162" s="215"/>
      <c r="S162" s="215"/>
      <c r="T162" s="215"/>
      <c r="U162" s="215"/>
      <c r="V162" s="215"/>
      <c r="W162" s="80"/>
      <c r="X162" s="80"/>
      <c r="Y162" s="80"/>
      <c r="Z162" s="80"/>
      <c r="AA162" s="80"/>
      <c r="AB162" s="80"/>
      <c r="AC162" s="80"/>
      <c r="AD162" s="80"/>
      <c r="AE162" s="80"/>
      <c r="AF162" s="80"/>
    </row>
    <row r="163" spans="1:32">
      <c r="A163" s="244"/>
      <c r="B163" s="244"/>
      <c r="C163" s="244"/>
      <c r="D163" s="244"/>
      <c r="E163" s="244"/>
      <c r="F163" s="244"/>
      <c r="G163" s="244"/>
      <c r="H163" s="244"/>
      <c r="I163" s="244"/>
      <c r="J163" s="244"/>
      <c r="O163" s="215"/>
      <c r="P163" s="215"/>
      <c r="Q163" s="215"/>
      <c r="R163" s="215"/>
      <c r="S163" s="215"/>
      <c r="T163" s="215"/>
      <c r="U163" s="215"/>
      <c r="V163" s="215"/>
      <c r="W163" s="80"/>
      <c r="X163" s="80"/>
      <c r="Y163" s="80"/>
      <c r="Z163" s="80"/>
      <c r="AA163" s="80"/>
      <c r="AB163" s="80"/>
      <c r="AC163" s="80"/>
      <c r="AD163" s="80"/>
      <c r="AE163" s="80"/>
      <c r="AF163" s="80"/>
    </row>
    <row r="164" spans="1:32">
      <c r="A164" s="19"/>
      <c r="B164" s="19"/>
      <c r="C164" s="19"/>
      <c r="D164" s="19"/>
      <c r="E164" s="19"/>
      <c r="F164" s="19"/>
      <c r="O164" s="215"/>
      <c r="P164" s="215"/>
      <c r="Q164" s="215"/>
      <c r="R164" s="215"/>
      <c r="S164" s="215"/>
      <c r="T164" s="215"/>
      <c r="U164" s="215"/>
      <c r="V164" s="215"/>
      <c r="W164" s="80"/>
      <c r="X164" s="80"/>
      <c r="Y164" s="80"/>
      <c r="Z164" s="80"/>
      <c r="AA164" s="80"/>
      <c r="AB164" s="80"/>
      <c r="AC164" s="80"/>
      <c r="AD164" s="80"/>
      <c r="AE164" s="80"/>
      <c r="AF164" s="80"/>
    </row>
    <row r="165" spans="1:32" ht="33.75">
      <c r="A165" s="260"/>
      <c r="B165" s="261" t="s">
        <v>59</v>
      </c>
      <c r="C165" s="261" t="s">
        <v>60</v>
      </c>
      <c r="D165" s="261" t="s">
        <v>41</v>
      </c>
      <c r="E165" s="261" t="s">
        <v>42</v>
      </c>
      <c r="F165" s="261" t="s">
        <v>43</v>
      </c>
      <c r="G165" s="261" t="s">
        <v>59</v>
      </c>
      <c r="H165" s="261" t="s">
        <v>61</v>
      </c>
      <c r="I165" s="261" t="s">
        <v>62</v>
      </c>
      <c r="J165" s="261" t="s">
        <v>63</v>
      </c>
      <c r="K165" s="261" t="s">
        <v>64</v>
      </c>
      <c r="L165" s="261" t="s">
        <v>65</v>
      </c>
      <c r="O165" s="215"/>
      <c r="P165" s="215"/>
      <c r="Q165" s="215"/>
      <c r="R165" s="215"/>
      <c r="S165" s="215"/>
      <c r="T165" s="215"/>
      <c r="U165" s="215"/>
      <c r="V165" s="215"/>
      <c r="W165" s="80"/>
      <c r="X165" s="80"/>
      <c r="Y165" s="80"/>
      <c r="Z165" s="80"/>
      <c r="AA165" s="80"/>
      <c r="AB165" s="80"/>
      <c r="AC165" s="80"/>
      <c r="AD165" s="80"/>
      <c r="AE165" s="80"/>
      <c r="AF165" s="80"/>
    </row>
    <row r="166" spans="1:32" ht="21">
      <c r="A166" s="19" t="s">
        <v>44</v>
      </c>
      <c r="B166" s="147">
        <v>2</v>
      </c>
      <c r="C166" s="22">
        <f>B166*12</f>
        <v>24</v>
      </c>
      <c r="D166" s="27">
        <f>B166*9</f>
        <v>18</v>
      </c>
      <c r="E166" s="23">
        <f>B166*5</f>
        <v>10</v>
      </c>
      <c r="F166" s="150">
        <f t="shared" ref="F166:F173" si="5">(C166*4)+(D166*4)+(E166*9)</f>
        <v>258</v>
      </c>
      <c r="G166" s="24">
        <f t="shared" ref="G166:G173" si="6">B166</f>
        <v>2</v>
      </c>
      <c r="H166" s="148">
        <v>1</v>
      </c>
      <c r="I166" s="148">
        <v>0</v>
      </c>
      <c r="J166" s="148">
        <v>0</v>
      </c>
      <c r="K166" s="148">
        <v>0</v>
      </c>
      <c r="L166" s="149">
        <v>1</v>
      </c>
      <c r="M166" s="4">
        <f t="shared" ref="M166:M175" si="7">SUM(H166:L166)</f>
        <v>2</v>
      </c>
      <c r="N166" s="40" t="str">
        <f t="shared" ref="N166:N173" si="8">IF(M166&lt;G166, "te falta",IF(M166=G166,"muy bien",IF(M166&gt;G166,"te pasaste")))</f>
        <v>muy bien</v>
      </c>
      <c r="O166" s="215"/>
      <c r="P166" s="215"/>
      <c r="Q166" s="215"/>
      <c r="R166" s="215"/>
      <c r="S166" s="215"/>
      <c r="T166" s="215"/>
      <c r="U166" s="215"/>
      <c r="V166" s="215"/>
      <c r="W166" s="80"/>
      <c r="X166" s="80"/>
      <c r="Y166" s="80"/>
      <c r="Z166" s="80"/>
      <c r="AA166" s="80"/>
      <c r="AB166" s="80"/>
      <c r="AC166" s="80"/>
      <c r="AD166" s="80"/>
      <c r="AE166" s="80"/>
      <c r="AF166" s="80"/>
    </row>
    <row r="167" spans="1:32" ht="21">
      <c r="A167" s="19" t="s">
        <v>45</v>
      </c>
      <c r="B167" s="147">
        <v>4</v>
      </c>
      <c r="C167" s="22">
        <v>0</v>
      </c>
      <c r="D167" s="27">
        <f>B167*7</f>
        <v>28</v>
      </c>
      <c r="E167" s="23">
        <f>B167*4</f>
        <v>16</v>
      </c>
      <c r="F167" s="150">
        <f t="shared" si="5"/>
        <v>256</v>
      </c>
      <c r="G167" s="24">
        <f t="shared" si="6"/>
        <v>4</v>
      </c>
      <c r="H167" s="148">
        <v>1</v>
      </c>
      <c r="I167" s="148">
        <v>0</v>
      </c>
      <c r="J167" s="148">
        <v>2</v>
      </c>
      <c r="K167" s="148">
        <v>0</v>
      </c>
      <c r="L167" s="148">
        <v>1</v>
      </c>
      <c r="M167" s="4">
        <f t="shared" si="7"/>
        <v>4</v>
      </c>
      <c r="N167" s="40" t="str">
        <f>IF(M167&lt;G167, "te falta",IF(M167=G167,"muy bien",IF(M167&gt;G167,"te pasaste")))</f>
        <v>muy bien</v>
      </c>
      <c r="O167" s="215"/>
      <c r="P167" s="215"/>
      <c r="Q167" s="215"/>
      <c r="R167" s="215"/>
      <c r="S167" s="215"/>
      <c r="T167" s="215"/>
      <c r="U167" s="215"/>
      <c r="V167" s="215"/>
      <c r="W167" s="80"/>
      <c r="X167" s="80"/>
      <c r="Y167" s="80"/>
      <c r="Z167" s="80"/>
      <c r="AA167" s="80"/>
      <c r="AB167" s="80"/>
      <c r="AC167" s="80"/>
      <c r="AD167" s="80"/>
      <c r="AE167" s="80"/>
      <c r="AF167" s="80"/>
    </row>
    <row r="168" spans="1:32" ht="21">
      <c r="A168" s="19" t="s">
        <v>46</v>
      </c>
      <c r="B168" s="147">
        <v>5</v>
      </c>
      <c r="C168" s="22">
        <f>B168*15</f>
        <v>75</v>
      </c>
      <c r="D168" s="27">
        <f>B168*0</f>
        <v>0</v>
      </c>
      <c r="E168" s="23">
        <f>B168*0</f>
        <v>0</v>
      </c>
      <c r="F168" s="150">
        <f t="shared" si="5"/>
        <v>300</v>
      </c>
      <c r="G168" s="24">
        <f t="shared" si="6"/>
        <v>5</v>
      </c>
      <c r="H168" s="148">
        <v>1</v>
      </c>
      <c r="I168" s="148">
        <v>1</v>
      </c>
      <c r="J168" s="148">
        <v>1</v>
      </c>
      <c r="K168" s="148">
        <v>1</v>
      </c>
      <c r="L168" s="148">
        <v>1</v>
      </c>
      <c r="M168" s="4">
        <f t="shared" si="7"/>
        <v>5</v>
      </c>
      <c r="N168" s="40" t="str">
        <f t="shared" si="8"/>
        <v>muy bien</v>
      </c>
      <c r="O168" s="215"/>
      <c r="P168" s="215"/>
      <c r="Q168" s="215"/>
      <c r="R168" s="215"/>
      <c r="S168" s="215"/>
      <c r="T168" s="215"/>
      <c r="U168" s="215"/>
      <c r="V168" s="215"/>
      <c r="W168" s="80"/>
      <c r="X168" s="80"/>
      <c r="Y168" s="80"/>
      <c r="Z168" s="80"/>
      <c r="AA168" s="80"/>
      <c r="AB168" s="80"/>
      <c r="AC168" s="80"/>
      <c r="AD168" s="80"/>
      <c r="AE168" s="80"/>
      <c r="AF168" s="80"/>
    </row>
    <row r="169" spans="1:32" ht="21">
      <c r="A169" s="19" t="s">
        <v>47</v>
      </c>
      <c r="B169" s="147">
        <v>7</v>
      </c>
      <c r="C169" s="22">
        <f>B169*4</f>
        <v>28</v>
      </c>
      <c r="D169" s="27">
        <f>B169*2</f>
        <v>14</v>
      </c>
      <c r="E169" s="23"/>
      <c r="F169" s="150">
        <f t="shared" si="5"/>
        <v>168</v>
      </c>
      <c r="G169" s="24">
        <f t="shared" si="6"/>
        <v>7</v>
      </c>
      <c r="H169" s="148">
        <v>2</v>
      </c>
      <c r="I169" s="148">
        <v>1</v>
      </c>
      <c r="J169" s="148">
        <v>2</v>
      </c>
      <c r="K169" s="148">
        <v>1</v>
      </c>
      <c r="L169" s="148">
        <v>1</v>
      </c>
      <c r="M169" s="4">
        <f t="shared" si="7"/>
        <v>7</v>
      </c>
      <c r="N169" s="40" t="str">
        <f t="shared" si="8"/>
        <v>muy bien</v>
      </c>
      <c r="O169" s="215"/>
      <c r="P169" s="215"/>
      <c r="Q169" s="215"/>
      <c r="R169" s="215"/>
      <c r="S169" s="215"/>
      <c r="T169" s="215"/>
      <c r="U169" s="215"/>
      <c r="V169" s="215"/>
      <c r="W169" s="80"/>
      <c r="X169" s="80"/>
      <c r="Y169" s="80"/>
      <c r="Z169" s="80"/>
      <c r="AA169" s="80"/>
      <c r="AB169" s="80"/>
      <c r="AC169" s="80"/>
      <c r="AD169" s="80"/>
      <c r="AE169" s="80"/>
      <c r="AF169" s="80"/>
    </row>
    <row r="170" spans="1:32" ht="21">
      <c r="A170" s="19" t="s">
        <v>48</v>
      </c>
      <c r="B170" s="147">
        <v>6</v>
      </c>
      <c r="C170" s="22">
        <f>B170*15</f>
        <v>90</v>
      </c>
      <c r="D170" s="27">
        <f>B170*2</f>
        <v>12</v>
      </c>
      <c r="E170" s="23">
        <f>B170*0</f>
        <v>0</v>
      </c>
      <c r="F170" s="150">
        <f t="shared" si="5"/>
        <v>408</v>
      </c>
      <c r="G170" s="24">
        <f t="shared" si="6"/>
        <v>6</v>
      </c>
      <c r="H170" s="148">
        <v>1</v>
      </c>
      <c r="I170" s="148">
        <v>1</v>
      </c>
      <c r="J170" s="148">
        <v>2</v>
      </c>
      <c r="K170" s="148">
        <v>1</v>
      </c>
      <c r="L170" s="148">
        <v>1</v>
      </c>
      <c r="M170" s="4">
        <f t="shared" si="7"/>
        <v>6</v>
      </c>
      <c r="N170" s="40" t="str">
        <f t="shared" si="8"/>
        <v>muy bien</v>
      </c>
      <c r="O170" s="215"/>
      <c r="P170" s="215"/>
      <c r="Q170" s="215"/>
      <c r="R170" s="215"/>
      <c r="S170" s="215"/>
      <c r="T170" s="215"/>
      <c r="U170" s="215"/>
      <c r="V170" s="215"/>
      <c r="W170" s="80"/>
      <c r="X170" s="80"/>
      <c r="Y170" s="80"/>
      <c r="Z170" s="80"/>
      <c r="AA170" s="80"/>
      <c r="AB170" s="80"/>
      <c r="AC170" s="80"/>
      <c r="AD170" s="80"/>
      <c r="AE170" s="80"/>
      <c r="AF170" s="80"/>
    </row>
    <row r="171" spans="1:32" ht="21">
      <c r="A171" s="19" t="s">
        <v>66</v>
      </c>
      <c r="B171" s="147">
        <v>1</v>
      </c>
      <c r="C171" s="22">
        <f>B171*20</f>
        <v>20</v>
      </c>
      <c r="D171" s="27">
        <f>B171*8</f>
        <v>8</v>
      </c>
      <c r="E171" s="23">
        <f>B171*1</f>
        <v>1</v>
      </c>
      <c r="F171" s="150">
        <f t="shared" si="5"/>
        <v>121</v>
      </c>
      <c r="G171" s="24">
        <f t="shared" si="6"/>
        <v>1</v>
      </c>
      <c r="H171" s="148">
        <v>0</v>
      </c>
      <c r="I171" s="148">
        <v>0</v>
      </c>
      <c r="J171" s="148">
        <v>1</v>
      </c>
      <c r="K171" s="148">
        <v>0</v>
      </c>
      <c r="L171" s="148">
        <v>0</v>
      </c>
      <c r="M171" s="4">
        <f t="shared" si="7"/>
        <v>1</v>
      </c>
      <c r="N171" s="40" t="str">
        <f t="shared" si="8"/>
        <v>muy bien</v>
      </c>
      <c r="O171" s="215"/>
      <c r="P171" s="215"/>
      <c r="Q171" s="215"/>
      <c r="R171" s="215"/>
      <c r="S171" s="215"/>
      <c r="T171" s="215"/>
      <c r="U171" s="215"/>
      <c r="V171" s="215"/>
      <c r="W171" s="80"/>
      <c r="X171" s="80"/>
      <c r="Y171" s="80"/>
      <c r="Z171" s="80"/>
      <c r="AA171" s="80"/>
      <c r="AB171" s="80"/>
      <c r="AC171" s="80"/>
      <c r="AD171" s="80"/>
      <c r="AE171" s="80"/>
      <c r="AF171" s="80"/>
    </row>
    <row r="172" spans="1:32" ht="21">
      <c r="A172" s="19" t="s">
        <v>50</v>
      </c>
      <c r="B172" s="147">
        <v>3</v>
      </c>
      <c r="C172" s="22">
        <f>B172*0</f>
        <v>0</v>
      </c>
      <c r="D172" s="27">
        <f>B172*0</f>
        <v>0</v>
      </c>
      <c r="E172" s="23">
        <f>B172*5</f>
        <v>15</v>
      </c>
      <c r="F172" s="150">
        <f t="shared" si="5"/>
        <v>135</v>
      </c>
      <c r="G172" s="24">
        <f t="shared" si="6"/>
        <v>3</v>
      </c>
      <c r="H172" s="148">
        <v>1</v>
      </c>
      <c r="I172" s="148">
        <v>0</v>
      </c>
      <c r="J172" s="148">
        <v>1</v>
      </c>
      <c r="K172" s="148">
        <v>0</v>
      </c>
      <c r="L172" s="148">
        <v>1</v>
      </c>
      <c r="M172" s="4">
        <f t="shared" si="7"/>
        <v>3</v>
      </c>
      <c r="N172" s="40" t="str">
        <f t="shared" si="8"/>
        <v>muy bien</v>
      </c>
      <c r="O172" s="215"/>
      <c r="P172" s="215"/>
      <c r="Q172" s="215"/>
      <c r="R172" s="215"/>
      <c r="S172" s="215"/>
      <c r="T172" s="215"/>
      <c r="U172" s="215"/>
      <c r="V172" s="215"/>
      <c r="W172" s="80"/>
      <c r="X172" s="80"/>
      <c r="Y172" s="80"/>
      <c r="Z172" s="80"/>
      <c r="AA172" s="80"/>
      <c r="AB172" s="80"/>
      <c r="AC172" s="80"/>
      <c r="AD172" s="80"/>
      <c r="AE172" s="80"/>
      <c r="AF172" s="80"/>
    </row>
    <row r="173" spans="1:32" ht="21">
      <c r="A173" s="19" t="s">
        <v>51</v>
      </c>
      <c r="B173" s="147">
        <v>3</v>
      </c>
      <c r="C173" s="22">
        <f>B173*10</f>
        <v>30</v>
      </c>
      <c r="D173" s="27">
        <f>B173*0</f>
        <v>0</v>
      </c>
      <c r="E173" s="23">
        <f>B173*0</f>
        <v>0</v>
      </c>
      <c r="F173" s="152">
        <f t="shared" si="5"/>
        <v>120</v>
      </c>
      <c r="G173" s="24">
        <f t="shared" si="6"/>
        <v>3</v>
      </c>
      <c r="H173" s="148">
        <v>1</v>
      </c>
      <c r="I173" s="148">
        <v>0</v>
      </c>
      <c r="J173" s="148">
        <v>1</v>
      </c>
      <c r="K173" s="148">
        <v>0</v>
      </c>
      <c r="L173" s="148">
        <v>1</v>
      </c>
      <c r="M173" s="4">
        <f t="shared" si="7"/>
        <v>3</v>
      </c>
      <c r="N173" s="40" t="str">
        <f t="shared" si="8"/>
        <v>muy bien</v>
      </c>
      <c r="O173" s="215"/>
      <c r="P173" s="215"/>
      <c r="Q173" s="215"/>
      <c r="R173" s="215"/>
      <c r="S173" s="215"/>
      <c r="T173" s="215"/>
      <c r="U173" s="215"/>
      <c r="V173" s="215"/>
      <c r="W173" s="80"/>
      <c r="X173" s="80"/>
      <c r="Y173" s="80"/>
      <c r="Z173" s="80"/>
      <c r="AA173" s="80"/>
      <c r="AB173" s="80"/>
      <c r="AC173" s="80"/>
      <c r="AD173" s="80"/>
      <c r="AE173" s="80"/>
      <c r="AF173" s="80"/>
    </row>
    <row r="174" spans="1:32" ht="18.75">
      <c r="A174" s="19"/>
      <c r="B174" s="19"/>
      <c r="C174" s="153">
        <f>SUM(C166:C173)</f>
        <v>267</v>
      </c>
      <c r="D174" s="154">
        <f>SUM(D166:D173)</f>
        <v>80</v>
      </c>
      <c r="E174" s="155">
        <f>SUM(E166:E173)</f>
        <v>42</v>
      </c>
      <c r="F174" s="151">
        <f>SUM(F166:F173)</f>
        <v>1766</v>
      </c>
      <c r="G174" s="4"/>
      <c r="H174" s="4">
        <f>($H$166*129)+($H$167*64)+($H$168*60)+($H$169*24)+($H$170*68)+($H$171*121)+($H$172*45)+($H$173*40)</f>
        <v>454</v>
      </c>
      <c r="I174" s="4">
        <f>(I166*129)+(I167*64)+(I168*60)+(I169*24)+(I170*68)+(I171*121)+(I172*45)+(I173*40)</f>
        <v>152</v>
      </c>
      <c r="J174" s="4">
        <f>(J166*129)+(J167*64)+(J168*60)+(J169*24)+(J170*68)+(J171*121)+(J172*45)+(J173*40)</f>
        <v>578</v>
      </c>
      <c r="K174" s="4">
        <f>(K166*129)+(K167*64)+(K168*60)+(K169*24)+(K170*68)+(K171*121)+(K172*45)+(K173*40)</f>
        <v>152</v>
      </c>
      <c r="L174" s="4">
        <f>(L166*129)+(L167*64)+(L168*60)+(L169*24)+(L170*68)+(L171*121)+(L172*45)+(L173*40)</f>
        <v>430</v>
      </c>
      <c r="M174" s="24">
        <f t="shared" si="7"/>
        <v>1766</v>
      </c>
      <c r="O174" s="215"/>
      <c r="P174" s="215"/>
      <c r="Q174" s="215"/>
      <c r="R174" s="215"/>
      <c r="S174" s="215"/>
      <c r="T174" s="215"/>
      <c r="U174" s="215"/>
      <c r="V174" s="215"/>
      <c r="W174" s="80"/>
      <c r="X174" s="80"/>
      <c r="Y174" s="80"/>
      <c r="Z174" s="80"/>
      <c r="AA174" s="80"/>
      <c r="AB174" s="80"/>
      <c r="AC174" s="80"/>
      <c r="AD174" s="80"/>
      <c r="AE174" s="80"/>
      <c r="AF174" s="80"/>
    </row>
    <row r="175" spans="1:32" ht="18.75">
      <c r="A175" s="19"/>
      <c r="B175" s="19"/>
      <c r="C175" s="19"/>
      <c r="D175" s="19"/>
      <c r="E175" s="19"/>
      <c r="F175" s="19"/>
      <c r="G175" s="24" t="s">
        <v>52</v>
      </c>
      <c r="H175" s="4">
        <f>(H174*100)/F174</f>
        <v>25.707814269535675</v>
      </c>
      <c r="I175" s="4">
        <f>(I174*100)/F174</f>
        <v>8.6070215175537932</v>
      </c>
      <c r="J175" s="4">
        <f>(J174*100)/F174</f>
        <v>32.729331823329559</v>
      </c>
      <c r="K175" s="4">
        <f>(K174*100)/F174</f>
        <v>8.6070215175537932</v>
      </c>
      <c r="L175" s="4">
        <f>(L174*100)/F174</f>
        <v>24.34881087202718</v>
      </c>
      <c r="M175" s="24">
        <f t="shared" si="7"/>
        <v>100</v>
      </c>
      <c r="O175" s="215"/>
      <c r="P175" s="215"/>
      <c r="Q175" s="215"/>
      <c r="R175" s="215"/>
      <c r="S175" s="215"/>
      <c r="T175" s="215"/>
      <c r="U175" s="215"/>
      <c r="V175" s="215"/>
      <c r="W175" s="80"/>
      <c r="X175" s="80"/>
      <c r="Y175" s="80"/>
      <c r="Z175" s="80"/>
      <c r="AA175" s="80"/>
      <c r="AB175" s="80"/>
      <c r="AC175" s="80"/>
      <c r="AD175" s="80"/>
      <c r="AE175" s="80"/>
      <c r="AF175" s="80"/>
    </row>
    <row r="176" spans="1:32">
      <c r="A176" s="19"/>
      <c r="B176" s="25" t="s">
        <v>52</v>
      </c>
      <c r="C176" s="25" t="s">
        <v>43</v>
      </c>
      <c r="D176" s="25" t="s">
        <v>67</v>
      </c>
      <c r="E176" s="19"/>
      <c r="F176" s="19"/>
      <c r="G176" s="81"/>
      <c r="O176" s="215"/>
      <c r="P176" s="215"/>
      <c r="Q176" s="215"/>
      <c r="R176" s="215"/>
      <c r="S176" s="215"/>
      <c r="T176" s="215"/>
      <c r="U176" s="215"/>
      <c r="V176" s="215"/>
      <c r="W176" s="80"/>
      <c r="X176" s="80"/>
      <c r="Y176" s="80"/>
      <c r="Z176" s="80"/>
      <c r="AA176" s="80"/>
      <c r="AB176" s="80"/>
      <c r="AC176" s="80"/>
      <c r="AD176" s="80"/>
      <c r="AE176" s="80"/>
      <c r="AF176" s="80"/>
    </row>
    <row r="177" spans="1:32">
      <c r="A177" s="26" t="s">
        <v>55</v>
      </c>
      <c r="B177" s="123">
        <f>(C177*100)/F174</f>
        <v>60.475651189127973</v>
      </c>
      <c r="C177" s="19">
        <f>D177*4</f>
        <v>1068</v>
      </c>
      <c r="D177" s="156">
        <f>C174</f>
        <v>267</v>
      </c>
      <c r="E177" s="19"/>
      <c r="F177" s="19"/>
      <c r="O177" s="215"/>
      <c r="P177" s="215"/>
      <c r="Q177" s="215"/>
      <c r="R177" s="215"/>
      <c r="S177" s="215"/>
      <c r="T177" s="215"/>
      <c r="U177" s="215"/>
      <c r="V177" s="215"/>
      <c r="W177" s="80"/>
      <c r="X177" s="80"/>
      <c r="Y177" s="80"/>
      <c r="Z177" s="80"/>
      <c r="AA177" s="80"/>
      <c r="AB177" s="80"/>
      <c r="AC177" s="80"/>
      <c r="AD177" s="80"/>
      <c r="AE177" s="80"/>
      <c r="AF177" s="80"/>
    </row>
    <row r="178" spans="1:32">
      <c r="A178" s="27" t="s">
        <v>29</v>
      </c>
      <c r="B178" s="124">
        <f>(C178*100)/F174</f>
        <v>18.120045300113251</v>
      </c>
      <c r="C178" s="19">
        <f>D178*4</f>
        <v>320</v>
      </c>
      <c r="D178" s="156">
        <f>D174</f>
        <v>80</v>
      </c>
      <c r="E178" s="28" t="s">
        <v>68</v>
      </c>
      <c r="F178" s="28">
        <f>D166+D167</f>
        <v>46</v>
      </c>
      <c r="G178" s="477" t="s">
        <v>69</v>
      </c>
      <c r="H178" s="29">
        <f>(F178*100)/D174</f>
        <v>57.5</v>
      </c>
      <c r="I178" s="11" t="s">
        <v>52</v>
      </c>
      <c r="J178" s="138" t="s">
        <v>70</v>
      </c>
      <c r="K178" s="29">
        <f>D169+D170+D171</f>
        <v>34</v>
      </c>
      <c r="L178" s="11" t="s">
        <v>69</v>
      </c>
      <c r="M178" s="30">
        <f>(K178*100)/D174</f>
        <v>42.5</v>
      </c>
      <c r="N178" s="11" t="s">
        <v>52</v>
      </c>
      <c r="O178" s="215"/>
      <c r="P178" s="215"/>
      <c r="Q178" s="215"/>
      <c r="R178" s="215"/>
      <c r="S178" s="215"/>
      <c r="T178" s="215"/>
      <c r="U178" s="215"/>
      <c r="V178" s="215"/>
      <c r="W178" s="80"/>
      <c r="X178" s="80"/>
      <c r="Y178" s="80"/>
      <c r="Z178" s="80"/>
      <c r="AA178" s="80"/>
      <c r="AB178" s="80"/>
      <c r="AC178" s="80"/>
      <c r="AD178" s="80"/>
      <c r="AE178" s="80"/>
      <c r="AF178" s="80"/>
    </row>
    <row r="179" spans="1:32">
      <c r="A179" s="23" t="s">
        <v>56</v>
      </c>
      <c r="B179" s="125">
        <f>(C179*100)/F174</f>
        <v>21.404303510758776</v>
      </c>
      <c r="C179" s="19">
        <f>D179*9</f>
        <v>378</v>
      </c>
      <c r="D179" s="156">
        <f>E174</f>
        <v>42</v>
      </c>
      <c r="E179" s="19"/>
      <c r="F179" s="19"/>
      <c r="O179" s="215"/>
      <c r="P179" s="215"/>
      <c r="Q179" s="215"/>
      <c r="R179" s="215"/>
      <c r="S179" s="215"/>
      <c r="T179" s="215"/>
      <c r="U179" s="215"/>
      <c r="V179" s="215"/>
      <c r="W179" s="80"/>
      <c r="X179" s="80"/>
      <c r="Y179" s="80"/>
      <c r="Z179" s="80"/>
      <c r="AA179" s="80"/>
      <c r="AB179" s="80"/>
      <c r="AC179" s="80"/>
      <c r="AD179" s="80"/>
      <c r="AE179" s="80"/>
      <c r="AF179" s="80"/>
    </row>
    <row r="180" spans="1:32" ht="15.75" thickBot="1">
      <c r="A180" s="135"/>
      <c r="B180" s="135"/>
      <c r="C180" s="19"/>
      <c r="D180" s="72"/>
      <c r="E180" s="19"/>
      <c r="F180" s="19"/>
      <c r="O180" s="215"/>
      <c r="P180" s="215"/>
      <c r="Q180" s="215"/>
      <c r="R180" s="215"/>
      <c r="S180" s="215"/>
      <c r="T180" s="215"/>
      <c r="U180" s="215"/>
      <c r="V180" s="215"/>
      <c r="W180" s="80"/>
      <c r="X180" s="80"/>
      <c r="Y180" s="80"/>
      <c r="Z180" s="80"/>
      <c r="AA180" s="80"/>
      <c r="AB180" s="80"/>
      <c r="AC180" s="80"/>
      <c r="AD180" s="80"/>
      <c r="AE180" s="80"/>
      <c r="AF180" s="80"/>
    </row>
    <row r="181" spans="1:32" ht="16.5" thickBot="1">
      <c r="A181" s="1116" t="s">
        <v>399</v>
      </c>
      <c r="B181" s="1117"/>
      <c r="C181" s="1117"/>
      <c r="D181" s="137">
        <f>D174/D27</f>
        <v>2.359882005899705</v>
      </c>
      <c r="E181" s="136" t="s">
        <v>69</v>
      </c>
      <c r="F181" s="19"/>
      <c r="O181" s="215"/>
      <c r="P181" s="215"/>
      <c r="Q181" s="215"/>
      <c r="R181" s="215"/>
      <c r="S181" s="215"/>
      <c r="T181" s="215"/>
      <c r="U181" s="215"/>
      <c r="V181" s="215"/>
      <c r="W181" s="80"/>
      <c r="X181" s="80"/>
      <c r="Y181" s="80"/>
      <c r="Z181" s="80"/>
      <c r="AA181" s="80"/>
      <c r="AB181" s="80"/>
      <c r="AC181" s="80"/>
      <c r="AD181" s="80"/>
      <c r="AE181" s="80"/>
      <c r="AF181" s="80"/>
    </row>
    <row r="182" spans="1:32" ht="15.75">
      <c r="A182" s="794"/>
      <c r="B182" s="795"/>
      <c r="C182" s="795"/>
      <c r="D182" s="523"/>
      <c r="E182" s="136"/>
      <c r="F182" s="19"/>
      <c r="O182" s="215"/>
      <c r="P182" s="215"/>
      <c r="Q182" s="215"/>
      <c r="R182" s="215"/>
      <c r="S182" s="215"/>
      <c r="T182" s="215"/>
      <c r="U182" s="215"/>
      <c r="V182" s="215"/>
      <c r="W182" s="80"/>
      <c r="X182" s="80"/>
      <c r="Y182" s="80"/>
      <c r="Z182" s="80"/>
      <c r="AA182" s="80"/>
      <c r="AB182" s="80"/>
      <c r="AC182" s="80"/>
      <c r="AD182" s="80"/>
      <c r="AE182" s="80"/>
      <c r="AF182" s="80"/>
    </row>
    <row r="183" spans="1:32">
      <c r="A183" s="1047" t="s">
        <v>71</v>
      </c>
      <c r="B183" s="1047"/>
      <c r="C183" s="1047"/>
      <c r="D183" s="1047"/>
      <c r="E183" s="1047"/>
      <c r="F183" s="1047"/>
      <c r="G183" s="1047"/>
      <c r="H183" s="1047"/>
      <c r="I183" s="1047"/>
      <c r="J183" s="1047"/>
      <c r="K183" s="1047"/>
      <c r="L183" s="1047"/>
      <c r="M183" s="1047"/>
      <c r="N183" s="1047"/>
      <c r="O183" s="524"/>
      <c r="P183" s="215"/>
      <c r="Q183" s="215"/>
      <c r="R183" s="215"/>
      <c r="S183" s="215"/>
      <c r="T183" s="215"/>
      <c r="U183" s="215"/>
      <c r="V183" s="215"/>
      <c r="W183" s="80"/>
      <c r="X183" s="80"/>
      <c r="Y183" s="80"/>
      <c r="Z183" s="80"/>
      <c r="AA183" s="80"/>
      <c r="AB183" s="80"/>
      <c r="AC183" s="80"/>
      <c r="AD183" s="80"/>
      <c r="AE183" s="80"/>
      <c r="AF183" s="80"/>
    </row>
    <row r="184" spans="1:32">
      <c r="A184" s="1047" t="s">
        <v>0</v>
      </c>
      <c r="B184" s="1047"/>
      <c r="C184" s="1047"/>
      <c r="D184" s="1047"/>
      <c r="E184" s="1047"/>
      <c r="F184" s="1047"/>
      <c r="G184" s="1047"/>
      <c r="H184" s="1047"/>
      <c r="I184" s="1047"/>
      <c r="J184" s="1047"/>
      <c r="K184" s="1047"/>
      <c r="L184" s="1047"/>
      <c r="M184" s="1047"/>
      <c r="N184" s="1047"/>
      <c r="O184" s="524"/>
      <c r="P184" s="215"/>
      <c r="Q184" s="215"/>
      <c r="R184" s="215"/>
      <c r="S184" s="215"/>
      <c r="T184" s="215"/>
      <c r="U184" s="215"/>
      <c r="V184" s="215"/>
      <c r="W184" s="80"/>
      <c r="X184" s="80"/>
      <c r="Y184" s="80"/>
      <c r="Z184" s="80"/>
      <c r="AA184" s="80"/>
      <c r="AB184" s="80"/>
      <c r="AC184" s="80"/>
      <c r="AD184" s="80"/>
      <c r="AE184" s="80"/>
      <c r="AF184" s="80"/>
    </row>
    <row r="185" spans="1:32">
      <c r="A185" s="1047" t="s">
        <v>1</v>
      </c>
      <c r="B185" s="1047"/>
      <c r="C185" s="1047"/>
      <c r="D185" s="1047"/>
      <c r="E185" s="1047"/>
      <c r="F185" s="1047"/>
      <c r="G185" s="1047"/>
      <c r="H185" s="1047"/>
      <c r="I185" s="1047"/>
      <c r="J185" s="1047"/>
      <c r="K185" s="1047"/>
      <c r="L185" s="1047"/>
      <c r="M185" s="1047"/>
      <c r="N185" s="1047"/>
      <c r="O185" s="524"/>
      <c r="P185" s="215"/>
      <c r="Q185" s="215"/>
      <c r="R185" s="215"/>
      <c r="S185" s="215"/>
      <c r="T185" s="215"/>
      <c r="U185" s="215"/>
      <c r="V185" s="215"/>
      <c r="W185" s="80"/>
      <c r="X185" s="80"/>
      <c r="Y185" s="80"/>
      <c r="Z185" s="80"/>
      <c r="AA185" s="80"/>
      <c r="AB185" s="80"/>
      <c r="AC185" s="80"/>
      <c r="AD185" s="80"/>
      <c r="AE185" s="80"/>
      <c r="AF185" s="80"/>
    </row>
    <row r="186" spans="1:32" ht="15.75">
      <c r="A186" s="172" t="s">
        <v>2</v>
      </c>
      <c r="B186" s="1088" t="str">
        <f>B4</f>
        <v>CUAHUIZO ACA SANTOS JHOVANY</v>
      </c>
      <c r="C186" s="1088"/>
      <c r="D186" s="1088"/>
      <c r="E186" s="1088"/>
      <c r="F186" s="1088"/>
      <c r="G186" s="1088"/>
      <c r="H186" s="173" t="s">
        <v>4</v>
      </c>
      <c r="I186" s="174">
        <f>D11</f>
        <v>10</v>
      </c>
      <c r="J186" s="175" t="s">
        <v>72</v>
      </c>
      <c r="K186" s="176"/>
      <c r="L186" s="177" t="s">
        <v>291</v>
      </c>
      <c r="M186" s="1223" t="str">
        <f>M4</f>
        <v>6290 67 6404</v>
      </c>
      <c r="N186" s="1223"/>
      <c r="O186" s="524"/>
      <c r="P186" s="215"/>
      <c r="Q186" s="215"/>
      <c r="R186" s="215"/>
      <c r="S186" s="215"/>
      <c r="T186" s="215"/>
      <c r="U186" s="215"/>
      <c r="V186" s="215"/>
      <c r="W186" s="80"/>
      <c r="X186" s="80"/>
      <c r="Y186" s="80"/>
      <c r="Z186" s="80"/>
      <c r="AA186" s="80"/>
      <c r="AB186" s="80"/>
      <c r="AC186" s="80"/>
      <c r="AD186" s="80"/>
      <c r="AE186" s="80"/>
      <c r="AF186" s="80"/>
    </row>
    <row r="187" spans="1:32">
      <c r="A187" s="172" t="s">
        <v>3</v>
      </c>
      <c r="B187" s="1089">
        <f>B5</f>
        <v>41501</v>
      </c>
      <c r="C187" s="1090"/>
      <c r="D187" s="791"/>
      <c r="E187" s="791" t="s">
        <v>4</v>
      </c>
      <c r="F187" s="178">
        <f>D11</f>
        <v>10</v>
      </c>
      <c r="G187" s="791" t="s">
        <v>72</v>
      </c>
      <c r="H187" s="179"/>
      <c r="I187" s="180" t="s">
        <v>73</v>
      </c>
      <c r="J187" s="175" t="s">
        <v>208</v>
      </c>
      <c r="K187" s="1229" t="s">
        <v>74</v>
      </c>
      <c r="L187" s="1229"/>
      <c r="M187" s="181">
        <f>D12</f>
        <v>52</v>
      </c>
      <c r="N187" s="182" t="s">
        <v>75</v>
      </c>
      <c r="O187" s="524"/>
      <c r="P187" s="215"/>
      <c r="Q187" s="215"/>
      <c r="R187" s="215"/>
      <c r="S187" s="215"/>
      <c r="T187" s="215"/>
      <c r="U187" s="215"/>
      <c r="V187" s="215"/>
      <c r="W187" s="80"/>
      <c r="X187" s="80"/>
      <c r="Y187" s="80"/>
      <c r="Z187" s="80"/>
      <c r="AA187" s="80"/>
      <c r="AB187" s="80"/>
      <c r="AC187" s="80"/>
      <c r="AD187" s="80"/>
      <c r="AE187" s="80"/>
      <c r="AF187" s="80"/>
    </row>
    <row r="188" spans="1:32">
      <c r="A188" s="1110" t="s">
        <v>76</v>
      </c>
      <c r="B188" s="1110"/>
      <c r="C188" s="270">
        <f>D13</f>
        <v>144</v>
      </c>
      <c r="D188" s="175" t="s">
        <v>432</v>
      </c>
      <c r="E188" s="1111" t="s">
        <v>433</v>
      </c>
      <c r="F188" s="1111"/>
      <c r="G188" s="180">
        <f>D27</f>
        <v>33.9</v>
      </c>
      <c r="H188" s="175" t="s">
        <v>75</v>
      </c>
      <c r="I188" s="1111" t="s">
        <v>13</v>
      </c>
      <c r="J188" s="1111"/>
      <c r="K188" s="183">
        <f>D14</f>
        <v>25.077160493827158</v>
      </c>
      <c r="L188" s="811" t="s">
        <v>434</v>
      </c>
      <c r="M188" s="811"/>
      <c r="N188" s="271">
        <f>D28</f>
        <v>141.30000000000001</v>
      </c>
      <c r="O188" s="524"/>
      <c r="P188" s="215"/>
      <c r="Q188" s="215"/>
      <c r="R188" s="215"/>
      <c r="S188" s="215"/>
      <c r="T188" s="215"/>
      <c r="U188" s="215"/>
      <c r="V188" s="215"/>
      <c r="W188" s="80"/>
      <c r="X188" s="80"/>
      <c r="Y188" s="80"/>
      <c r="Z188" s="80"/>
      <c r="AA188" s="80"/>
      <c r="AB188" s="80"/>
      <c r="AC188" s="80"/>
      <c r="AD188" s="80"/>
      <c r="AE188" s="80"/>
      <c r="AF188" s="80"/>
    </row>
    <row r="189" spans="1:32">
      <c r="A189" s="1230" t="s">
        <v>78</v>
      </c>
      <c r="B189" s="1230"/>
      <c r="C189" s="1114"/>
      <c r="D189" s="1114"/>
      <c r="E189" s="1114"/>
      <c r="F189" s="1114"/>
      <c r="G189" s="1114"/>
      <c r="H189" s="1114"/>
      <c r="I189" s="1115" t="s">
        <v>79</v>
      </c>
      <c r="J189" s="1115"/>
      <c r="K189" s="1115"/>
      <c r="L189" s="180">
        <f>M174</f>
        <v>1766</v>
      </c>
      <c r="M189" s="179" t="s">
        <v>80</v>
      </c>
      <c r="N189" s="184"/>
      <c r="O189" s="524"/>
      <c r="P189" s="215"/>
      <c r="Q189" s="215"/>
      <c r="R189" s="215"/>
      <c r="S189" s="215"/>
      <c r="T189" s="215"/>
      <c r="U189" s="215"/>
      <c r="V189" s="215"/>
      <c r="W189" s="80"/>
      <c r="X189" s="80"/>
      <c r="Y189" s="80"/>
      <c r="Z189" s="80"/>
      <c r="AA189" s="80"/>
      <c r="AB189" s="80"/>
      <c r="AC189" s="80"/>
      <c r="AD189" s="80"/>
      <c r="AE189" s="80"/>
      <c r="AF189" s="80"/>
    </row>
    <row r="190" spans="1:32">
      <c r="A190" s="175"/>
      <c r="B190" s="175"/>
      <c r="C190" s="175">
        <v>1</v>
      </c>
      <c r="D190" s="175"/>
      <c r="E190" s="175"/>
      <c r="F190" s="175"/>
      <c r="G190" s="175"/>
      <c r="H190" s="175"/>
      <c r="I190" s="175"/>
      <c r="J190" s="175"/>
      <c r="K190" s="175"/>
      <c r="L190" s="175"/>
      <c r="M190" s="175"/>
      <c r="N190" s="175"/>
      <c r="O190" s="524"/>
      <c r="P190" s="215"/>
      <c r="Q190" s="215"/>
      <c r="R190" s="215"/>
      <c r="S190" s="215"/>
      <c r="T190" s="215"/>
      <c r="U190" s="215"/>
      <c r="V190" s="215"/>
      <c r="W190" s="80"/>
      <c r="X190" s="80"/>
      <c r="Y190" s="80"/>
      <c r="Z190" s="80"/>
      <c r="AA190" s="80"/>
      <c r="AB190" s="80"/>
      <c r="AC190" s="80"/>
      <c r="AD190" s="80"/>
      <c r="AE190" s="80"/>
      <c r="AF190" s="80"/>
    </row>
    <row r="191" spans="1:32">
      <c r="A191" s="1108" t="s">
        <v>81</v>
      </c>
      <c r="B191" s="1108"/>
      <c r="C191" s="1108" t="s">
        <v>82</v>
      </c>
      <c r="D191" s="1108"/>
      <c r="E191" s="1108" t="s">
        <v>83</v>
      </c>
      <c r="F191" s="1108"/>
      <c r="G191" s="1108" t="s">
        <v>84</v>
      </c>
      <c r="H191" s="1108"/>
      <c r="I191" s="1108" t="s">
        <v>85</v>
      </c>
      <c r="J191" s="1108"/>
      <c r="K191" s="1108"/>
      <c r="L191" s="1108" t="s">
        <v>86</v>
      </c>
      <c r="M191" s="1108"/>
      <c r="N191" s="175"/>
      <c r="O191" s="524"/>
      <c r="P191" s="215"/>
      <c r="Q191" s="215"/>
      <c r="R191" s="215"/>
      <c r="S191" s="215"/>
      <c r="T191" s="215"/>
      <c r="U191" s="215"/>
      <c r="V191" s="215"/>
      <c r="W191" s="80"/>
      <c r="X191" s="80"/>
      <c r="Y191" s="80"/>
      <c r="Z191" s="80"/>
      <c r="AA191" s="80"/>
      <c r="AB191" s="80"/>
      <c r="AC191" s="80"/>
      <c r="AD191" s="80"/>
      <c r="AE191" s="80"/>
      <c r="AF191" s="80"/>
    </row>
    <row r="192" spans="1:32">
      <c r="A192" s="1105" t="s">
        <v>87</v>
      </c>
      <c r="B192" s="1105"/>
      <c r="C192" s="185">
        <f t="shared" ref="C192:C199" si="9">H166</f>
        <v>1</v>
      </c>
      <c r="D192" s="186" t="s">
        <v>59</v>
      </c>
      <c r="E192" s="185">
        <f t="shared" ref="E192:E199" si="10">I166</f>
        <v>0</v>
      </c>
      <c r="F192" s="187" t="s">
        <v>59</v>
      </c>
      <c r="G192" s="185">
        <f t="shared" ref="G192:G199" si="11">J166</f>
        <v>0</v>
      </c>
      <c r="H192" s="187" t="s">
        <v>59</v>
      </c>
      <c r="I192" s="185">
        <f t="shared" ref="I192:I199" si="12">K166</f>
        <v>0</v>
      </c>
      <c r="J192" s="1107" t="s">
        <v>59</v>
      </c>
      <c r="K192" s="1107"/>
      <c r="L192" s="185">
        <f t="shared" ref="L192:L199" si="13">L166</f>
        <v>1</v>
      </c>
      <c r="M192" s="187" t="s">
        <v>59</v>
      </c>
      <c r="N192" s="175"/>
      <c r="O192" s="524"/>
      <c r="P192" s="215"/>
      <c r="Q192" s="215"/>
      <c r="R192" s="215"/>
      <c r="S192" s="215"/>
      <c r="T192" s="215"/>
      <c r="U192" s="215"/>
      <c r="V192" s="215"/>
      <c r="W192" s="80"/>
      <c r="X192" s="80"/>
      <c r="Y192" s="80"/>
      <c r="Z192" s="80"/>
      <c r="AA192" s="80"/>
      <c r="AB192" s="80"/>
      <c r="AC192" s="80"/>
      <c r="AD192" s="80"/>
      <c r="AE192" s="80"/>
      <c r="AF192" s="80"/>
    </row>
    <row r="193" spans="1:32">
      <c r="A193" s="1105" t="s">
        <v>88</v>
      </c>
      <c r="B193" s="1105"/>
      <c r="C193" s="185">
        <f t="shared" si="9"/>
        <v>1</v>
      </c>
      <c r="D193" s="186" t="s">
        <v>59</v>
      </c>
      <c r="E193" s="185">
        <f t="shared" si="10"/>
        <v>0</v>
      </c>
      <c r="F193" s="187" t="s">
        <v>59</v>
      </c>
      <c r="G193" s="185">
        <f t="shared" si="11"/>
        <v>2</v>
      </c>
      <c r="H193" s="187" t="s">
        <v>59</v>
      </c>
      <c r="I193" s="185">
        <f t="shared" si="12"/>
        <v>0</v>
      </c>
      <c r="J193" s="1107" t="s">
        <v>59</v>
      </c>
      <c r="K193" s="1107"/>
      <c r="L193" s="185">
        <f t="shared" si="13"/>
        <v>1</v>
      </c>
      <c r="M193" s="187" t="s">
        <v>59</v>
      </c>
      <c r="N193" s="175"/>
      <c r="O193" s="524"/>
      <c r="P193" s="215"/>
      <c r="Q193" s="215"/>
      <c r="R193" s="215"/>
      <c r="S193" s="215"/>
      <c r="T193" s="215"/>
      <c r="U193" s="215"/>
      <c r="V193" s="215"/>
      <c r="W193" s="80"/>
      <c r="X193" s="80"/>
      <c r="Y193" s="80"/>
      <c r="Z193" s="80"/>
      <c r="AA193" s="80"/>
      <c r="AB193" s="80"/>
      <c r="AC193" s="80"/>
      <c r="AD193" s="80"/>
      <c r="AE193" s="80"/>
      <c r="AF193" s="80"/>
    </row>
    <row r="194" spans="1:32">
      <c r="A194" s="1105" t="s">
        <v>89</v>
      </c>
      <c r="B194" s="1105"/>
      <c r="C194" s="185">
        <f t="shared" si="9"/>
        <v>1</v>
      </c>
      <c r="D194" s="186" t="s">
        <v>59</v>
      </c>
      <c r="E194" s="185">
        <f t="shared" si="10"/>
        <v>1</v>
      </c>
      <c r="F194" s="187" t="s">
        <v>59</v>
      </c>
      <c r="G194" s="185">
        <f t="shared" si="11"/>
        <v>1</v>
      </c>
      <c r="H194" s="187" t="s">
        <v>59</v>
      </c>
      <c r="I194" s="185">
        <f t="shared" si="12"/>
        <v>1</v>
      </c>
      <c r="J194" s="1107" t="s">
        <v>59</v>
      </c>
      <c r="K194" s="1107"/>
      <c r="L194" s="185">
        <f t="shared" si="13"/>
        <v>1</v>
      </c>
      <c r="M194" s="187" t="s">
        <v>59</v>
      </c>
      <c r="N194" s="175"/>
      <c r="O194" s="524"/>
      <c r="P194" s="215"/>
      <c r="Q194" s="215"/>
      <c r="R194" s="215"/>
      <c r="S194" s="215"/>
      <c r="T194" s="215"/>
      <c r="U194" s="215"/>
      <c r="V194" s="215"/>
      <c r="W194" s="80"/>
      <c r="X194" s="80"/>
      <c r="Y194" s="80"/>
      <c r="Z194" s="80"/>
      <c r="AA194" s="80"/>
      <c r="AB194" s="80"/>
      <c r="AC194" s="80"/>
      <c r="AD194" s="80"/>
      <c r="AE194" s="80"/>
      <c r="AF194" s="80"/>
    </row>
    <row r="195" spans="1:32">
      <c r="A195" s="792" t="s">
        <v>90</v>
      </c>
      <c r="B195" s="792"/>
      <c r="C195" s="185">
        <f t="shared" si="9"/>
        <v>2</v>
      </c>
      <c r="D195" s="186" t="s">
        <v>59</v>
      </c>
      <c r="E195" s="185">
        <f t="shared" si="10"/>
        <v>1</v>
      </c>
      <c r="F195" s="187" t="s">
        <v>59</v>
      </c>
      <c r="G195" s="185">
        <f t="shared" si="11"/>
        <v>2</v>
      </c>
      <c r="H195" s="187" t="s">
        <v>59</v>
      </c>
      <c r="I195" s="185">
        <f t="shared" si="12"/>
        <v>1</v>
      </c>
      <c r="J195" s="1107" t="s">
        <v>59</v>
      </c>
      <c r="K195" s="1107"/>
      <c r="L195" s="185">
        <f t="shared" si="13"/>
        <v>1</v>
      </c>
      <c r="M195" s="187" t="s">
        <v>59</v>
      </c>
      <c r="N195" s="175"/>
      <c r="O195" s="525" t="s">
        <v>100</v>
      </c>
      <c r="P195" s="215"/>
      <c r="Q195" s="215"/>
      <c r="R195" s="215"/>
      <c r="S195" s="215"/>
      <c r="T195" s="215"/>
      <c r="U195" s="215"/>
      <c r="V195" s="215"/>
      <c r="W195" s="80"/>
      <c r="X195" s="80"/>
      <c r="Y195" s="80"/>
      <c r="Z195" s="80"/>
      <c r="AA195" s="80"/>
      <c r="AB195" s="80"/>
      <c r="AC195" s="80"/>
      <c r="AD195" s="80"/>
      <c r="AE195" s="80"/>
      <c r="AF195" s="80"/>
    </row>
    <row r="196" spans="1:32">
      <c r="A196" s="1105" t="s">
        <v>91</v>
      </c>
      <c r="B196" s="1105"/>
      <c r="C196" s="185">
        <f t="shared" si="9"/>
        <v>1</v>
      </c>
      <c r="D196" s="186" t="s">
        <v>59</v>
      </c>
      <c r="E196" s="185">
        <f t="shared" si="10"/>
        <v>1</v>
      </c>
      <c r="F196" s="187" t="s">
        <v>59</v>
      </c>
      <c r="G196" s="185">
        <f t="shared" si="11"/>
        <v>2</v>
      </c>
      <c r="H196" s="187" t="s">
        <v>59</v>
      </c>
      <c r="I196" s="185">
        <f t="shared" si="12"/>
        <v>1</v>
      </c>
      <c r="J196" s="1107" t="s">
        <v>59</v>
      </c>
      <c r="K196" s="1107"/>
      <c r="L196" s="185">
        <f t="shared" si="13"/>
        <v>1</v>
      </c>
      <c r="M196" s="187" t="s">
        <v>59</v>
      </c>
      <c r="N196" s="175"/>
      <c r="O196" s="524"/>
      <c r="P196" s="215"/>
      <c r="Q196" s="215"/>
      <c r="R196" s="215"/>
      <c r="S196" s="215"/>
      <c r="T196" s="215"/>
      <c r="U196" s="215"/>
      <c r="V196" s="215"/>
      <c r="W196" s="80"/>
      <c r="X196" s="80"/>
      <c r="Y196" s="80"/>
      <c r="Z196" s="80"/>
      <c r="AA196" s="80"/>
      <c r="AB196" s="80"/>
      <c r="AC196" s="80"/>
      <c r="AD196" s="80"/>
      <c r="AE196" s="80"/>
      <c r="AF196" s="80"/>
    </row>
    <row r="197" spans="1:32">
      <c r="A197" s="1105" t="s">
        <v>92</v>
      </c>
      <c r="B197" s="1105"/>
      <c r="C197" s="185">
        <f t="shared" si="9"/>
        <v>0</v>
      </c>
      <c r="D197" s="186" t="s">
        <v>59</v>
      </c>
      <c r="E197" s="185">
        <f t="shared" si="10"/>
        <v>0</v>
      </c>
      <c r="F197" s="187" t="s">
        <v>59</v>
      </c>
      <c r="G197" s="185">
        <f t="shared" si="11"/>
        <v>1</v>
      </c>
      <c r="H197" s="187" t="s">
        <v>59</v>
      </c>
      <c r="I197" s="185">
        <f t="shared" si="12"/>
        <v>0</v>
      </c>
      <c r="J197" s="1107" t="s">
        <v>59</v>
      </c>
      <c r="K197" s="1107"/>
      <c r="L197" s="185">
        <f t="shared" si="13"/>
        <v>0</v>
      </c>
      <c r="M197" s="187" t="s">
        <v>59</v>
      </c>
      <c r="N197" s="175"/>
      <c r="O197" s="524"/>
      <c r="P197" s="216"/>
      <c r="Q197" s="215"/>
      <c r="R197" s="215"/>
      <c r="S197" s="215"/>
      <c r="T197" s="215"/>
      <c r="U197" s="215"/>
      <c r="V197" s="215"/>
      <c r="W197" s="80"/>
      <c r="X197" s="80"/>
      <c r="Y197" s="80"/>
      <c r="Z197" s="80"/>
      <c r="AA197" s="80"/>
      <c r="AB197" s="80"/>
      <c r="AC197" s="80"/>
      <c r="AD197" s="80"/>
      <c r="AE197" s="80"/>
      <c r="AF197" s="80"/>
    </row>
    <row r="198" spans="1:32">
      <c r="A198" s="1105" t="s">
        <v>93</v>
      </c>
      <c r="B198" s="1105"/>
      <c r="C198" s="185">
        <f t="shared" si="9"/>
        <v>1</v>
      </c>
      <c r="D198" s="186" t="s">
        <v>59</v>
      </c>
      <c r="E198" s="188">
        <f t="shared" si="10"/>
        <v>0</v>
      </c>
      <c r="F198" s="189" t="s">
        <v>59</v>
      </c>
      <c r="G198" s="185">
        <f t="shared" si="11"/>
        <v>1</v>
      </c>
      <c r="H198" s="187" t="s">
        <v>59</v>
      </c>
      <c r="I198" s="185">
        <f t="shared" si="12"/>
        <v>0</v>
      </c>
      <c r="J198" s="1107" t="s">
        <v>59</v>
      </c>
      <c r="K198" s="1107"/>
      <c r="L198" s="185">
        <f t="shared" si="13"/>
        <v>1</v>
      </c>
      <c r="M198" s="187" t="s">
        <v>59</v>
      </c>
      <c r="N198" s="175"/>
      <c r="O198" s="524"/>
      <c r="P198" s="215"/>
      <c r="Q198" s="215"/>
      <c r="R198" s="215"/>
      <c r="S198" s="215"/>
      <c r="T198" s="215"/>
      <c r="U198" s="215"/>
      <c r="V198" s="215"/>
      <c r="W198" s="80"/>
      <c r="X198" s="80"/>
      <c r="Y198" s="80"/>
      <c r="Z198" s="80"/>
      <c r="AA198" s="80"/>
      <c r="AB198" s="80"/>
      <c r="AC198" s="80"/>
      <c r="AD198" s="80"/>
      <c r="AE198" s="80"/>
      <c r="AF198" s="80"/>
    </row>
    <row r="199" spans="1:32">
      <c r="A199" s="1105" t="s">
        <v>94</v>
      </c>
      <c r="B199" s="1105"/>
      <c r="C199" s="190">
        <f t="shared" si="9"/>
        <v>1</v>
      </c>
      <c r="D199" s="191" t="s">
        <v>59</v>
      </c>
      <c r="E199" s="185">
        <f t="shared" si="10"/>
        <v>0</v>
      </c>
      <c r="F199" s="187" t="s">
        <v>59</v>
      </c>
      <c r="G199" s="190">
        <f t="shared" si="11"/>
        <v>1</v>
      </c>
      <c r="H199" s="192" t="s">
        <v>59</v>
      </c>
      <c r="I199" s="190">
        <f t="shared" si="12"/>
        <v>0</v>
      </c>
      <c r="J199" s="1106" t="s">
        <v>59</v>
      </c>
      <c r="K199" s="1106"/>
      <c r="L199" s="190">
        <f t="shared" si="13"/>
        <v>1</v>
      </c>
      <c r="M199" s="192" t="s">
        <v>59</v>
      </c>
      <c r="N199" s="175"/>
      <c r="O199" s="524"/>
      <c r="P199" s="215"/>
      <c r="Q199" s="215"/>
      <c r="R199" s="215"/>
      <c r="S199" s="215"/>
      <c r="T199" s="215"/>
      <c r="U199" s="215"/>
      <c r="V199" s="215"/>
      <c r="W199" s="80"/>
      <c r="X199" s="80"/>
      <c r="Y199" s="80"/>
      <c r="Z199" s="80"/>
      <c r="AA199" s="80"/>
      <c r="AB199" s="80"/>
      <c r="AC199" s="80"/>
      <c r="AD199" s="80"/>
      <c r="AE199" s="80"/>
      <c r="AF199" s="80"/>
    </row>
    <row r="200" spans="1:32">
      <c r="A200" s="193" t="s">
        <v>95</v>
      </c>
      <c r="B200" s="175"/>
      <c r="C200" s="175"/>
      <c r="D200" s="175"/>
      <c r="E200" s="175"/>
      <c r="F200" s="175"/>
      <c r="G200" s="194" t="s">
        <v>97</v>
      </c>
      <c r="H200" s="194"/>
      <c r="I200" s="194"/>
      <c r="J200" s="194"/>
      <c r="K200" s="194"/>
      <c r="L200" s="194"/>
      <c r="M200" s="175"/>
      <c r="N200" s="175"/>
      <c r="O200" s="524"/>
      <c r="P200" s="215"/>
      <c r="Q200" s="215"/>
      <c r="R200" s="215"/>
      <c r="S200" s="215"/>
      <c r="T200" s="215"/>
      <c r="U200" s="215"/>
      <c r="V200" s="215"/>
      <c r="W200" s="80"/>
      <c r="X200" s="80"/>
      <c r="Y200" s="80"/>
      <c r="Z200" s="80"/>
      <c r="AA200" s="80"/>
      <c r="AB200" s="80"/>
      <c r="AC200" s="80"/>
      <c r="AD200" s="80"/>
      <c r="AE200" s="80"/>
      <c r="AF200" s="80"/>
    </row>
    <row r="201" spans="1:32">
      <c r="A201" s="175" t="s">
        <v>446</v>
      </c>
      <c r="B201" s="175"/>
      <c r="C201" s="175"/>
      <c r="D201" s="175"/>
      <c r="E201" s="175" t="s">
        <v>447</v>
      </c>
      <c r="F201" s="175"/>
      <c r="G201" s="175"/>
      <c r="H201" s="809"/>
      <c r="I201" s="1215" t="s">
        <v>254</v>
      </c>
      <c r="J201" s="1215"/>
      <c r="K201" s="809"/>
      <c r="L201" s="175"/>
      <c r="M201" s="808" t="s">
        <v>255</v>
      </c>
      <c r="N201" s="175"/>
      <c r="O201" s="524"/>
      <c r="P201" s="215"/>
      <c r="Q201" s="215"/>
      <c r="R201" s="215"/>
      <c r="S201" s="215"/>
      <c r="T201" s="215"/>
      <c r="U201" s="215"/>
      <c r="V201" s="215"/>
      <c r="W201" s="80"/>
      <c r="X201" s="80"/>
      <c r="Y201" s="80"/>
      <c r="Z201" s="80"/>
      <c r="AA201" s="80"/>
      <c r="AB201" s="80"/>
      <c r="AC201" s="80"/>
      <c r="AD201" s="80"/>
      <c r="AE201" s="80"/>
      <c r="AF201" s="80"/>
    </row>
    <row r="202" spans="1:32">
      <c r="A202" s="175" t="s">
        <v>98</v>
      </c>
      <c r="B202" s="175"/>
      <c r="C202" s="175"/>
      <c r="D202" s="175"/>
      <c r="E202" s="175" t="s">
        <v>241</v>
      </c>
      <c r="F202" s="175"/>
      <c r="G202" s="175"/>
      <c r="H202" s="807"/>
      <c r="I202" s="807" t="s">
        <v>256</v>
      </c>
      <c r="J202" s="807"/>
      <c r="K202" s="807"/>
      <c r="L202" s="175"/>
      <c r="M202" s="808" t="s">
        <v>257</v>
      </c>
      <c r="N202" s="184"/>
      <c r="O202" s="524"/>
      <c r="P202" s="215"/>
      <c r="Q202" s="215"/>
      <c r="R202" s="215"/>
      <c r="S202" s="215"/>
      <c r="T202" s="215"/>
      <c r="U202" s="215"/>
      <c r="V202" s="215"/>
      <c r="W202" s="80"/>
      <c r="X202" s="80"/>
      <c r="Y202" s="80"/>
      <c r="Z202" s="80"/>
      <c r="AA202" s="80"/>
      <c r="AB202" s="80"/>
      <c r="AC202" s="80"/>
      <c r="AD202" s="80"/>
      <c r="AE202" s="80"/>
      <c r="AF202" s="80"/>
    </row>
    <row r="203" spans="1:32">
      <c r="A203" s="175" t="s">
        <v>99</v>
      </c>
      <c r="B203" s="175"/>
      <c r="C203" s="175"/>
      <c r="D203" s="175"/>
      <c r="E203" s="807" t="s">
        <v>242</v>
      </c>
      <c r="F203" s="175"/>
      <c r="G203" s="809"/>
      <c r="H203" s="807"/>
      <c r="I203" s="807" t="s">
        <v>258</v>
      </c>
      <c r="J203" s="807"/>
      <c r="K203" s="807"/>
      <c r="L203" s="809"/>
      <c r="M203" s="808" t="s">
        <v>259</v>
      </c>
      <c r="N203" s="179"/>
      <c r="O203" s="524"/>
      <c r="P203" s="215"/>
      <c r="Q203" s="215"/>
      <c r="R203" s="215"/>
      <c r="S203" s="215"/>
      <c r="T203" s="215"/>
      <c r="U203" s="215"/>
      <c r="V203" s="215"/>
      <c r="W203" s="80"/>
      <c r="X203" s="80"/>
      <c r="Y203" s="80"/>
      <c r="Z203" s="80"/>
      <c r="AA203" s="80"/>
      <c r="AB203" s="80"/>
      <c r="AC203" s="80"/>
      <c r="AD203" s="80"/>
      <c r="AE203" s="80"/>
      <c r="AF203" s="80"/>
    </row>
    <row r="204" spans="1:32">
      <c r="A204" s="175"/>
      <c r="B204" s="175"/>
      <c r="C204" s="175"/>
      <c r="D204" s="175"/>
      <c r="E204" s="175"/>
      <c r="F204" s="175"/>
      <c r="G204" s="809"/>
      <c r="H204" s="807"/>
      <c r="I204" s="807" t="s">
        <v>260</v>
      </c>
      <c r="J204" s="807"/>
      <c r="K204" s="807"/>
      <c r="L204" s="809"/>
      <c r="M204" s="808" t="s">
        <v>259</v>
      </c>
      <c r="N204" s="179"/>
      <c r="O204" s="524"/>
      <c r="P204" s="215"/>
      <c r="Q204" s="215"/>
      <c r="R204" s="215"/>
      <c r="S204" s="215"/>
      <c r="T204" s="215"/>
      <c r="U204" s="215"/>
      <c r="V204" s="215"/>
      <c r="W204" s="80"/>
      <c r="X204" s="80"/>
      <c r="Y204" s="80"/>
      <c r="Z204" s="80"/>
      <c r="AA204" s="80"/>
      <c r="AB204" s="80"/>
      <c r="AC204" s="80"/>
      <c r="AD204" s="80"/>
      <c r="AE204" s="80"/>
      <c r="AF204" s="80"/>
    </row>
    <row r="205" spans="1:32">
      <c r="A205" s="193" t="s">
        <v>101</v>
      </c>
      <c r="B205" s="175"/>
      <c r="C205" s="175"/>
      <c r="D205" s="195"/>
      <c r="E205" s="195"/>
      <c r="F205" s="195"/>
      <c r="G205" s="196"/>
      <c r="H205" s="807"/>
      <c r="I205" s="807" t="s">
        <v>261</v>
      </c>
      <c r="J205" s="807"/>
      <c r="K205" s="807"/>
      <c r="L205" s="196"/>
      <c r="M205" s="197" t="s">
        <v>241</v>
      </c>
      <c r="N205" s="175"/>
      <c r="O205" s="524"/>
      <c r="P205" s="215"/>
      <c r="Q205" s="215"/>
      <c r="R205" s="215"/>
      <c r="S205" s="215"/>
      <c r="T205" s="215"/>
      <c r="U205" s="215"/>
      <c r="V205" s="215"/>
      <c r="W205" s="80"/>
      <c r="X205" s="80"/>
      <c r="Y205" s="80"/>
      <c r="Z205" s="80"/>
      <c r="AA205" s="80"/>
      <c r="AB205" s="80"/>
      <c r="AC205" s="80"/>
      <c r="AD205" s="80"/>
      <c r="AE205" s="80"/>
      <c r="AF205" s="80"/>
    </row>
    <row r="206" spans="1:32">
      <c r="A206" s="1217" t="s">
        <v>243</v>
      </c>
      <c r="B206" s="1217"/>
      <c r="C206" s="175"/>
      <c r="D206" s="195">
        <v>2</v>
      </c>
      <c r="E206" s="195" t="s">
        <v>238</v>
      </c>
      <c r="F206" s="198"/>
      <c r="G206" s="809"/>
      <c r="H206" s="807"/>
      <c r="I206" s="807" t="s">
        <v>262</v>
      </c>
      <c r="J206" s="807"/>
      <c r="K206" s="807"/>
      <c r="L206" s="809"/>
      <c r="M206" s="808" t="s">
        <v>263</v>
      </c>
      <c r="N206" s="793"/>
      <c r="O206" s="524"/>
      <c r="P206" s="215"/>
      <c r="Q206" s="215"/>
      <c r="R206" s="215"/>
      <c r="S206" s="215"/>
      <c r="T206" s="215"/>
      <c r="U206" s="215"/>
      <c r="V206" s="215"/>
      <c r="W206" s="80"/>
      <c r="X206" s="80"/>
      <c r="Y206" s="80"/>
      <c r="Z206" s="80"/>
      <c r="AA206" s="80"/>
      <c r="AB206" s="80"/>
      <c r="AC206" s="80"/>
      <c r="AD206" s="80"/>
      <c r="AE206" s="80"/>
      <c r="AF206" s="80"/>
    </row>
    <row r="207" spans="1:32">
      <c r="A207" s="1217" t="s">
        <v>244</v>
      </c>
      <c r="B207" s="1217"/>
      <c r="C207" s="175"/>
      <c r="D207" s="195">
        <v>30</v>
      </c>
      <c r="E207" s="195" t="s">
        <v>235</v>
      </c>
      <c r="F207" s="808"/>
      <c r="G207" s="809"/>
      <c r="H207" s="807"/>
      <c r="I207" s="807" t="s">
        <v>264</v>
      </c>
      <c r="J207" s="807"/>
      <c r="K207" s="807"/>
      <c r="L207" s="809"/>
      <c r="M207" s="808" t="s">
        <v>255</v>
      </c>
      <c r="N207" s="184"/>
      <c r="O207" s="524"/>
      <c r="P207" s="215"/>
      <c r="Q207" s="215"/>
      <c r="R207" s="215"/>
      <c r="S207" s="215"/>
      <c r="T207" s="215"/>
      <c r="U207" s="215"/>
      <c r="V207" s="215"/>
      <c r="W207" s="80"/>
      <c r="X207" s="80"/>
      <c r="Y207" s="80"/>
      <c r="Z207" s="80"/>
      <c r="AA207" s="80"/>
      <c r="AB207" s="80"/>
      <c r="AC207" s="80"/>
      <c r="AD207" s="80"/>
      <c r="AE207" s="80"/>
      <c r="AF207" s="80"/>
    </row>
    <row r="208" spans="1:32">
      <c r="A208" s="175" t="s">
        <v>245</v>
      </c>
      <c r="B208" s="175"/>
      <c r="C208" s="175"/>
      <c r="D208" s="195">
        <v>30</v>
      </c>
      <c r="E208" s="195" t="s">
        <v>235</v>
      </c>
      <c r="F208" s="808"/>
      <c r="G208" s="809"/>
      <c r="H208" s="807"/>
      <c r="I208" s="807" t="s">
        <v>265</v>
      </c>
      <c r="J208" s="807"/>
      <c r="K208" s="807"/>
      <c r="L208" s="809"/>
      <c r="M208" s="808" t="s">
        <v>259</v>
      </c>
      <c r="N208" s="184"/>
      <c r="O208" s="524"/>
      <c r="P208" s="215"/>
      <c r="Q208" s="215"/>
      <c r="R208" s="215"/>
      <c r="S208" s="215"/>
      <c r="T208" s="215"/>
      <c r="U208" s="215"/>
      <c r="V208" s="215"/>
      <c r="W208" s="80"/>
      <c r="X208" s="80"/>
      <c r="Y208" s="80"/>
      <c r="Z208" s="80"/>
      <c r="AA208" s="80"/>
      <c r="AB208" s="80"/>
      <c r="AC208" s="80"/>
      <c r="AD208" s="80"/>
      <c r="AE208" s="80"/>
      <c r="AF208" s="80"/>
    </row>
    <row r="209" spans="1:32">
      <c r="A209" s="1217" t="s">
        <v>246</v>
      </c>
      <c r="B209" s="1217"/>
      <c r="C209" s="175"/>
      <c r="D209" s="195">
        <v>45</v>
      </c>
      <c r="E209" s="195" t="s">
        <v>235</v>
      </c>
      <c r="F209" s="808"/>
      <c r="G209" s="175"/>
      <c r="H209" s="807"/>
      <c r="I209" s="807" t="s">
        <v>266</v>
      </c>
      <c r="J209" s="807"/>
      <c r="K209" s="807"/>
      <c r="L209" s="175"/>
      <c r="M209" s="808" t="s">
        <v>259</v>
      </c>
      <c r="N209" s="175"/>
      <c r="O209" s="524"/>
      <c r="P209" s="215"/>
      <c r="Q209" s="215"/>
      <c r="R209" s="215"/>
      <c r="S209" s="215"/>
      <c r="T209" s="215"/>
      <c r="U209" s="215"/>
      <c r="V209" s="215"/>
      <c r="W209" s="80"/>
      <c r="X209" s="80"/>
      <c r="Y209" s="80"/>
      <c r="Z209" s="80"/>
      <c r="AA209" s="80"/>
      <c r="AB209" s="80"/>
      <c r="AC209" s="80"/>
      <c r="AD209" s="80"/>
      <c r="AE209" s="80"/>
      <c r="AF209" s="80"/>
    </row>
    <row r="210" spans="1:32">
      <c r="A210" s="1215" t="s">
        <v>102</v>
      </c>
      <c r="B210" s="1215"/>
      <c r="C210" s="175"/>
      <c r="D210" s="195">
        <v>30</v>
      </c>
      <c r="E210" s="195" t="s">
        <v>235</v>
      </c>
      <c r="F210" s="808"/>
      <c r="G210" s="175"/>
      <c r="H210" s="807"/>
      <c r="I210" s="807" t="s">
        <v>267</v>
      </c>
      <c r="J210" s="807"/>
      <c r="K210" s="807"/>
      <c r="L210" s="175"/>
      <c r="M210" s="808" t="s">
        <v>268</v>
      </c>
      <c r="N210" s="175"/>
      <c r="O210" s="524"/>
      <c r="P210" s="215"/>
      <c r="Q210" s="215"/>
      <c r="R210" s="215"/>
      <c r="S210" s="215"/>
      <c r="T210" s="215"/>
      <c r="U210" s="215"/>
      <c r="V210" s="215"/>
      <c r="W210" s="80"/>
      <c r="X210" s="80"/>
      <c r="Y210" s="80"/>
      <c r="Z210" s="80"/>
      <c r="AA210" s="80"/>
      <c r="AB210" s="80"/>
      <c r="AC210" s="80"/>
      <c r="AD210" s="80"/>
      <c r="AE210" s="80"/>
      <c r="AF210" s="80"/>
    </row>
    <row r="211" spans="1:32">
      <c r="A211" s="1215" t="s">
        <v>104</v>
      </c>
      <c r="B211" s="1215"/>
      <c r="C211" s="175"/>
      <c r="D211" s="195">
        <v>30</v>
      </c>
      <c r="E211" s="195" t="s">
        <v>235</v>
      </c>
      <c r="F211" s="808"/>
      <c r="G211" s="175"/>
      <c r="H211" s="807"/>
      <c r="I211" s="807" t="s">
        <v>269</v>
      </c>
      <c r="J211" s="807"/>
      <c r="K211" s="807"/>
      <c r="L211" s="175"/>
      <c r="M211" s="808" t="s">
        <v>270</v>
      </c>
      <c r="N211" s="175"/>
      <c r="O211" s="524"/>
      <c r="P211" s="215"/>
      <c r="Q211" s="215"/>
      <c r="R211" s="215"/>
      <c r="S211" s="215"/>
      <c r="T211" s="215"/>
      <c r="U211" s="215"/>
      <c r="V211" s="215"/>
      <c r="W211" s="80"/>
      <c r="X211" s="80"/>
      <c r="Y211" s="80"/>
      <c r="Z211" s="80"/>
      <c r="AA211" s="80"/>
      <c r="AB211" s="80"/>
      <c r="AC211" s="80"/>
      <c r="AD211" s="80"/>
      <c r="AE211" s="80"/>
      <c r="AF211" s="80"/>
    </row>
    <row r="212" spans="1:32">
      <c r="A212" s="1215" t="s">
        <v>106</v>
      </c>
      <c r="B212" s="1215"/>
      <c r="C212" s="175"/>
      <c r="D212" s="195">
        <v>30</v>
      </c>
      <c r="E212" s="195" t="s">
        <v>235</v>
      </c>
      <c r="F212" s="808"/>
      <c r="G212" s="175"/>
      <c r="H212" s="807"/>
      <c r="I212" s="807" t="s">
        <v>272</v>
      </c>
      <c r="J212" s="807"/>
      <c r="K212" s="807"/>
      <c r="L212" s="175"/>
      <c r="M212" s="808" t="s">
        <v>271</v>
      </c>
      <c r="N212" s="175"/>
      <c r="O212" s="524"/>
      <c r="P212" s="215"/>
      <c r="Q212" s="215"/>
      <c r="R212" s="215"/>
      <c r="S212" s="215"/>
      <c r="T212" s="215"/>
      <c r="U212" s="215"/>
      <c r="V212" s="215"/>
      <c r="W212" s="80"/>
      <c r="X212" s="80"/>
      <c r="Y212" s="80"/>
      <c r="Z212" s="80"/>
      <c r="AA212" s="80"/>
      <c r="AB212" s="80"/>
      <c r="AC212" s="80"/>
      <c r="AD212" s="80"/>
      <c r="AE212" s="80"/>
      <c r="AF212" s="80"/>
    </row>
    <row r="213" spans="1:32">
      <c r="A213" s="1215" t="s">
        <v>108</v>
      </c>
      <c r="B213" s="1215"/>
      <c r="C213" s="1215"/>
      <c r="D213" s="195">
        <v>1</v>
      </c>
      <c r="E213" s="195" t="s">
        <v>236</v>
      </c>
      <c r="F213" s="195"/>
      <c r="G213" s="175"/>
      <c r="H213" s="807"/>
      <c r="I213" s="807" t="s">
        <v>273</v>
      </c>
      <c r="J213" s="807"/>
      <c r="K213" s="807"/>
      <c r="L213" s="175"/>
      <c r="M213" s="808" t="s">
        <v>274</v>
      </c>
      <c r="N213" s="175"/>
      <c r="O213" s="524"/>
      <c r="P213" s="215"/>
      <c r="Q213" s="215"/>
      <c r="R213" s="215"/>
      <c r="S213" s="215"/>
      <c r="T213" s="215"/>
      <c r="U213" s="215"/>
      <c r="V213" s="215"/>
      <c r="W213" s="80"/>
      <c r="X213" s="80"/>
      <c r="Y213" s="80"/>
      <c r="Z213" s="80"/>
      <c r="AA213" s="80"/>
      <c r="AB213" s="80"/>
      <c r="AC213" s="80"/>
      <c r="AD213" s="80"/>
      <c r="AE213" s="80"/>
      <c r="AF213" s="80"/>
    </row>
    <row r="214" spans="1:32">
      <c r="A214" s="1215" t="s">
        <v>110</v>
      </c>
      <c r="B214" s="1215"/>
      <c r="C214" s="175"/>
      <c r="D214" s="195">
        <v>35</v>
      </c>
      <c r="E214" s="195" t="s">
        <v>235</v>
      </c>
      <c r="F214" s="195"/>
      <c r="G214" s="175"/>
      <c r="H214" s="807"/>
      <c r="I214" s="807" t="s">
        <v>275</v>
      </c>
      <c r="J214" s="807"/>
      <c r="K214" s="807"/>
      <c r="L214" s="175"/>
      <c r="M214" s="808" t="s">
        <v>277</v>
      </c>
      <c r="N214" s="175"/>
      <c r="O214" s="524"/>
      <c r="P214" s="215"/>
      <c r="Q214" s="215"/>
      <c r="R214" s="215"/>
      <c r="S214" s="215"/>
      <c r="T214" s="215"/>
      <c r="U214" s="215"/>
      <c r="V214" s="215"/>
      <c r="W214" s="80"/>
      <c r="X214" s="80"/>
      <c r="Y214" s="80"/>
      <c r="Z214" s="80"/>
      <c r="AA214" s="80"/>
      <c r="AB214" s="80"/>
      <c r="AC214" s="80"/>
      <c r="AD214" s="80"/>
      <c r="AE214" s="80"/>
      <c r="AF214" s="80"/>
    </row>
    <row r="215" spans="1:32">
      <c r="A215" s="175" t="s">
        <v>112</v>
      </c>
      <c r="B215" s="175"/>
      <c r="C215" s="175"/>
      <c r="D215" s="195">
        <v>30</v>
      </c>
      <c r="E215" s="195" t="s">
        <v>235</v>
      </c>
      <c r="F215" s="195"/>
      <c r="G215" s="175"/>
      <c r="H215" s="807"/>
      <c r="I215" s="807" t="s">
        <v>276</v>
      </c>
      <c r="J215" s="807"/>
      <c r="K215" s="807"/>
      <c r="L215" s="175"/>
      <c r="M215" s="808" t="s">
        <v>241</v>
      </c>
      <c r="N215" s="175"/>
      <c r="O215" s="524"/>
      <c r="P215" s="215"/>
      <c r="Q215" s="215"/>
      <c r="R215" s="215"/>
      <c r="S215" s="215"/>
      <c r="T215" s="215"/>
      <c r="U215" s="215"/>
      <c r="V215" s="215"/>
      <c r="W215" s="80"/>
      <c r="X215" s="80"/>
      <c r="Y215" s="80"/>
      <c r="Z215" s="80"/>
      <c r="AA215" s="80"/>
      <c r="AB215" s="80"/>
      <c r="AC215" s="80"/>
      <c r="AD215" s="80"/>
      <c r="AE215" s="80"/>
      <c r="AF215" s="80"/>
    </row>
    <row r="216" spans="1:32">
      <c r="A216" s="175" t="s">
        <v>114</v>
      </c>
      <c r="B216" s="175"/>
      <c r="C216" s="175"/>
      <c r="D216" s="195">
        <v>30</v>
      </c>
      <c r="E216" s="195" t="s">
        <v>235</v>
      </c>
      <c r="F216" s="195"/>
      <c r="G216" s="175"/>
      <c r="H216" s="807"/>
      <c r="I216" s="807" t="s">
        <v>278</v>
      </c>
      <c r="J216" s="807"/>
      <c r="K216" s="807"/>
      <c r="L216" s="175"/>
      <c r="M216" s="808" t="s">
        <v>274</v>
      </c>
      <c r="N216" s="175"/>
      <c r="O216" s="524"/>
      <c r="P216" s="215"/>
      <c r="Q216" s="215"/>
      <c r="R216" s="215"/>
      <c r="S216" s="215"/>
      <c r="T216" s="215"/>
      <c r="U216" s="215"/>
      <c r="V216" s="215"/>
      <c r="W216" s="80"/>
      <c r="X216" s="80"/>
      <c r="Y216" s="80"/>
      <c r="Z216" s="80"/>
      <c r="AA216" s="80"/>
      <c r="AB216" s="80"/>
      <c r="AC216" s="80"/>
      <c r="AD216" s="80"/>
      <c r="AE216" s="80"/>
      <c r="AF216" s="80"/>
    </row>
    <row r="217" spans="1:32">
      <c r="A217" s="175"/>
      <c r="B217" s="175"/>
      <c r="C217" s="175"/>
      <c r="D217" s="175"/>
      <c r="E217" s="175"/>
      <c r="F217" s="175"/>
      <c r="G217" s="175"/>
      <c r="H217" s="807"/>
      <c r="I217" s="807" t="s">
        <v>279</v>
      </c>
      <c r="J217" s="807"/>
      <c r="K217" s="807"/>
      <c r="L217" s="175"/>
      <c r="M217" s="808" t="s">
        <v>263</v>
      </c>
      <c r="N217" s="175"/>
      <c r="O217" s="524"/>
      <c r="P217" s="215"/>
      <c r="Q217" s="215"/>
      <c r="R217" s="215"/>
      <c r="S217" s="215"/>
      <c r="T217" s="215"/>
      <c r="U217" s="215"/>
      <c r="V217" s="215"/>
      <c r="W217" s="80"/>
      <c r="X217" s="80"/>
      <c r="Y217" s="80"/>
      <c r="Z217" s="80"/>
      <c r="AA217" s="80"/>
      <c r="AB217" s="80"/>
      <c r="AC217" s="80"/>
      <c r="AD217" s="80"/>
      <c r="AE217" s="80"/>
      <c r="AF217" s="80"/>
    </row>
    <row r="218" spans="1:32">
      <c r="A218" s="193" t="s">
        <v>117</v>
      </c>
      <c r="B218" s="175"/>
      <c r="C218" s="175"/>
      <c r="D218" s="175"/>
      <c r="E218" s="175"/>
      <c r="F218" s="175"/>
      <c r="G218" s="175"/>
      <c r="H218" s="807"/>
      <c r="I218" s="807" t="s">
        <v>280</v>
      </c>
      <c r="J218" s="807"/>
      <c r="K218" s="807"/>
      <c r="L218" s="175"/>
      <c r="M218" s="808" t="s">
        <v>263</v>
      </c>
      <c r="N218" s="175"/>
      <c r="O218" s="524"/>
      <c r="P218" s="215"/>
      <c r="Q218" s="215"/>
      <c r="R218" s="215"/>
      <c r="S218" s="215"/>
      <c r="T218" s="215"/>
      <c r="U218" s="215"/>
      <c r="V218" s="215"/>
      <c r="W218" s="80"/>
      <c r="X218" s="80"/>
      <c r="Y218" s="80"/>
      <c r="Z218" s="80"/>
      <c r="AA218" s="80"/>
      <c r="AB218" s="80"/>
      <c r="AC218" s="80"/>
      <c r="AD218" s="80"/>
      <c r="AE218" s="80"/>
      <c r="AF218" s="80"/>
    </row>
    <row r="219" spans="1:32">
      <c r="A219" s="175" t="s">
        <v>119</v>
      </c>
      <c r="B219" s="175"/>
      <c r="C219" s="199"/>
      <c r="D219" s="200">
        <v>3</v>
      </c>
      <c r="E219" s="808" t="s">
        <v>247</v>
      </c>
      <c r="F219" s="808"/>
      <c r="G219" s="808"/>
      <c r="H219" s="807"/>
      <c r="I219" s="807" t="s">
        <v>281</v>
      </c>
      <c r="J219" s="807"/>
      <c r="K219" s="807"/>
      <c r="L219" s="175"/>
      <c r="M219" s="808" t="s">
        <v>263</v>
      </c>
      <c r="N219" s="175"/>
      <c r="O219" s="524"/>
      <c r="P219" s="215"/>
      <c r="Q219" s="215"/>
      <c r="R219" s="215"/>
      <c r="S219" s="215"/>
      <c r="T219" s="215"/>
      <c r="U219" s="215"/>
      <c r="V219" s="215"/>
      <c r="W219" s="80"/>
      <c r="X219" s="80"/>
      <c r="Y219" s="80"/>
      <c r="Z219" s="80"/>
      <c r="AA219" s="80"/>
      <c r="AB219" s="80"/>
      <c r="AC219" s="80"/>
      <c r="AD219" s="80"/>
      <c r="AE219" s="80"/>
      <c r="AF219" s="80"/>
    </row>
    <row r="220" spans="1:32">
      <c r="A220" s="175" t="s">
        <v>121</v>
      </c>
      <c r="B220" s="175"/>
      <c r="C220" s="199"/>
      <c r="D220" s="200">
        <v>2</v>
      </c>
      <c r="E220" s="1216" t="s">
        <v>238</v>
      </c>
      <c r="F220" s="1216"/>
      <c r="G220" s="808"/>
      <c r="H220" s="807"/>
      <c r="I220" s="807" t="s">
        <v>282</v>
      </c>
      <c r="J220" s="807"/>
      <c r="K220" s="807"/>
      <c r="L220" s="175"/>
      <c r="M220" s="808" t="s">
        <v>263</v>
      </c>
      <c r="N220" s="175"/>
      <c r="O220" s="524"/>
      <c r="P220" s="215"/>
      <c r="Q220" s="215"/>
      <c r="R220" s="215"/>
      <c r="S220" s="215"/>
      <c r="T220" s="215"/>
      <c r="U220" s="215"/>
      <c r="V220" s="215"/>
      <c r="W220" s="80"/>
      <c r="X220" s="80"/>
      <c r="Y220" s="80"/>
      <c r="Z220" s="80"/>
      <c r="AA220" s="80"/>
      <c r="AB220" s="80"/>
      <c r="AC220" s="80"/>
      <c r="AD220" s="80"/>
      <c r="AE220" s="80"/>
      <c r="AF220" s="80"/>
    </row>
    <row r="221" spans="1:32">
      <c r="A221" s="175" t="s">
        <v>123</v>
      </c>
      <c r="B221" s="175"/>
      <c r="C221" s="199"/>
      <c r="D221" s="200">
        <v>4</v>
      </c>
      <c r="E221" s="1216" t="s">
        <v>238</v>
      </c>
      <c r="F221" s="1216"/>
      <c r="G221" s="808"/>
      <c r="H221" s="807"/>
      <c r="I221" s="807" t="s">
        <v>283</v>
      </c>
      <c r="J221" s="807"/>
      <c r="K221" s="807"/>
      <c r="L221" s="175"/>
      <c r="M221" s="808" t="s">
        <v>270</v>
      </c>
      <c r="N221" s="175"/>
      <c r="O221" s="524"/>
      <c r="P221" s="215"/>
      <c r="Q221" s="215"/>
      <c r="R221" s="215"/>
      <c r="S221" s="215"/>
      <c r="T221" s="215"/>
      <c r="U221" s="215"/>
      <c r="V221" s="215"/>
      <c r="W221" s="80"/>
      <c r="X221" s="80"/>
      <c r="Y221" s="80"/>
      <c r="Z221" s="80"/>
      <c r="AA221" s="80"/>
      <c r="AB221" s="80"/>
      <c r="AC221" s="80"/>
      <c r="AD221" s="80"/>
      <c r="AE221" s="80"/>
      <c r="AF221" s="80"/>
    </row>
    <row r="222" spans="1:32">
      <c r="A222" s="175" t="s">
        <v>125</v>
      </c>
      <c r="B222" s="175"/>
      <c r="C222" s="199"/>
      <c r="D222" s="201">
        <v>0.5</v>
      </c>
      <c r="E222" s="1227" t="s">
        <v>295</v>
      </c>
      <c r="F222" s="1227"/>
      <c r="G222" s="808"/>
      <c r="H222" s="807"/>
      <c r="I222" s="807" t="s">
        <v>284</v>
      </c>
      <c r="J222" s="807"/>
      <c r="K222" s="807"/>
      <c r="L222" s="175"/>
      <c r="M222" s="808" t="s">
        <v>271</v>
      </c>
      <c r="N222" s="175"/>
      <c r="O222" s="524"/>
      <c r="P222" s="215"/>
      <c r="Q222" s="215"/>
      <c r="R222" s="215"/>
      <c r="S222" s="215"/>
      <c r="T222" s="215"/>
      <c r="U222" s="215"/>
      <c r="V222" s="215"/>
      <c r="W222" s="80"/>
      <c r="X222" s="80"/>
      <c r="Y222" s="80"/>
      <c r="Z222" s="80"/>
      <c r="AA222" s="80"/>
      <c r="AB222" s="80"/>
      <c r="AC222" s="80"/>
      <c r="AD222" s="80"/>
      <c r="AE222" s="80"/>
      <c r="AF222" s="80"/>
    </row>
    <row r="223" spans="1:32">
      <c r="A223" s="175" t="s">
        <v>127</v>
      </c>
      <c r="B223" s="175"/>
      <c r="C223" s="199"/>
      <c r="D223" s="201">
        <v>1.5</v>
      </c>
      <c r="E223" s="1228" t="s">
        <v>238</v>
      </c>
      <c r="F223" s="1228"/>
      <c r="G223" s="808"/>
      <c r="H223" s="807"/>
      <c r="I223" s="807" t="s">
        <v>285</v>
      </c>
      <c r="J223" s="807"/>
      <c r="K223" s="807"/>
      <c r="L223" s="175"/>
      <c r="M223" s="808" t="s">
        <v>271</v>
      </c>
      <c r="N223" s="175"/>
      <c r="O223" s="524"/>
      <c r="P223" s="215"/>
      <c r="Q223" s="215"/>
      <c r="R223" s="215"/>
      <c r="S223" s="215"/>
      <c r="T223" s="215"/>
      <c r="U223" s="215"/>
      <c r="V223" s="215"/>
      <c r="W223" s="80"/>
      <c r="X223" s="80"/>
      <c r="Y223" s="80"/>
      <c r="Z223" s="80"/>
      <c r="AA223" s="80"/>
      <c r="AB223" s="80"/>
      <c r="AC223" s="80"/>
      <c r="AD223" s="80"/>
      <c r="AE223" s="80"/>
      <c r="AF223" s="80"/>
    </row>
    <row r="224" spans="1:32">
      <c r="A224" s="175" t="s">
        <v>129</v>
      </c>
      <c r="B224" s="175"/>
      <c r="C224" s="199"/>
      <c r="D224" s="200">
        <v>1</v>
      </c>
      <c r="E224" s="1216" t="s">
        <v>248</v>
      </c>
      <c r="F224" s="1216"/>
      <c r="G224" s="808"/>
      <c r="H224" s="807"/>
      <c r="I224" s="807" t="s">
        <v>286</v>
      </c>
      <c r="J224" s="807"/>
      <c r="K224" s="807"/>
      <c r="L224" s="175"/>
      <c r="M224" s="808" t="s">
        <v>271</v>
      </c>
      <c r="N224" s="175"/>
      <c r="O224" s="524"/>
      <c r="P224" s="215"/>
      <c r="Q224" s="215"/>
      <c r="R224" s="215"/>
      <c r="S224" s="215"/>
      <c r="T224" s="215"/>
      <c r="U224" s="215"/>
      <c r="V224" s="215"/>
      <c r="W224" s="80"/>
      <c r="X224" s="80"/>
      <c r="Y224" s="80"/>
      <c r="Z224" s="80"/>
      <c r="AA224" s="80"/>
      <c r="AB224" s="80"/>
      <c r="AC224" s="80"/>
      <c r="AD224" s="80"/>
      <c r="AE224" s="80"/>
      <c r="AF224" s="80"/>
    </row>
    <row r="225" spans="1:32">
      <c r="A225" s="175" t="s">
        <v>131</v>
      </c>
      <c r="B225" s="175"/>
      <c r="C225" s="199"/>
      <c r="D225" s="200">
        <v>3</v>
      </c>
      <c r="E225" s="1216" t="s">
        <v>296</v>
      </c>
      <c r="F225" s="1216"/>
      <c r="G225" s="808"/>
      <c r="H225" s="807"/>
      <c r="I225" s="807" t="s">
        <v>287</v>
      </c>
      <c r="J225" s="807"/>
      <c r="K225" s="807"/>
      <c r="L225" s="175"/>
      <c r="M225" s="808" t="s">
        <v>271</v>
      </c>
      <c r="N225" s="175"/>
      <c r="O225" s="524"/>
      <c r="P225" s="215"/>
      <c r="Q225" s="215"/>
      <c r="R225" s="215"/>
      <c r="S225" s="215"/>
      <c r="T225" s="215"/>
      <c r="U225" s="215"/>
      <c r="V225" s="215"/>
      <c r="W225" s="80"/>
      <c r="X225" s="80"/>
      <c r="Y225" s="80"/>
      <c r="Z225" s="80"/>
      <c r="AA225" s="80"/>
      <c r="AB225" s="80"/>
      <c r="AC225" s="80"/>
      <c r="AD225" s="80"/>
      <c r="AE225" s="80"/>
      <c r="AF225" s="80"/>
    </row>
    <row r="226" spans="1:32">
      <c r="A226" s="175" t="s">
        <v>133</v>
      </c>
      <c r="B226" s="175"/>
      <c r="C226" s="199"/>
      <c r="D226" s="200">
        <v>3</v>
      </c>
      <c r="E226" s="1216" t="s">
        <v>238</v>
      </c>
      <c r="F226" s="1216"/>
      <c r="G226" s="808"/>
      <c r="H226" s="807"/>
      <c r="I226" s="807" t="s">
        <v>288</v>
      </c>
      <c r="J226" s="807"/>
      <c r="K226" s="807"/>
      <c r="L226" s="175"/>
      <c r="M226" s="808" t="s">
        <v>271</v>
      </c>
      <c r="N226" s="175"/>
      <c r="O226" s="524"/>
      <c r="P226" s="215"/>
      <c r="Q226" s="215"/>
      <c r="R226" s="215"/>
      <c r="S226" s="215"/>
      <c r="T226" s="215"/>
      <c r="U226" s="215"/>
      <c r="V226" s="215"/>
      <c r="W226" s="80"/>
      <c r="X226" s="80"/>
      <c r="Y226" s="80"/>
      <c r="Z226" s="80"/>
      <c r="AA226" s="80"/>
      <c r="AB226" s="80"/>
      <c r="AC226" s="80"/>
      <c r="AD226" s="80"/>
      <c r="AE226" s="80"/>
      <c r="AF226" s="80"/>
    </row>
    <row r="227" spans="1:32">
      <c r="A227" s="175" t="s">
        <v>135</v>
      </c>
      <c r="B227" s="175"/>
      <c r="C227" s="199"/>
      <c r="D227" s="200">
        <v>1</v>
      </c>
      <c r="E227" s="1216" t="s">
        <v>248</v>
      </c>
      <c r="F227" s="1216"/>
      <c r="G227" s="808"/>
      <c r="H227" s="807"/>
      <c r="I227" s="807" t="s">
        <v>289</v>
      </c>
      <c r="J227" s="807"/>
      <c r="K227" s="807"/>
      <c r="L227" s="175"/>
      <c r="M227" s="808" t="s">
        <v>271</v>
      </c>
      <c r="N227" s="175"/>
      <c r="O227" s="524"/>
      <c r="P227" s="215"/>
      <c r="Q227" s="215"/>
      <c r="R227" s="215"/>
      <c r="S227" s="215"/>
      <c r="T227" s="215"/>
      <c r="U227" s="215"/>
      <c r="V227" s="215"/>
      <c r="W227" s="80"/>
      <c r="X227" s="80"/>
      <c r="Y227" s="80"/>
      <c r="Z227" s="80"/>
      <c r="AA227" s="80"/>
      <c r="AB227" s="80"/>
      <c r="AC227" s="80"/>
      <c r="AD227" s="80"/>
      <c r="AE227" s="80"/>
      <c r="AF227" s="80"/>
    </row>
    <row r="228" spans="1:32">
      <c r="A228" s="175" t="s">
        <v>137</v>
      </c>
      <c r="B228" s="175"/>
      <c r="C228" s="199"/>
      <c r="D228" s="201">
        <v>1.5</v>
      </c>
      <c r="E228" s="1228" t="s">
        <v>238</v>
      </c>
      <c r="F228" s="1228"/>
      <c r="G228" s="808"/>
      <c r="H228" s="807"/>
      <c r="I228" s="1215" t="s">
        <v>290</v>
      </c>
      <c r="J228" s="1215"/>
      <c r="K228" s="1215"/>
      <c r="L228" s="175"/>
      <c r="M228" s="808" t="s">
        <v>257</v>
      </c>
      <c r="N228" s="175"/>
      <c r="O228" s="524"/>
      <c r="P228" s="215"/>
      <c r="Q228" s="215"/>
      <c r="R228" s="215"/>
      <c r="S228" s="215"/>
      <c r="T228" s="215"/>
      <c r="U228" s="215"/>
      <c r="V228" s="215"/>
      <c r="W228" s="80"/>
      <c r="X228" s="80"/>
      <c r="Y228" s="80"/>
      <c r="Z228" s="80"/>
      <c r="AA228" s="80"/>
      <c r="AB228" s="80"/>
      <c r="AC228" s="80"/>
      <c r="AD228" s="80"/>
      <c r="AE228" s="80"/>
      <c r="AF228" s="80"/>
    </row>
    <row r="229" spans="1:32">
      <c r="A229" s="175" t="s">
        <v>139</v>
      </c>
      <c r="B229" s="175"/>
      <c r="C229" s="199"/>
      <c r="D229" s="200">
        <v>1</v>
      </c>
      <c r="E229" s="1216" t="s">
        <v>248</v>
      </c>
      <c r="F229" s="1216"/>
      <c r="G229" s="808"/>
      <c r="H229" s="807"/>
      <c r="I229" s="1215"/>
      <c r="J229" s="1215"/>
      <c r="K229" s="1215"/>
      <c r="L229" s="175"/>
      <c r="M229" s="807"/>
      <c r="N229" s="175"/>
      <c r="O229" s="524"/>
      <c r="P229" s="215"/>
      <c r="Q229" s="215"/>
      <c r="R229" s="215"/>
      <c r="S229" s="215"/>
      <c r="T229" s="215"/>
      <c r="U229" s="215"/>
      <c r="V229" s="215"/>
      <c r="W229" s="80"/>
      <c r="X229" s="80"/>
      <c r="Y229" s="80"/>
      <c r="Z229" s="80"/>
      <c r="AA229" s="80"/>
      <c r="AB229" s="80"/>
      <c r="AC229" s="80"/>
      <c r="AD229" s="80"/>
      <c r="AE229" s="80"/>
      <c r="AF229" s="80"/>
    </row>
    <row r="230" spans="1:32">
      <c r="A230" s="175" t="s">
        <v>141</v>
      </c>
      <c r="B230" s="175"/>
      <c r="C230" s="199"/>
      <c r="D230" s="201">
        <v>0.5</v>
      </c>
      <c r="E230" s="1216" t="s">
        <v>295</v>
      </c>
      <c r="F230" s="1216"/>
      <c r="G230" s="808"/>
      <c r="H230" s="175"/>
      <c r="I230" s="193" t="s">
        <v>103</v>
      </c>
      <c r="J230" s="175"/>
      <c r="K230" s="175" t="s">
        <v>445</v>
      </c>
      <c r="L230" s="175"/>
      <c r="M230" s="175"/>
      <c r="N230" s="175"/>
      <c r="O230" s="524"/>
      <c r="P230" s="215"/>
      <c r="Q230" s="215"/>
      <c r="R230" s="215"/>
      <c r="S230" s="215"/>
      <c r="T230" s="215"/>
      <c r="U230" s="215"/>
      <c r="V230" s="215"/>
      <c r="W230" s="80"/>
      <c r="X230" s="80"/>
      <c r="Y230" s="80"/>
      <c r="Z230" s="80"/>
      <c r="AA230" s="80"/>
      <c r="AB230" s="80"/>
      <c r="AC230" s="80"/>
      <c r="AD230" s="80"/>
      <c r="AE230" s="80"/>
      <c r="AF230" s="80"/>
    </row>
    <row r="231" spans="1:32">
      <c r="A231" s="175" t="s">
        <v>142</v>
      </c>
      <c r="B231" s="175"/>
      <c r="C231" s="202">
        <v>0</v>
      </c>
      <c r="D231" s="200">
        <v>2</v>
      </c>
      <c r="E231" s="1216" t="s">
        <v>238</v>
      </c>
      <c r="F231" s="1216"/>
      <c r="G231" s="808"/>
      <c r="H231" s="175"/>
      <c r="I231" s="175" t="s">
        <v>105</v>
      </c>
      <c r="J231" s="175"/>
      <c r="K231" s="175"/>
      <c r="L231" s="175"/>
      <c r="M231" s="201">
        <v>0.5</v>
      </c>
      <c r="N231" s="808" t="s">
        <v>295</v>
      </c>
      <c r="O231" s="524"/>
      <c r="P231" s="215"/>
      <c r="Q231" s="215"/>
      <c r="R231" s="215"/>
      <c r="S231" s="215"/>
      <c r="T231" s="215"/>
      <c r="U231" s="215"/>
      <c r="V231" s="215"/>
      <c r="W231" s="80"/>
      <c r="X231" s="80"/>
      <c r="Y231" s="80"/>
      <c r="Z231" s="80"/>
      <c r="AA231" s="80"/>
      <c r="AB231" s="80"/>
      <c r="AC231" s="80"/>
      <c r="AD231" s="80"/>
      <c r="AE231" s="80"/>
      <c r="AF231" s="80"/>
    </row>
    <row r="232" spans="1:32">
      <c r="A232" s="175" t="s">
        <v>143</v>
      </c>
      <c r="B232" s="175"/>
      <c r="C232" s="199"/>
      <c r="D232" s="200">
        <v>3</v>
      </c>
      <c r="E232" s="1216" t="s">
        <v>238</v>
      </c>
      <c r="F232" s="1216"/>
      <c r="G232" s="808"/>
      <c r="H232" s="175"/>
      <c r="I232" s="175" t="s">
        <v>107</v>
      </c>
      <c r="J232" s="175"/>
      <c r="K232" s="175"/>
      <c r="L232" s="175"/>
      <c r="M232" s="200">
        <v>1</v>
      </c>
      <c r="N232" s="808" t="s">
        <v>302</v>
      </c>
      <c r="O232" s="524"/>
      <c r="P232" s="215"/>
      <c r="Q232" s="215"/>
      <c r="R232" s="215"/>
      <c r="S232" s="215"/>
      <c r="T232" s="215"/>
      <c r="U232" s="215"/>
      <c r="V232" s="215"/>
      <c r="W232" s="80"/>
      <c r="X232" s="80"/>
      <c r="Y232" s="80"/>
      <c r="Z232" s="80"/>
      <c r="AA232" s="80"/>
      <c r="AB232" s="80"/>
      <c r="AC232" s="80"/>
      <c r="AD232" s="80"/>
      <c r="AE232" s="80"/>
      <c r="AF232" s="80"/>
    </row>
    <row r="233" spans="1:32">
      <c r="A233" s="175" t="s">
        <v>144</v>
      </c>
      <c r="B233" s="175"/>
      <c r="C233" s="199"/>
      <c r="D233" s="200">
        <v>2</v>
      </c>
      <c r="E233" s="1216" t="s">
        <v>298</v>
      </c>
      <c r="F233" s="1216"/>
      <c r="G233" s="808"/>
      <c r="H233" s="175"/>
      <c r="I233" s="175" t="s">
        <v>109</v>
      </c>
      <c r="J233" s="175"/>
      <c r="K233" s="175"/>
      <c r="L233" s="175"/>
      <c r="M233" s="200">
        <v>1</v>
      </c>
      <c r="N233" s="808" t="s">
        <v>295</v>
      </c>
      <c r="O233" s="524"/>
      <c r="P233" s="215"/>
      <c r="Q233" s="215"/>
      <c r="R233" s="215"/>
      <c r="S233" s="215"/>
      <c r="T233" s="215"/>
      <c r="U233" s="215"/>
      <c r="V233" s="215"/>
      <c r="W233" s="80"/>
      <c r="X233" s="80"/>
      <c r="Y233" s="80"/>
      <c r="Z233" s="80"/>
      <c r="AA233" s="80"/>
      <c r="AB233" s="80"/>
      <c r="AC233" s="80"/>
      <c r="AD233" s="80"/>
      <c r="AE233" s="80"/>
      <c r="AF233" s="80"/>
    </row>
    <row r="234" spans="1:32">
      <c r="A234" s="175" t="s">
        <v>145</v>
      </c>
      <c r="B234" s="175"/>
      <c r="C234" s="199"/>
      <c r="D234" s="201">
        <v>0.5</v>
      </c>
      <c r="E234" s="1227" t="s">
        <v>295</v>
      </c>
      <c r="F234" s="1227"/>
      <c r="G234" s="808"/>
      <c r="H234" s="175"/>
      <c r="I234" s="175" t="s">
        <v>111</v>
      </c>
      <c r="J234" s="175"/>
      <c r="K234" s="175"/>
      <c r="L234" s="175"/>
      <c r="M234" s="200"/>
      <c r="N234" s="808"/>
      <c r="O234" s="524"/>
      <c r="P234" s="215"/>
      <c r="Q234" s="215"/>
      <c r="R234" s="215"/>
      <c r="S234" s="215"/>
      <c r="T234" s="215"/>
      <c r="U234" s="215"/>
      <c r="V234" s="215"/>
      <c r="W234" s="80"/>
      <c r="X234" s="80"/>
      <c r="Y234" s="80"/>
      <c r="Z234" s="80"/>
      <c r="AA234" s="80"/>
      <c r="AB234" s="80"/>
      <c r="AC234" s="80"/>
      <c r="AD234" s="80"/>
      <c r="AE234" s="80"/>
      <c r="AF234" s="80"/>
    </row>
    <row r="235" spans="1:32">
      <c r="A235" s="175" t="s">
        <v>146</v>
      </c>
      <c r="B235" s="175"/>
      <c r="C235" s="199"/>
      <c r="D235" s="200">
        <v>1</v>
      </c>
      <c r="E235" s="1216" t="s">
        <v>299</v>
      </c>
      <c r="F235" s="1216"/>
      <c r="G235" s="1216"/>
      <c r="H235" s="175"/>
      <c r="I235" s="175" t="s">
        <v>113</v>
      </c>
      <c r="J235" s="175"/>
      <c r="K235" s="175"/>
      <c r="L235" s="175"/>
      <c r="M235" s="200"/>
      <c r="N235" s="808"/>
      <c r="O235" s="524"/>
      <c r="P235" s="215"/>
      <c r="Q235" s="215"/>
      <c r="R235" s="215"/>
      <c r="S235" s="215"/>
      <c r="T235" s="215"/>
      <c r="U235" s="215"/>
      <c r="V235" s="215"/>
      <c r="W235" s="80"/>
      <c r="X235" s="80"/>
      <c r="Y235" s="80"/>
      <c r="Z235" s="80"/>
      <c r="AA235" s="80"/>
      <c r="AB235" s="80"/>
      <c r="AC235" s="80"/>
      <c r="AD235" s="80"/>
      <c r="AE235" s="80"/>
      <c r="AF235" s="80"/>
    </row>
    <row r="236" spans="1:32">
      <c r="A236" s="175" t="s">
        <v>147</v>
      </c>
      <c r="B236" s="175"/>
      <c r="C236" s="199"/>
      <c r="D236" s="201">
        <v>1.5</v>
      </c>
      <c r="E236" s="808" t="s">
        <v>248</v>
      </c>
      <c r="F236" s="808"/>
      <c r="G236" s="808"/>
      <c r="H236" s="175"/>
      <c r="I236" s="175" t="s">
        <v>115</v>
      </c>
      <c r="J236" s="205" t="s">
        <v>251</v>
      </c>
      <c r="K236" s="205"/>
      <c r="L236" s="175"/>
      <c r="M236" s="201">
        <v>0.33333333333333331</v>
      </c>
      <c r="N236" s="808" t="s">
        <v>248</v>
      </c>
      <c r="O236" s="524"/>
      <c r="P236" s="215"/>
      <c r="Q236" s="215"/>
      <c r="R236" s="215"/>
      <c r="S236" s="215"/>
      <c r="T236" s="215"/>
      <c r="U236" s="215"/>
      <c r="V236" s="215"/>
      <c r="W236" s="80"/>
      <c r="X236" s="80"/>
      <c r="Y236" s="80"/>
      <c r="Z236" s="80"/>
      <c r="AA236" s="80"/>
      <c r="AB236" s="80"/>
      <c r="AC236" s="80"/>
      <c r="AD236" s="80"/>
      <c r="AE236" s="80"/>
      <c r="AF236" s="80"/>
    </row>
    <row r="237" spans="1:32">
      <c r="A237" s="175" t="s">
        <v>148</v>
      </c>
      <c r="B237" s="175"/>
      <c r="C237" s="199"/>
      <c r="D237" s="200">
        <v>1</v>
      </c>
      <c r="E237" s="1216" t="s">
        <v>300</v>
      </c>
      <c r="F237" s="1216"/>
      <c r="G237" s="808"/>
      <c r="H237" s="175"/>
      <c r="I237" s="175" t="s">
        <v>116</v>
      </c>
      <c r="J237" s="175"/>
      <c r="K237" s="175"/>
      <c r="L237" s="175"/>
      <c r="M237" s="200">
        <v>5</v>
      </c>
      <c r="N237" s="808" t="s">
        <v>238</v>
      </c>
      <c r="O237" s="524"/>
      <c r="P237" s="215"/>
      <c r="Q237" s="215"/>
      <c r="R237" s="215"/>
      <c r="S237" s="215"/>
      <c r="T237" s="215"/>
      <c r="U237" s="215"/>
      <c r="V237" s="215"/>
      <c r="W237" s="80"/>
      <c r="X237" s="80"/>
      <c r="Y237" s="80"/>
      <c r="Z237" s="80"/>
      <c r="AA237" s="80"/>
      <c r="AB237" s="80"/>
      <c r="AC237" s="80"/>
      <c r="AD237" s="80"/>
      <c r="AE237" s="80"/>
      <c r="AF237" s="80"/>
    </row>
    <row r="238" spans="1:32">
      <c r="A238" s="175" t="s">
        <v>149</v>
      </c>
      <c r="B238" s="175"/>
      <c r="C238" s="199"/>
      <c r="D238" s="200">
        <v>1</v>
      </c>
      <c r="E238" s="1216" t="s">
        <v>248</v>
      </c>
      <c r="F238" s="1216"/>
      <c r="G238" s="808"/>
      <c r="H238" s="175"/>
      <c r="I238" s="175" t="s">
        <v>118</v>
      </c>
      <c r="J238" s="175"/>
      <c r="K238" s="175"/>
      <c r="L238" s="175"/>
      <c r="M238" s="201">
        <v>0.75</v>
      </c>
      <c r="N238" s="808" t="s">
        <v>248</v>
      </c>
      <c r="O238" s="524"/>
      <c r="P238" s="215"/>
      <c r="Q238" s="215"/>
      <c r="R238" s="215"/>
      <c r="S238" s="215"/>
      <c r="T238" s="215"/>
      <c r="U238" s="215"/>
      <c r="V238" s="215"/>
      <c r="W238" s="80"/>
      <c r="X238" s="80"/>
      <c r="Y238" s="80"/>
      <c r="Z238" s="80"/>
      <c r="AA238" s="80"/>
      <c r="AB238" s="80"/>
      <c r="AC238" s="80"/>
      <c r="AD238" s="80"/>
      <c r="AE238" s="80"/>
      <c r="AF238" s="80"/>
    </row>
    <row r="239" spans="1:32">
      <c r="A239" s="175" t="s">
        <v>150</v>
      </c>
      <c r="B239" s="175"/>
      <c r="C239" s="199"/>
      <c r="D239" s="200">
        <v>1</v>
      </c>
      <c r="E239" s="1216" t="s">
        <v>301</v>
      </c>
      <c r="F239" s="1216"/>
      <c r="G239" s="808"/>
      <c r="H239" s="175"/>
      <c r="I239" s="175" t="s">
        <v>120</v>
      </c>
      <c r="J239" s="175"/>
      <c r="K239" s="175"/>
      <c r="L239" s="175"/>
      <c r="M239" s="200">
        <v>5</v>
      </c>
      <c r="N239" s="808" t="s">
        <v>303</v>
      </c>
      <c r="O239" s="524"/>
      <c r="P239" s="215"/>
      <c r="Q239" s="215"/>
      <c r="R239" s="215"/>
      <c r="S239" s="215"/>
      <c r="T239" s="215"/>
      <c r="U239" s="215"/>
      <c r="V239" s="215"/>
      <c r="W239" s="80"/>
      <c r="X239" s="80"/>
      <c r="Y239" s="80"/>
      <c r="Z239" s="80"/>
      <c r="AA239" s="80"/>
      <c r="AB239" s="80"/>
      <c r="AC239" s="80"/>
      <c r="AD239" s="80"/>
      <c r="AE239" s="80"/>
      <c r="AF239" s="80"/>
    </row>
    <row r="240" spans="1:32">
      <c r="A240" s="175" t="s">
        <v>151</v>
      </c>
      <c r="B240" s="175"/>
      <c r="C240" s="199"/>
      <c r="D240" s="200">
        <v>1</v>
      </c>
      <c r="E240" s="1216" t="s">
        <v>248</v>
      </c>
      <c r="F240" s="1216"/>
      <c r="G240" s="808"/>
      <c r="H240" s="175"/>
      <c r="I240" s="175" t="s">
        <v>122</v>
      </c>
      <c r="J240" s="175"/>
      <c r="K240" s="175"/>
      <c r="L240" s="175"/>
      <c r="M240" s="200">
        <v>1</v>
      </c>
      <c r="N240" s="808" t="s">
        <v>302</v>
      </c>
      <c r="O240" s="524"/>
      <c r="P240" s="215"/>
      <c r="Q240" s="215"/>
      <c r="R240" s="215"/>
      <c r="S240" s="215"/>
      <c r="T240" s="215"/>
      <c r="U240" s="215"/>
      <c r="V240" s="215"/>
      <c r="W240" s="80"/>
      <c r="X240" s="80"/>
      <c r="Y240" s="80"/>
      <c r="Z240" s="80"/>
      <c r="AA240" s="80"/>
      <c r="AB240" s="80"/>
      <c r="AC240" s="80"/>
      <c r="AD240" s="80"/>
      <c r="AE240" s="80"/>
      <c r="AF240" s="80"/>
    </row>
    <row r="241" spans="1:32">
      <c r="A241" s="175" t="s">
        <v>152</v>
      </c>
      <c r="B241" s="175"/>
      <c r="C241" s="199"/>
      <c r="D241" s="200">
        <v>10</v>
      </c>
      <c r="E241" s="1216" t="s">
        <v>238</v>
      </c>
      <c r="F241" s="1216"/>
      <c r="G241" s="808"/>
      <c r="H241" s="175"/>
      <c r="I241" s="175" t="s">
        <v>124</v>
      </c>
      <c r="J241" s="175"/>
      <c r="K241" s="175"/>
      <c r="L241" s="175"/>
      <c r="M241" s="200">
        <v>6</v>
      </c>
      <c r="N241" s="808" t="s">
        <v>238</v>
      </c>
      <c r="O241" s="524"/>
      <c r="P241" s="215"/>
      <c r="Q241" s="215"/>
      <c r="R241" s="215"/>
      <c r="S241" s="215"/>
      <c r="T241" s="215"/>
      <c r="U241" s="215"/>
      <c r="V241" s="215"/>
      <c r="W241" s="80"/>
      <c r="X241" s="80"/>
      <c r="Y241" s="80"/>
      <c r="Z241" s="80"/>
      <c r="AA241" s="80"/>
      <c r="AB241" s="80"/>
      <c r="AC241" s="80"/>
      <c r="AD241" s="80"/>
      <c r="AE241" s="80"/>
      <c r="AF241" s="80"/>
    </row>
    <row r="242" spans="1:32">
      <c r="A242" s="175" t="s">
        <v>153</v>
      </c>
      <c r="B242" s="175"/>
      <c r="C242" s="199"/>
      <c r="D242" s="200">
        <v>1</v>
      </c>
      <c r="E242" s="1216" t="s">
        <v>301</v>
      </c>
      <c r="F242" s="1216"/>
      <c r="G242" s="808"/>
      <c r="H242" s="175"/>
      <c r="I242" s="175" t="s">
        <v>126</v>
      </c>
      <c r="J242" s="1217" t="s">
        <v>252</v>
      </c>
      <c r="K242" s="1217"/>
      <c r="L242" s="175"/>
      <c r="M242" s="201">
        <v>0.5</v>
      </c>
      <c r="N242" s="808" t="s">
        <v>238</v>
      </c>
      <c r="O242" s="524"/>
      <c r="P242" s="215"/>
      <c r="Q242" s="215"/>
      <c r="R242" s="215"/>
      <c r="S242" s="215"/>
      <c r="T242" s="215"/>
      <c r="U242" s="215"/>
      <c r="V242" s="215"/>
      <c r="W242" s="80"/>
      <c r="X242" s="80"/>
      <c r="Y242" s="80"/>
      <c r="Z242" s="80"/>
      <c r="AA242" s="80"/>
      <c r="AB242" s="80"/>
      <c r="AC242" s="80"/>
      <c r="AD242" s="80"/>
      <c r="AE242" s="80"/>
      <c r="AF242" s="80"/>
    </row>
    <row r="243" spans="1:32" ht="17.25">
      <c r="A243" s="175"/>
      <c r="B243" s="175"/>
      <c r="C243" s="199"/>
      <c r="D243" s="203"/>
      <c r="E243" s="204"/>
      <c r="F243" s="200"/>
      <c r="G243" s="195"/>
      <c r="H243" s="175"/>
      <c r="I243" s="175" t="s">
        <v>128</v>
      </c>
      <c r="J243" s="1217" t="s">
        <v>253</v>
      </c>
      <c r="K243" s="1217"/>
      <c r="L243" s="175"/>
      <c r="M243" s="200">
        <v>90</v>
      </c>
      <c r="N243" s="808" t="s">
        <v>235</v>
      </c>
      <c r="O243" s="524"/>
      <c r="P243" s="215"/>
      <c r="Q243" s="215"/>
      <c r="R243" s="215"/>
      <c r="S243" s="215"/>
      <c r="T243" s="215"/>
      <c r="U243" s="215"/>
      <c r="V243" s="215"/>
      <c r="W243" s="80"/>
      <c r="X243" s="80"/>
      <c r="Y243" s="80"/>
      <c r="Z243" s="80"/>
      <c r="AA243" s="80"/>
      <c r="AB243" s="80"/>
      <c r="AC243" s="80"/>
      <c r="AD243" s="80"/>
      <c r="AE243" s="80"/>
      <c r="AF243" s="80"/>
    </row>
    <row r="244" spans="1:32">
      <c r="A244" s="175"/>
      <c r="B244" s="175"/>
      <c r="C244" s="199"/>
      <c r="D244" s="199"/>
      <c r="E244" s="199"/>
      <c r="F244" s="199"/>
      <c r="G244" s="175"/>
      <c r="H244" s="175"/>
      <c r="I244" s="175"/>
      <c r="J244" s="175"/>
      <c r="K244" s="175"/>
      <c r="L244" s="175"/>
      <c r="M244" s="200"/>
      <c r="N244" s="808"/>
      <c r="O244" s="524"/>
      <c r="P244" s="215"/>
      <c r="Q244" s="215"/>
      <c r="R244" s="215"/>
      <c r="S244" s="215"/>
      <c r="T244" s="215"/>
      <c r="U244" s="215"/>
      <c r="V244" s="215"/>
      <c r="W244" s="80"/>
      <c r="X244" s="80"/>
      <c r="Y244" s="80"/>
      <c r="Z244" s="80"/>
      <c r="AA244" s="80"/>
      <c r="AB244" s="80"/>
      <c r="AC244" s="80"/>
      <c r="AD244" s="80"/>
      <c r="AE244" s="80"/>
      <c r="AF244" s="80"/>
    </row>
    <row r="245" spans="1:32">
      <c r="A245" s="193" t="s">
        <v>92</v>
      </c>
      <c r="B245" s="175"/>
      <c r="C245" s="175"/>
      <c r="D245" s="175"/>
      <c r="E245" s="175"/>
      <c r="F245" s="175"/>
      <c r="G245" s="175"/>
      <c r="H245" s="193"/>
      <c r="I245" s="175" t="s">
        <v>457</v>
      </c>
      <c r="J245" s="175"/>
      <c r="K245" s="175"/>
      <c r="L245" s="175"/>
      <c r="M245" s="201"/>
      <c r="N245" s="808"/>
      <c r="O245" s="524"/>
      <c r="P245" s="215"/>
      <c r="Q245" s="215"/>
      <c r="R245" s="215"/>
      <c r="S245" s="215"/>
      <c r="T245" s="215"/>
      <c r="U245" s="215"/>
      <c r="V245" s="215"/>
      <c r="W245" s="80"/>
      <c r="X245" s="80"/>
      <c r="Y245" s="80"/>
      <c r="Z245" s="80"/>
      <c r="AA245" s="80"/>
      <c r="AB245" s="80"/>
      <c r="AC245" s="80"/>
      <c r="AD245" s="80"/>
      <c r="AE245" s="80"/>
      <c r="AF245" s="80"/>
    </row>
    <row r="246" spans="1:32">
      <c r="A246" s="175" t="s">
        <v>130</v>
      </c>
      <c r="B246" s="175"/>
      <c r="C246" s="175"/>
      <c r="D246" s="175"/>
      <c r="E246" s="206">
        <v>0.5</v>
      </c>
      <c r="F246" s="808" t="s">
        <v>248</v>
      </c>
      <c r="G246" s="195"/>
      <c r="H246" s="175"/>
      <c r="I246" s="299" t="s">
        <v>458</v>
      </c>
      <c r="J246" s="299"/>
      <c r="K246" s="299"/>
      <c r="L246" s="299"/>
      <c r="M246" s="198">
        <v>2</v>
      </c>
      <c r="N246" s="808" t="s">
        <v>459</v>
      </c>
      <c r="O246" s="524"/>
      <c r="P246" s="215"/>
      <c r="Q246" s="215"/>
      <c r="R246" s="215"/>
      <c r="S246" s="215"/>
      <c r="T246" s="215"/>
      <c r="U246" s="215"/>
      <c r="V246" s="215"/>
      <c r="W246" s="80"/>
      <c r="X246" s="80"/>
      <c r="Y246" s="80"/>
      <c r="Z246" s="80"/>
      <c r="AA246" s="80"/>
      <c r="AB246" s="80"/>
      <c r="AC246" s="80"/>
      <c r="AD246" s="80"/>
      <c r="AE246" s="80"/>
      <c r="AF246" s="80"/>
    </row>
    <row r="247" spans="1:32">
      <c r="A247" s="175" t="s">
        <v>132</v>
      </c>
      <c r="B247" s="175"/>
      <c r="C247" s="175"/>
      <c r="D247" s="175"/>
      <c r="E247" s="206">
        <v>0.5</v>
      </c>
      <c r="F247" s="808" t="s">
        <v>248</v>
      </c>
      <c r="G247" s="195"/>
      <c r="H247" s="175"/>
      <c r="I247" s="299" t="s">
        <v>460</v>
      </c>
      <c r="J247" s="299"/>
      <c r="K247" s="299"/>
      <c r="L247" s="299"/>
      <c r="M247" s="198">
        <v>15</v>
      </c>
      <c r="N247" s="808" t="s">
        <v>69</v>
      </c>
      <c r="O247" s="524"/>
      <c r="P247" s="215"/>
      <c r="Q247" s="215"/>
      <c r="R247" s="215"/>
      <c r="S247" s="215"/>
      <c r="T247" s="215"/>
      <c r="U247" s="215"/>
      <c r="V247" s="215"/>
      <c r="W247" s="80"/>
      <c r="X247" s="80"/>
      <c r="Y247" s="80"/>
      <c r="Z247" s="80"/>
      <c r="AA247" s="80"/>
      <c r="AB247" s="80"/>
      <c r="AC247" s="80"/>
      <c r="AD247" s="80"/>
      <c r="AE247" s="80"/>
      <c r="AF247" s="80"/>
    </row>
    <row r="248" spans="1:32">
      <c r="A248" s="175" t="s">
        <v>134</v>
      </c>
      <c r="B248" s="175"/>
      <c r="C248" s="175"/>
      <c r="D248" s="175"/>
      <c r="E248" s="206">
        <v>0.5</v>
      </c>
      <c r="F248" s="808" t="s">
        <v>248</v>
      </c>
      <c r="G248" s="195"/>
      <c r="H248" s="175"/>
      <c r="I248" s="299" t="s">
        <v>461</v>
      </c>
      <c r="J248" s="299"/>
      <c r="K248" s="299"/>
      <c r="L248" s="299"/>
      <c r="M248" s="198">
        <v>2</v>
      </c>
      <c r="N248" s="808" t="s">
        <v>459</v>
      </c>
      <c r="O248" s="524"/>
      <c r="P248" s="215"/>
      <c r="Q248" s="215"/>
      <c r="R248" s="215"/>
      <c r="S248" s="215"/>
      <c r="T248" s="215"/>
      <c r="U248" s="215"/>
      <c r="V248" s="215"/>
      <c r="W248" s="80"/>
      <c r="X248" s="80"/>
      <c r="Y248" s="80"/>
      <c r="Z248" s="80"/>
      <c r="AA248" s="80"/>
      <c r="AB248" s="80"/>
      <c r="AC248" s="80"/>
      <c r="AD248" s="80"/>
      <c r="AE248" s="80"/>
      <c r="AF248" s="80"/>
    </row>
    <row r="249" spans="1:32">
      <c r="A249" s="175" t="s">
        <v>136</v>
      </c>
      <c r="B249" s="175"/>
      <c r="C249" s="175"/>
      <c r="D249" s="175"/>
      <c r="E249" s="206">
        <v>0.5</v>
      </c>
      <c r="F249" s="808" t="s">
        <v>248</v>
      </c>
      <c r="G249" s="195"/>
      <c r="H249" s="175"/>
      <c r="I249" s="299" t="s">
        <v>462</v>
      </c>
      <c r="J249" s="299"/>
      <c r="K249" s="299"/>
      <c r="L249" s="299"/>
      <c r="M249" s="300">
        <v>8</v>
      </c>
      <c r="N249" s="808" t="s">
        <v>469</v>
      </c>
      <c r="O249" s="524"/>
      <c r="P249" s="215"/>
      <c r="Q249" s="215"/>
      <c r="R249" s="215"/>
      <c r="S249" s="215"/>
      <c r="T249" s="215"/>
      <c r="U249" s="215"/>
      <c r="V249" s="215"/>
      <c r="W249" s="80"/>
      <c r="X249" s="80"/>
      <c r="Y249" s="80"/>
      <c r="Z249" s="80"/>
      <c r="AA249" s="80"/>
      <c r="AB249" s="80"/>
      <c r="AC249" s="80"/>
      <c r="AD249" s="80"/>
      <c r="AE249" s="80"/>
      <c r="AF249" s="80"/>
    </row>
    <row r="250" spans="1:32">
      <c r="A250" s="175" t="s">
        <v>138</v>
      </c>
      <c r="B250" s="175"/>
      <c r="C250" s="175"/>
      <c r="D250" s="175"/>
      <c r="E250" s="206">
        <v>0.5</v>
      </c>
      <c r="F250" s="808" t="s">
        <v>248</v>
      </c>
      <c r="G250" s="195"/>
      <c r="H250" s="175"/>
      <c r="I250" s="299" t="s">
        <v>463</v>
      </c>
      <c r="J250" s="299"/>
      <c r="K250" s="299"/>
      <c r="L250" s="299"/>
      <c r="M250" s="198">
        <v>2</v>
      </c>
      <c r="N250" s="808" t="s">
        <v>459</v>
      </c>
      <c r="O250" s="524"/>
      <c r="P250" s="215"/>
      <c r="Q250" s="215"/>
      <c r="R250" s="215"/>
      <c r="S250" s="215"/>
      <c r="T250" s="215"/>
      <c r="U250" s="215"/>
      <c r="V250" s="215"/>
      <c r="W250" s="80"/>
      <c r="X250" s="80"/>
      <c r="Y250" s="80"/>
      <c r="Z250" s="80"/>
      <c r="AA250" s="80"/>
      <c r="AB250" s="80"/>
      <c r="AC250" s="80"/>
      <c r="AD250" s="80"/>
      <c r="AE250" s="80"/>
      <c r="AF250" s="80"/>
    </row>
    <row r="251" spans="1:32">
      <c r="A251" s="175" t="s">
        <v>140</v>
      </c>
      <c r="B251" s="175"/>
      <c r="C251" s="175"/>
      <c r="D251" s="202">
        <v>0</v>
      </c>
      <c r="E251" s="200">
        <v>30</v>
      </c>
      <c r="F251" s="808" t="s">
        <v>235</v>
      </c>
      <c r="G251" s="195"/>
      <c r="H251" s="175"/>
      <c r="I251" s="1226" t="s">
        <v>464</v>
      </c>
      <c r="J251" s="1226"/>
      <c r="K251" s="1226"/>
      <c r="L251" s="1226"/>
      <c r="M251" s="198">
        <v>2</v>
      </c>
      <c r="N251" s="810" t="s">
        <v>459</v>
      </c>
      <c r="O251" s="524"/>
      <c r="P251" s="215"/>
      <c r="Q251" s="215"/>
      <c r="R251" s="215"/>
      <c r="S251" s="215"/>
      <c r="T251" s="215"/>
      <c r="U251" s="215"/>
      <c r="V251" s="215"/>
      <c r="W251" s="80"/>
      <c r="X251" s="80"/>
      <c r="Y251" s="80"/>
      <c r="Z251" s="80"/>
      <c r="AA251" s="80"/>
      <c r="AB251" s="80"/>
      <c r="AC251" s="80"/>
      <c r="AD251" s="80"/>
      <c r="AE251" s="80"/>
      <c r="AF251" s="80"/>
    </row>
    <row r="252" spans="1:32">
      <c r="A252" s="175" t="s">
        <v>249</v>
      </c>
      <c r="B252" s="175"/>
      <c r="C252" s="175"/>
      <c r="D252" s="175"/>
      <c r="E252" s="207">
        <v>1.5</v>
      </c>
      <c r="F252" s="808" t="s">
        <v>248</v>
      </c>
      <c r="G252" s="195"/>
      <c r="H252" s="175"/>
      <c r="I252" s="1226" t="s">
        <v>465</v>
      </c>
      <c r="J252" s="1226"/>
      <c r="K252" s="1226"/>
      <c r="L252" s="1226"/>
      <c r="M252" s="198">
        <v>8</v>
      </c>
      <c r="N252" s="195" t="s">
        <v>459</v>
      </c>
      <c r="O252" s="524"/>
      <c r="P252" s="215"/>
      <c r="Q252" s="215"/>
      <c r="R252" s="215"/>
      <c r="S252" s="215"/>
      <c r="T252" s="215"/>
      <c r="U252" s="215"/>
      <c r="V252" s="215"/>
      <c r="W252" s="80"/>
      <c r="X252" s="80"/>
      <c r="Y252" s="80"/>
      <c r="Z252" s="80"/>
      <c r="AA252" s="80"/>
      <c r="AB252" s="80"/>
      <c r="AC252" s="80"/>
      <c r="AD252" s="80"/>
      <c r="AE252" s="80"/>
      <c r="AF252" s="80"/>
    </row>
    <row r="253" spans="1:32">
      <c r="A253" s="175" t="s">
        <v>250</v>
      </c>
      <c r="B253" s="175"/>
      <c r="C253" s="175"/>
      <c r="D253" s="175"/>
      <c r="E253" s="207">
        <v>0.5</v>
      </c>
      <c r="F253" s="808" t="s">
        <v>248</v>
      </c>
      <c r="G253" s="195"/>
      <c r="H253" s="175"/>
      <c r="I253" s="1226" t="s">
        <v>466</v>
      </c>
      <c r="J253" s="1226"/>
      <c r="K253" s="1226"/>
      <c r="L253" s="1226"/>
      <c r="M253" s="205">
        <v>4</v>
      </c>
      <c r="N253" s="175" t="s">
        <v>238</v>
      </c>
      <c r="O253" s="524"/>
      <c r="P253" s="215"/>
      <c r="Q253" s="215"/>
      <c r="R253" s="215"/>
      <c r="S253" s="215"/>
      <c r="T253" s="215"/>
      <c r="U253" s="215"/>
      <c r="V253" s="215"/>
      <c r="W253" s="80"/>
      <c r="X253" s="80"/>
      <c r="Y253" s="80"/>
      <c r="Z253" s="80"/>
      <c r="AA253" s="80"/>
      <c r="AB253" s="80"/>
      <c r="AC253" s="80"/>
      <c r="AD253" s="80"/>
      <c r="AE253" s="80"/>
      <c r="AF253" s="80"/>
    </row>
    <row r="254" spans="1:32">
      <c r="A254" s="193" t="s">
        <v>154</v>
      </c>
      <c r="B254" s="175"/>
      <c r="C254" s="175"/>
      <c r="D254" s="175"/>
      <c r="E254" s="175"/>
      <c r="F254" s="175"/>
      <c r="G254" s="175"/>
      <c r="H254" s="175"/>
      <c r="I254" s="1226" t="s">
        <v>467</v>
      </c>
      <c r="J254" s="1226"/>
      <c r="K254" s="1226"/>
      <c r="L254" s="1226"/>
      <c r="M254" s="205">
        <v>2</v>
      </c>
      <c r="N254" s="175" t="s">
        <v>459</v>
      </c>
      <c r="O254" s="524"/>
      <c r="P254" s="215"/>
      <c r="Q254" s="215"/>
      <c r="R254" s="215"/>
      <c r="S254" s="215"/>
      <c r="T254" s="215"/>
      <c r="U254" s="215"/>
      <c r="V254" s="215"/>
      <c r="W254" s="80"/>
      <c r="X254" s="80"/>
      <c r="Y254" s="80"/>
      <c r="Z254" s="80"/>
      <c r="AA254" s="80"/>
      <c r="AB254" s="80"/>
      <c r="AC254" s="80"/>
      <c r="AD254" s="80"/>
      <c r="AE254" s="80"/>
      <c r="AF254" s="80"/>
    </row>
    <row r="255" spans="1:32">
      <c r="A255" s="194"/>
      <c r="B255" s="175"/>
      <c r="C255" s="175"/>
      <c r="D255" s="175"/>
      <c r="E255" s="175"/>
      <c r="F255" s="175"/>
      <c r="G255" s="175"/>
      <c r="H255" s="175"/>
      <c r="I255" s="1226" t="s">
        <v>468</v>
      </c>
      <c r="J255" s="1226"/>
      <c r="K255" s="1226"/>
      <c r="L255" s="1226"/>
      <c r="M255" s="205">
        <v>2</v>
      </c>
      <c r="N255" s="175" t="s">
        <v>459</v>
      </c>
      <c r="O255" s="524"/>
      <c r="P255" s="215"/>
      <c r="Q255" s="215"/>
      <c r="R255" s="215"/>
      <c r="S255" s="215"/>
      <c r="T255" s="215"/>
      <c r="U255" s="215"/>
      <c r="V255" s="215"/>
      <c r="W255" s="80"/>
      <c r="X255" s="80"/>
      <c r="Y255" s="80"/>
      <c r="Z255" s="80"/>
      <c r="AA255" s="80"/>
      <c r="AB255" s="80"/>
      <c r="AC255" s="80"/>
      <c r="AD255" s="80"/>
      <c r="AE255" s="80"/>
      <c r="AF255" s="80"/>
    </row>
    <row r="256" spans="1:32">
      <c r="A256" s="194" t="s">
        <v>155</v>
      </c>
      <c r="B256" s="175"/>
      <c r="C256" s="175"/>
      <c r="D256" s="175"/>
      <c r="E256" s="175"/>
      <c r="F256" s="175"/>
      <c r="G256" s="175"/>
      <c r="H256" s="175"/>
      <c r="I256" s="175"/>
      <c r="J256" s="175"/>
      <c r="K256" s="175"/>
      <c r="L256" s="175"/>
      <c r="M256" s="175"/>
      <c r="N256" s="175"/>
      <c r="O256" s="524"/>
      <c r="P256" s="215"/>
      <c r="Q256" s="215"/>
      <c r="R256" s="215"/>
      <c r="S256" s="215"/>
      <c r="T256" s="215"/>
      <c r="U256" s="215"/>
      <c r="V256" s="215"/>
      <c r="W256" s="80"/>
      <c r="X256" s="80"/>
      <c r="Y256" s="80"/>
      <c r="Z256" s="80"/>
      <c r="AA256" s="80"/>
      <c r="AB256" s="80"/>
      <c r="AC256" s="80"/>
      <c r="AD256" s="80"/>
      <c r="AE256" s="80"/>
      <c r="AF256" s="80"/>
    </row>
    <row r="257" spans="1:32">
      <c r="A257" s="175" t="s">
        <v>156</v>
      </c>
      <c r="B257" s="175"/>
      <c r="C257" s="175"/>
      <c r="D257" s="175"/>
      <c r="E257" s="175"/>
      <c r="F257" s="175"/>
      <c r="G257" s="175"/>
      <c r="H257" s="175"/>
      <c r="I257" s="175"/>
      <c r="J257" s="175"/>
      <c r="K257" s="175"/>
      <c r="L257" s="175"/>
      <c r="M257" s="175"/>
      <c r="N257" s="175"/>
      <c r="O257" s="524"/>
      <c r="P257" s="215"/>
      <c r="Q257" s="215"/>
      <c r="R257" s="215"/>
      <c r="S257" s="215"/>
      <c r="T257" s="215"/>
      <c r="U257" s="215"/>
      <c r="V257" s="215"/>
      <c r="W257" s="80"/>
      <c r="X257" s="80"/>
      <c r="Y257" s="80"/>
      <c r="Z257" s="80"/>
      <c r="AA257" s="80"/>
      <c r="AB257" s="80"/>
      <c r="AC257" s="80"/>
      <c r="AD257" s="80"/>
      <c r="AE257" s="80"/>
      <c r="AF257" s="80"/>
    </row>
    <row r="258" spans="1:32">
      <c r="A258" s="175" t="s">
        <v>157</v>
      </c>
      <c r="B258" s="175"/>
      <c r="C258" s="175"/>
      <c r="D258" s="195">
        <v>40</v>
      </c>
      <c r="E258" s="195" t="s">
        <v>235</v>
      </c>
      <c r="F258" s="195"/>
      <c r="G258" s="175"/>
      <c r="H258" s="175"/>
      <c r="I258" s="175"/>
      <c r="J258" s="175"/>
      <c r="K258" s="175"/>
      <c r="L258" s="175"/>
      <c r="M258" s="175"/>
      <c r="N258" s="175"/>
      <c r="O258" s="524"/>
      <c r="P258" s="215"/>
      <c r="Q258" s="215"/>
      <c r="R258" s="215"/>
      <c r="S258" s="215"/>
      <c r="T258" s="215"/>
      <c r="U258" s="215"/>
      <c r="V258" s="215"/>
      <c r="W258" s="80"/>
      <c r="X258" s="80"/>
      <c r="Y258" s="80"/>
      <c r="Z258" s="80"/>
      <c r="AA258" s="80"/>
      <c r="AB258" s="80"/>
      <c r="AC258" s="80"/>
      <c r="AD258" s="80"/>
      <c r="AE258" s="80"/>
      <c r="AF258" s="80"/>
    </row>
    <row r="259" spans="1:32">
      <c r="A259" s="175" t="s">
        <v>158</v>
      </c>
      <c r="B259" s="175"/>
      <c r="C259" s="175"/>
      <c r="D259" s="195">
        <v>10</v>
      </c>
      <c r="E259" s="195" t="s">
        <v>238</v>
      </c>
      <c r="F259" s="195"/>
      <c r="G259" s="175"/>
      <c r="H259" s="175"/>
      <c r="I259" s="175"/>
      <c r="J259" s="175"/>
      <c r="K259" s="175"/>
      <c r="L259" s="175"/>
      <c r="M259" s="175"/>
      <c r="N259" s="175"/>
      <c r="O259" s="524"/>
      <c r="P259" s="215"/>
      <c r="Q259" s="215"/>
      <c r="R259" s="215"/>
      <c r="S259" s="215"/>
      <c r="T259" s="215"/>
      <c r="U259" s="215"/>
      <c r="V259" s="215"/>
      <c r="W259" s="80"/>
      <c r="X259" s="80"/>
      <c r="Y259" s="80"/>
      <c r="Z259" s="80"/>
      <c r="AA259" s="80"/>
      <c r="AB259" s="80"/>
      <c r="AC259" s="80"/>
      <c r="AD259" s="80"/>
      <c r="AE259" s="80"/>
      <c r="AF259" s="80"/>
    </row>
    <row r="260" spans="1:32">
      <c r="A260" s="175" t="s">
        <v>159</v>
      </c>
      <c r="B260" s="175"/>
      <c r="C260" s="175"/>
      <c r="D260" s="195">
        <v>6</v>
      </c>
      <c r="E260" s="195" t="s">
        <v>238</v>
      </c>
      <c r="F260" s="195"/>
      <c r="G260" s="175"/>
      <c r="H260" s="175"/>
      <c r="I260" s="175"/>
      <c r="J260" s="175"/>
      <c r="K260" s="175"/>
      <c r="L260" s="175"/>
      <c r="M260" s="175"/>
      <c r="N260" s="175"/>
      <c r="O260" s="524"/>
      <c r="P260" s="215"/>
      <c r="Q260" s="215"/>
      <c r="R260" s="215"/>
      <c r="S260" s="215"/>
      <c r="T260" s="215"/>
      <c r="U260" s="215"/>
      <c r="V260" s="215"/>
      <c r="W260" s="80"/>
      <c r="X260" s="80"/>
      <c r="Y260" s="80"/>
      <c r="Z260" s="80"/>
      <c r="AA260" s="80"/>
      <c r="AB260" s="80"/>
      <c r="AC260" s="80"/>
      <c r="AD260" s="80"/>
      <c r="AE260" s="80"/>
      <c r="AF260" s="80"/>
    </row>
    <row r="261" spans="1:32">
      <c r="A261" s="175" t="s">
        <v>160</v>
      </c>
      <c r="B261" s="175"/>
      <c r="C261" s="175"/>
      <c r="D261" s="195">
        <v>3</v>
      </c>
      <c r="E261" s="195" t="s">
        <v>238</v>
      </c>
      <c r="F261" s="195"/>
      <c r="G261" s="175"/>
      <c r="H261" s="175"/>
      <c r="I261" s="175"/>
      <c r="J261" s="175"/>
      <c r="K261" s="175"/>
      <c r="L261" s="175"/>
      <c r="M261" s="175"/>
      <c r="N261" s="175"/>
      <c r="O261" s="524"/>
      <c r="P261" s="215"/>
      <c r="Q261" s="215"/>
      <c r="R261" s="215"/>
      <c r="S261" s="215"/>
      <c r="T261" s="215"/>
      <c r="U261" s="215"/>
      <c r="V261" s="215"/>
      <c r="W261" s="80"/>
      <c r="X261" s="80"/>
      <c r="Y261" s="80"/>
      <c r="Z261" s="80"/>
      <c r="AA261" s="80"/>
      <c r="AB261" s="80"/>
      <c r="AC261" s="80"/>
      <c r="AD261" s="80"/>
      <c r="AE261" s="80"/>
      <c r="AF261" s="80"/>
    </row>
    <row r="262" spans="1:32">
      <c r="A262" s="175" t="s">
        <v>161</v>
      </c>
      <c r="B262" s="175"/>
      <c r="C262" s="175"/>
      <c r="D262" s="1220" t="s">
        <v>239</v>
      </c>
      <c r="E262" s="1220"/>
      <c r="F262" s="1220"/>
      <c r="G262" s="175"/>
      <c r="H262" s="175"/>
      <c r="I262" s="175"/>
      <c r="J262" s="175"/>
      <c r="K262" s="175"/>
      <c r="L262" s="175"/>
      <c r="M262" s="175"/>
      <c r="N262" s="175"/>
      <c r="O262" s="524"/>
      <c r="P262" s="215"/>
      <c r="Q262" s="215"/>
      <c r="R262" s="215"/>
      <c r="S262" s="215"/>
      <c r="T262" s="215"/>
      <c r="U262" s="215"/>
      <c r="V262" s="215"/>
      <c r="W262" s="80"/>
      <c r="X262" s="80"/>
      <c r="Y262" s="80"/>
      <c r="Z262" s="80"/>
      <c r="AA262" s="80"/>
      <c r="AB262" s="80"/>
      <c r="AC262" s="80"/>
      <c r="AD262" s="80"/>
      <c r="AE262" s="80"/>
      <c r="AF262" s="80"/>
    </row>
    <row r="263" spans="1:32">
      <c r="A263" s="175" t="s">
        <v>162</v>
      </c>
      <c r="B263" s="175"/>
      <c r="C263" s="175"/>
      <c r="D263" s="195">
        <v>6</v>
      </c>
      <c r="E263" s="195" t="s">
        <v>238</v>
      </c>
      <c r="F263" s="195"/>
      <c r="G263" s="175"/>
      <c r="H263" s="175"/>
      <c r="I263" s="175"/>
      <c r="J263" s="175"/>
      <c r="K263" s="175"/>
      <c r="L263" s="175"/>
      <c r="M263" s="175"/>
      <c r="N263" s="175"/>
      <c r="O263" s="524"/>
      <c r="P263" s="215"/>
      <c r="Q263" s="215"/>
      <c r="R263" s="215"/>
      <c r="S263" s="215"/>
      <c r="T263" s="215"/>
      <c r="U263" s="215"/>
      <c r="V263" s="215"/>
      <c r="W263" s="80"/>
      <c r="X263" s="80"/>
      <c r="Y263" s="80"/>
      <c r="Z263" s="80"/>
      <c r="AA263" s="80"/>
      <c r="AB263" s="80"/>
      <c r="AC263" s="80"/>
      <c r="AD263" s="80"/>
      <c r="AE263" s="80"/>
      <c r="AF263" s="80"/>
    </row>
    <row r="264" spans="1:32">
      <c r="A264" s="175" t="s">
        <v>240</v>
      </c>
      <c r="B264" s="175"/>
      <c r="C264" s="175"/>
      <c r="D264" s="195">
        <v>10</v>
      </c>
      <c r="E264" s="195" t="s">
        <v>238</v>
      </c>
      <c r="F264" s="195"/>
      <c r="G264" s="175"/>
      <c r="H264" s="175"/>
      <c r="I264" s="175"/>
      <c r="J264" s="175"/>
      <c r="K264" s="175"/>
      <c r="L264" s="175"/>
      <c r="M264" s="175"/>
      <c r="N264" s="175"/>
      <c r="O264" s="524"/>
      <c r="P264" s="215"/>
      <c r="Q264" s="215"/>
      <c r="R264" s="215"/>
      <c r="S264" s="215"/>
      <c r="T264" s="215"/>
      <c r="U264" s="215"/>
      <c r="V264" s="215"/>
      <c r="W264" s="80"/>
      <c r="X264" s="80"/>
      <c r="Y264" s="80"/>
      <c r="Z264" s="80"/>
      <c r="AA264" s="80"/>
      <c r="AB264" s="80"/>
      <c r="AC264" s="80"/>
      <c r="AD264" s="80"/>
      <c r="AE264" s="80"/>
      <c r="AF264" s="80"/>
    </row>
    <row r="265" spans="1:32">
      <c r="A265" s="193" t="s">
        <v>163</v>
      </c>
      <c r="B265" s="175"/>
      <c r="C265" s="175"/>
      <c r="D265" s="175"/>
      <c r="E265" s="175"/>
      <c r="F265" s="175"/>
      <c r="G265" s="175"/>
      <c r="H265" s="175"/>
      <c r="I265" s="175"/>
      <c r="J265" s="175"/>
      <c r="K265" s="175"/>
      <c r="L265" s="175"/>
      <c r="M265" s="175"/>
      <c r="N265" s="175"/>
      <c r="O265" s="524"/>
      <c r="P265" s="215"/>
      <c r="Q265" s="215"/>
      <c r="R265" s="215"/>
      <c r="S265" s="215"/>
      <c r="T265" s="215"/>
      <c r="U265" s="215"/>
      <c r="V265" s="215"/>
      <c r="W265" s="80"/>
      <c r="X265" s="80"/>
      <c r="Y265" s="80"/>
      <c r="Z265" s="80"/>
      <c r="AA265" s="80"/>
      <c r="AB265" s="80"/>
      <c r="AC265" s="80"/>
      <c r="AD265" s="80"/>
      <c r="AE265" s="80"/>
      <c r="AF265" s="80"/>
    </row>
    <row r="266" spans="1:32">
      <c r="A266" s="175" t="s">
        <v>164</v>
      </c>
      <c r="B266" s="175"/>
      <c r="C266" s="175"/>
      <c r="D266" s="175"/>
      <c r="E266" s="175"/>
      <c r="F266" s="175"/>
      <c r="G266" s="175"/>
      <c r="H266" s="175"/>
      <c r="I266" s="175"/>
      <c r="J266" s="175"/>
      <c r="K266" s="175"/>
      <c r="L266" s="175"/>
      <c r="M266" s="175"/>
      <c r="N266" s="175"/>
      <c r="O266" s="524"/>
      <c r="P266" s="215"/>
      <c r="Q266" s="215"/>
      <c r="R266" s="215"/>
      <c r="S266" s="215"/>
      <c r="T266" s="215"/>
      <c r="U266" s="215"/>
      <c r="V266" s="215"/>
      <c r="W266" s="80"/>
      <c r="X266" s="80"/>
      <c r="Y266" s="80"/>
      <c r="Z266" s="80"/>
      <c r="AA266" s="80"/>
      <c r="AB266" s="80"/>
      <c r="AC266" s="80"/>
      <c r="AD266" s="80"/>
      <c r="AE266" s="80"/>
      <c r="AF266" s="80"/>
    </row>
    <row r="267" spans="1:32">
      <c r="A267" s="175" t="s">
        <v>165</v>
      </c>
      <c r="B267" s="175"/>
      <c r="C267" s="175"/>
      <c r="D267" s="175"/>
      <c r="E267" s="175"/>
      <c r="F267" s="175"/>
      <c r="G267" s="175"/>
      <c r="H267" s="175"/>
      <c r="I267" s="175"/>
      <c r="J267" s="175"/>
      <c r="K267" s="175"/>
      <c r="L267" s="175"/>
      <c r="M267" s="175"/>
      <c r="N267" s="175"/>
      <c r="O267" s="524"/>
      <c r="P267" s="215"/>
      <c r="Q267" s="215"/>
      <c r="R267" s="215"/>
      <c r="S267" s="215"/>
      <c r="T267" s="215"/>
      <c r="U267" s="215"/>
      <c r="V267" s="215"/>
      <c r="W267" s="80"/>
      <c r="X267" s="80"/>
      <c r="Y267" s="80"/>
      <c r="Z267" s="80"/>
      <c r="AA267" s="80"/>
      <c r="AB267" s="80"/>
      <c r="AC267" s="80"/>
      <c r="AD267" s="80"/>
      <c r="AE267" s="80"/>
      <c r="AF267" s="80"/>
    </row>
    <row r="268" spans="1:32">
      <c r="A268" s="175" t="s">
        <v>166</v>
      </c>
      <c r="B268" s="175"/>
      <c r="C268" s="175"/>
      <c r="D268" s="175"/>
      <c r="E268" s="175"/>
      <c r="F268" s="175"/>
      <c r="G268" s="175"/>
      <c r="H268" s="175"/>
      <c r="I268" s="175"/>
      <c r="J268" s="175"/>
      <c r="K268" s="175"/>
      <c r="L268" s="175"/>
      <c r="M268" s="175"/>
      <c r="N268" s="175"/>
      <c r="O268" s="524"/>
      <c r="P268" s="215"/>
      <c r="Q268" s="215"/>
      <c r="R268" s="215"/>
      <c r="S268" s="215"/>
      <c r="T268" s="215"/>
      <c r="U268" s="215"/>
      <c r="V268" s="215"/>
      <c r="W268" s="80"/>
      <c r="X268" s="80"/>
      <c r="Y268" s="80"/>
      <c r="Z268" s="80"/>
      <c r="AA268" s="80"/>
      <c r="AB268" s="80"/>
      <c r="AC268" s="80"/>
      <c r="AD268" s="80"/>
      <c r="AE268" s="80"/>
      <c r="AF268" s="80"/>
    </row>
    <row r="269" spans="1:32">
      <c r="A269" s="175" t="s">
        <v>167</v>
      </c>
      <c r="B269" s="175"/>
      <c r="C269" s="175"/>
      <c r="D269" s="175"/>
      <c r="E269" s="175"/>
      <c r="F269" s="175"/>
      <c r="G269" s="175"/>
      <c r="H269" s="175"/>
      <c r="I269" s="175"/>
      <c r="J269" s="175"/>
      <c r="K269" s="175"/>
      <c r="L269" s="175"/>
      <c r="M269" s="175"/>
      <c r="N269" s="175"/>
      <c r="O269" s="524"/>
      <c r="P269" s="215"/>
      <c r="Q269" s="215"/>
      <c r="R269" s="215"/>
      <c r="S269" s="215"/>
      <c r="T269" s="215"/>
      <c r="U269" s="215"/>
      <c r="V269" s="215"/>
      <c r="W269" s="80"/>
      <c r="X269" s="80"/>
      <c r="Y269" s="80"/>
      <c r="Z269" s="80"/>
      <c r="AA269" s="80"/>
      <c r="AB269" s="80"/>
      <c r="AC269" s="80"/>
      <c r="AD269" s="80"/>
      <c r="AE269" s="80"/>
      <c r="AF269" s="80"/>
    </row>
    <row r="270" spans="1:32">
      <c r="A270" s="175" t="s">
        <v>168</v>
      </c>
      <c r="B270" s="175"/>
      <c r="C270" s="175"/>
      <c r="D270" s="175"/>
      <c r="E270" s="175"/>
      <c r="F270" s="175"/>
      <c r="G270" s="175"/>
      <c r="H270" s="175"/>
      <c r="I270" s="175"/>
      <c r="J270" s="175"/>
      <c r="K270" s="175"/>
      <c r="L270" s="175"/>
      <c r="M270" s="175"/>
      <c r="N270" s="175"/>
      <c r="O270" s="524"/>
      <c r="P270" s="215"/>
      <c r="Q270" s="215"/>
      <c r="R270" s="215" t="s">
        <v>470</v>
      </c>
      <c r="S270" s="215"/>
      <c r="T270" s="215"/>
      <c r="U270" s="215"/>
      <c r="V270" s="215"/>
      <c r="W270" s="80"/>
      <c r="X270" s="80"/>
      <c r="Y270" s="80"/>
      <c r="Z270" s="80"/>
      <c r="AA270" s="80"/>
      <c r="AB270" s="80"/>
      <c r="AC270" s="80"/>
      <c r="AD270" s="80"/>
      <c r="AE270" s="80"/>
      <c r="AF270" s="80"/>
    </row>
    <row r="271" spans="1:32">
      <c r="A271" s="175" t="s">
        <v>294</v>
      </c>
      <c r="B271" s="175"/>
      <c r="C271" s="175"/>
      <c r="D271" s="175"/>
      <c r="E271" s="175"/>
      <c r="F271" s="175"/>
      <c r="G271" s="175"/>
      <c r="H271" s="175"/>
      <c r="I271" s="175"/>
      <c r="J271" s="175"/>
      <c r="K271" s="175"/>
      <c r="L271" s="175"/>
      <c r="M271" s="175"/>
      <c r="N271" s="175"/>
      <c r="O271" s="524"/>
      <c r="P271" s="215"/>
      <c r="Q271" s="215"/>
      <c r="R271" s="215" t="s">
        <v>329</v>
      </c>
      <c r="S271" s="215"/>
      <c r="T271" s="215">
        <v>1</v>
      </c>
      <c r="U271" s="215">
        <v>1</v>
      </c>
      <c r="V271" s="215"/>
      <c r="W271" s="80"/>
      <c r="X271" s="80"/>
      <c r="Y271" s="80"/>
      <c r="Z271" s="80"/>
      <c r="AA271" s="80"/>
      <c r="AB271" s="80"/>
      <c r="AC271" s="80"/>
      <c r="AD271" s="80"/>
      <c r="AE271" s="80"/>
      <c r="AF271" s="80"/>
    </row>
    <row r="272" spans="1:32">
      <c r="A272" s="1215" t="s">
        <v>293</v>
      </c>
      <c r="B272" s="1215"/>
      <c r="C272" s="1215"/>
      <c r="D272" s="1215"/>
      <c r="E272" s="1215"/>
      <c r="F272" s="1215"/>
      <c r="G272" s="1215"/>
      <c r="H272" s="1215"/>
      <c r="I272" s="1215"/>
      <c r="J272" s="1215"/>
      <c r="K272" s="1215"/>
      <c r="L272" s="1215"/>
      <c r="M272" s="1215"/>
      <c r="N272" s="1215"/>
      <c r="O272" s="524"/>
      <c r="P272" s="215" t="s">
        <v>397</v>
      </c>
      <c r="Q272" s="215"/>
      <c r="R272" s="215" t="s">
        <v>330</v>
      </c>
      <c r="S272" s="215"/>
      <c r="T272" s="215">
        <v>2</v>
      </c>
      <c r="U272" s="215">
        <v>2</v>
      </c>
      <c r="V272" s="215"/>
      <c r="W272" s="80"/>
      <c r="X272" s="80"/>
      <c r="Y272" s="80"/>
      <c r="Z272" s="80"/>
      <c r="AA272" s="80"/>
      <c r="AB272" s="80"/>
      <c r="AC272" s="80"/>
      <c r="AD272" s="80"/>
      <c r="AE272" s="80"/>
      <c r="AF272" s="80"/>
    </row>
    <row r="273" spans="1:32">
      <c r="A273" s="175" t="s">
        <v>169</v>
      </c>
      <c r="B273" s="175"/>
      <c r="C273" s="175"/>
      <c r="D273" s="175"/>
      <c r="E273" s="175"/>
      <c r="F273" s="175"/>
      <c r="G273" s="175"/>
      <c r="H273" s="175"/>
      <c r="I273" s="175"/>
      <c r="J273" s="175"/>
      <c r="K273" s="175"/>
      <c r="L273" s="175"/>
      <c r="M273" s="175"/>
      <c r="N273" s="175"/>
      <c r="O273" s="524"/>
      <c r="P273" s="215" t="s">
        <v>324</v>
      </c>
      <c r="Q273" s="215"/>
      <c r="R273" s="215" t="s">
        <v>331</v>
      </c>
      <c r="S273" s="215"/>
      <c r="T273" s="215">
        <v>3</v>
      </c>
      <c r="U273" s="215">
        <v>3</v>
      </c>
      <c r="V273" s="215"/>
      <c r="W273" s="80"/>
      <c r="X273" s="80"/>
      <c r="Y273" s="80"/>
      <c r="Z273" s="80"/>
      <c r="AA273" s="80"/>
      <c r="AB273" s="80"/>
      <c r="AC273" s="80"/>
      <c r="AD273" s="80"/>
      <c r="AE273" s="80"/>
      <c r="AF273" s="80"/>
    </row>
    <row r="274" spans="1:32">
      <c r="A274" s="175" t="s">
        <v>170</v>
      </c>
      <c r="B274" s="175"/>
      <c r="C274" s="175"/>
      <c r="D274" s="175"/>
      <c r="E274" s="175"/>
      <c r="F274" s="175"/>
      <c r="G274" s="175"/>
      <c r="H274" s="175"/>
      <c r="I274" s="175"/>
      <c r="J274" s="175"/>
      <c r="K274" s="175"/>
      <c r="L274" s="175"/>
      <c r="M274" s="175"/>
      <c r="N274" s="175"/>
      <c r="O274" s="524"/>
      <c r="P274" s="215" t="s">
        <v>325</v>
      </c>
      <c r="Q274" s="215"/>
      <c r="R274" s="215" t="s">
        <v>332</v>
      </c>
      <c r="S274" s="215"/>
      <c r="T274" s="215">
        <v>4</v>
      </c>
      <c r="U274" s="215">
        <v>4</v>
      </c>
      <c r="V274" s="215"/>
      <c r="W274" s="80"/>
      <c r="X274" s="80"/>
      <c r="Y274" s="80"/>
      <c r="Z274" s="80"/>
      <c r="AA274" s="80"/>
      <c r="AB274" s="80"/>
      <c r="AC274" s="80"/>
      <c r="AD274" s="80"/>
      <c r="AE274" s="80"/>
      <c r="AF274" s="80"/>
    </row>
    <row r="275" spans="1:32">
      <c r="A275" s="175"/>
      <c r="B275" s="175"/>
      <c r="C275" s="175"/>
      <c r="D275" s="175"/>
      <c r="E275" s="175"/>
      <c r="F275" s="175"/>
      <c r="G275" s="175"/>
      <c r="H275" s="175"/>
      <c r="I275" s="175"/>
      <c r="J275" s="175"/>
      <c r="K275" s="175"/>
      <c r="L275" s="175"/>
      <c r="M275" s="175"/>
      <c r="N275" s="175"/>
      <c r="O275" s="524"/>
      <c r="P275" s="215" t="s">
        <v>326</v>
      </c>
      <c r="Q275" s="215"/>
      <c r="R275" s="215" t="s">
        <v>333</v>
      </c>
      <c r="S275" s="215"/>
      <c r="T275" s="215">
        <v>5</v>
      </c>
      <c r="U275" s="215">
        <v>5</v>
      </c>
      <c r="V275" s="215"/>
      <c r="W275" s="80"/>
      <c r="X275" s="80"/>
      <c r="Y275" s="80"/>
      <c r="Z275" s="80"/>
      <c r="AA275" s="80"/>
      <c r="AB275" s="80"/>
      <c r="AC275" s="80"/>
      <c r="AD275" s="80"/>
      <c r="AE275" s="80"/>
      <c r="AF275" s="80"/>
    </row>
    <row r="276" spans="1:32">
      <c r="A276" s="175"/>
      <c r="B276" s="175"/>
      <c r="C276" s="175"/>
      <c r="D276" s="175"/>
      <c r="E276" s="175"/>
      <c r="F276" s="175"/>
      <c r="G276" s="175"/>
      <c r="H276" s="175"/>
      <c r="I276" s="175"/>
      <c r="J276" s="175"/>
      <c r="K276" s="175"/>
      <c r="L276" s="175"/>
      <c r="M276" s="175"/>
      <c r="N276" s="175"/>
      <c r="O276" s="524"/>
      <c r="P276" s="215"/>
      <c r="Q276" s="215"/>
      <c r="R276" s="215"/>
      <c r="S276" s="215"/>
      <c r="T276" s="215"/>
      <c r="U276" s="215"/>
      <c r="V276" s="215"/>
      <c r="W276" s="80"/>
      <c r="X276" s="80"/>
      <c r="Y276" s="80"/>
      <c r="Z276" s="80"/>
      <c r="AA276" s="80"/>
      <c r="AB276" s="80"/>
      <c r="AC276" s="80"/>
      <c r="AD276" s="80"/>
      <c r="AE276" s="80"/>
      <c r="AF276" s="80"/>
    </row>
    <row r="277" spans="1:32">
      <c r="A277" s="1047" t="s">
        <v>71</v>
      </c>
      <c r="B277" s="1047"/>
      <c r="C277" s="1047"/>
      <c r="D277" s="1047"/>
      <c r="E277" s="1047"/>
      <c r="F277" s="1047"/>
      <c r="G277" s="1047"/>
      <c r="H277" s="1047"/>
      <c r="I277" s="1047"/>
      <c r="J277" s="1047"/>
      <c r="K277" s="1047"/>
      <c r="L277" s="1047"/>
      <c r="M277" s="1047"/>
      <c r="N277" s="1047"/>
      <c r="O277" s="215"/>
      <c r="P277" s="215" t="s">
        <v>327</v>
      </c>
      <c r="Q277" s="215"/>
      <c r="R277" s="215" t="s">
        <v>334</v>
      </c>
      <c r="S277" s="215"/>
      <c r="T277" s="215">
        <v>6</v>
      </c>
      <c r="U277" s="215">
        <v>6</v>
      </c>
      <c r="V277" s="215"/>
      <c r="W277" s="80"/>
      <c r="X277" s="80"/>
      <c r="Y277" s="80"/>
      <c r="Z277" s="80"/>
      <c r="AA277" s="80"/>
      <c r="AB277" s="80"/>
      <c r="AC277" s="80"/>
      <c r="AD277" s="80"/>
      <c r="AE277" s="80"/>
      <c r="AF277" s="80"/>
    </row>
    <row r="278" spans="1:32">
      <c r="A278" s="1047" t="s">
        <v>0</v>
      </c>
      <c r="B278" s="1047"/>
      <c r="C278" s="1047"/>
      <c r="D278" s="1047"/>
      <c r="E278" s="1047"/>
      <c r="F278" s="1047"/>
      <c r="G278" s="1047"/>
      <c r="H278" s="1047"/>
      <c r="I278" s="1047"/>
      <c r="J278" s="1047"/>
      <c r="K278" s="1047"/>
      <c r="L278" s="1047"/>
      <c r="M278" s="1047"/>
      <c r="N278" s="1047"/>
      <c r="O278" s="215"/>
      <c r="P278" s="215"/>
      <c r="Q278" s="215"/>
      <c r="R278" s="215"/>
      <c r="S278" s="215"/>
      <c r="T278" s="215">
        <v>7</v>
      </c>
      <c r="U278" s="215">
        <v>7</v>
      </c>
      <c r="V278" s="215"/>
      <c r="W278" s="80"/>
      <c r="X278" s="80"/>
      <c r="Y278" s="80"/>
      <c r="Z278" s="80"/>
      <c r="AA278" s="80"/>
      <c r="AB278" s="80"/>
      <c r="AC278" s="80"/>
      <c r="AD278" s="80"/>
      <c r="AE278" s="80"/>
      <c r="AF278" s="80"/>
    </row>
    <row r="279" spans="1:32">
      <c r="A279" s="1047" t="s">
        <v>1</v>
      </c>
      <c r="B279" s="1047"/>
      <c r="C279" s="1047"/>
      <c r="D279" s="1047"/>
      <c r="E279" s="1047"/>
      <c r="F279" s="1047"/>
      <c r="G279" s="1047"/>
      <c r="H279" s="1047"/>
      <c r="I279" s="1047"/>
      <c r="J279" s="1047"/>
      <c r="K279" s="1047"/>
      <c r="L279" s="1047"/>
      <c r="M279" s="1047"/>
      <c r="N279" s="1047"/>
      <c r="O279" s="215"/>
      <c r="P279" s="215" t="s">
        <v>340</v>
      </c>
      <c r="Q279" s="215"/>
      <c r="R279" s="217" t="s">
        <v>362</v>
      </c>
      <c r="S279" s="218"/>
      <c r="T279" s="215"/>
      <c r="U279" s="215">
        <v>8</v>
      </c>
      <c r="V279" s="215"/>
      <c r="W279" s="80"/>
      <c r="X279" s="80"/>
      <c r="Y279" s="80"/>
      <c r="Z279" s="80"/>
      <c r="AA279" s="80"/>
      <c r="AB279" s="80"/>
      <c r="AC279" s="80"/>
      <c r="AD279" s="80"/>
      <c r="AE279" s="80"/>
      <c r="AF279" s="80"/>
    </row>
    <row r="280" spans="1:32" ht="15.75">
      <c r="A280" s="172" t="s">
        <v>2</v>
      </c>
      <c r="B280" s="1088" t="str">
        <f>B4</f>
        <v>CUAHUIZO ACA SANTOS JHOVANY</v>
      </c>
      <c r="C280" s="1088"/>
      <c r="D280" s="1088"/>
      <c r="E280" s="1088"/>
      <c r="F280" s="1088"/>
      <c r="G280" s="1088"/>
      <c r="H280" s="173" t="s">
        <v>396</v>
      </c>
      <c r="I280" s="1221">
        <f>B5</f>
        <v>41501</v>
      </c>
      <c r="J280" s="1222"/>
      <c r="K280" s="176"/>
      <c r="L280" s="177" t="s">
        <v>291</v>
      </c>
      <c r="M280" s="1223" t="str">
        <f>M4</f>
        <v>6290 67 6404</v>
      </c>
      <c r="N280" s="1223"/>
      <c r="O280" s="215"/>
      <c r="P280" s="215" t="s">
        <v>341</v>
      </c>
      <c r="Q280" s="215"/>
      <c r="R280" s="219" t="s">
        <v>361</v>
      </c>
      <c r="S280" s="220"/>
      <c r="T280" s="215"/>
      <c r="U280" s="215"/>
      <c r="V280" s="215"/>
      <c r="W280" s="80"/>
      <c r="X280" s="80"/>
      <c r="Y280" s="80"/>
      <c r="Z280" s="80"/>
      <c r="AA280" s="80"/>
      <c r="AB280" s="80"/>
      <c r="AC280" s="80"/>
      <c r="AD280" s="80"/>
      <c r="AE280" s="80"/>
      <c r="AF280" s="80"/>
    </row>
    <row r="281" spans="1:32">
      <c r="A281" s="1220" t="s">
        <v>322</v>
      </c>
      <c r="B281" s="1220"/>
      <c r="C281" s="1220"/>
      <c r="D281" s="1220"/>
      <c r="E281" s="1220"/>
      <c r="F281" s="1220"/>
      <c r="G281" s="175"/>
      <c r="H281" s="175"/>
      <c r="I281" s="175"/>
      <c r="J281" s="175"/>
      <c r="K281" s="175"/>
      <c r="L281" s="175"/>
      <c r="M281" s="175"/>
      <c r="N281" s="175"/>
      <c r="O281" s="215"/>
      <c r="P281" s="215"/>
      <c r="Q281" s="215"/>
      <c r="R281" s="215"/>
      <c r="S281" s="215"/>
      <c r="T281" s="215"/>
      <c r="U281" s="215"/>
      <c r="V281" s="215"/>
      <c r="W281" s="80"/>
      <c r="X281" s="80"/>
      <c r="Y281" s="80"/>
      <c r="Z281" s="80"/>
      <c r="AA281" s="80"/>
      <c r="AB281" s="80"/>
      <c r="AC281" s="80"/>
      <c r="AD281" s="80"/>
      <c r="AE281" s="80"/>
      <c r="AF281" s="80"/>
    </row>
    <row r="282" spans="1:32">
      <c r="A282" s="175" t="s">
        <v>4</v>
      </c>
      <c r="B282" s="175">
        <f>D11</f>
        <v>10</v>
      </c>
      <c r="C282" s="175" t="s">
        <v>72</v>
      </c>
      <c r="D282" s="1224" t="s">
        <v>323</v>
      </c>
      <c r="E282" s="1224"/>
      <c r="F282" s="1225" t="s">
        <v>397</v>
      </c>
      <c r="G282" s="1225"/>
      <c r="H282" s="175"/>
      <c r="I282" s="1224" t="s">
        <v>328</v>
      </c>
      <c r="J282" s="1224"/>
      <c r="K282" s="1217" t="s">
        <v>470</v>
      </c>
      <c r="L282" s="1217"/>
      <c r="M282" s="1217"/>
      <c r="N282" s="175"/>
      <c r="O282" s="215"/>
      <c r="P282" s="215"/>
      <c r="Q282" s="215"/>
      <c r="R282" s="215"/>
      <c r="S282" s="215"/>
      <c r="T282" s="215"/>
      <c r="U282" s="215"/>
      <c r="V282" s="215"/>
      <c r="W282" s="80"/>
      <c r="X282" s="80"/>
      <c r="Y282" s="80"/>
      <c r="Z282" s="80"/>
      <c r="AA282" s="80"/>
      <c r="AB282" s="80"/>
      <c r="AC282" s="80"/>
      <c r="AD282" s="80"/>
      <c r="AE282" s="80"/>
      <c r="AF282" s="80"/>
    </row>
    <row r="283" spans="1:32">
      <c r="A283" s="175" t="s">
        <v>335</v>
      </c>
      <c r="B283" s="175"/>
      <c r="C283" s="175" t="s">
        <v>336</v>
      </c>
      <c r="D283" s="208">
        <v>2</v>
      </c>
      <c r="E283" s="1217" t="s">
        <v>337</v>
      </c>
      <c r="F283" s="1217"/>
      <c r="G283" s="810">
        <v>3</v>
      </c>
      <c r="H283" s="175"/>
      <c r="I283" s="175"/>
      <c r="J283" s="175"/>
      <c r="K283" s="175"/>
      <c r="L283" s="175"/>
      <c r="M283" s="175"/>
      <c r="N283" s="175"/>
      <c r="O283" s="215"/>
      <c r="P283" s="215"/>
      <c r="Q283" s="215"/>
      <c r="R283" s="215"/>
      <c r="S283" s="215"/>
      <c r="T283" s="215"/>
      <c r="U283" s="215"/>
      <c r="V283" s="215"/>
      <c r="W283" s="80"/>
      <c r="X283" s="80"/>
      <c r="Y283" s="80"/>
      <c r="Z283" s="80"/>
      <c r="AA283" s="80"/>
      <c r="AB283" s="80"/>
      <c r="AC283" s="80"/>
      <c r="AD283" s="80"/>
      <c r="AE283" s="80"/>
      <c r="AF283" s="80"/>
    </row>
    <row r="284" spans="1:32">
      <c r="A284" s="175"/>
      <c r="B284" s="175"/>
      <c r="C284" s="175"/>
      <c r="D284" s="175"/>
      <c r="E284" s="175"/>
      <c r="F284" s="175"/>
      <c r="G284" s="175"/>
      <c r="H284" s="175"/>
      <c r="I284" s="175"/>
      <c r="J284" s="175"/>
      <c r="K284" s="175"/>
      <c r="L284" s="175"/>
      <c r="M284" s="175"/>
      <c r="N284" s="175"/>
      <c r="O284" s="215"/>
      <c r="P284" s="215"/>
      <c r="Q284" s="215"/>
      <c r="R284" s="215"/>
      <c r="S284" s="215"/>
      <c r="T284" s="215"/>
      <c r="U284" s="215"/>
      <c r="V284" s="215"/>
      <c r="W284" s="80"/>
      <c r="X284" s="80"/>
      <c r="Y284" s="80"/>
      <c r="Z284" s="80"/>
      <c r="AA284" s="80"/>
      <c r="AB284" s="80"/>
      <c r="AC284" s="80"/>
      <c r="AD284" s="80"/>
      <c r="AE284" s="80"/>
      <c r="AF284" s="80"/>
    </row>
    <row r="285" spans="1:32">
      <c r="A285" s="175"/>
      <c r="B285" s="175"/>
      <c r="C285" s="175"/>
      <c r="D285" s="175"/>
      <c r="E285" s="175"/>
      <c r="F285" s="175"/>
      <c r="G285" s="175"/>
      <c r="H285" s="175"/>
      <c r="I285" s="175"/>
      <c r="J285" s="175"/>
      <c r="K285" s="175"/>
      <c r="L285" s="175"/>
      <c r="M285" s="175"/>
      <c r="N285" s="175"/>
      <c r="O285" s="215"/>
      <c r="P285" s="215"/>
      <c r="Q285" s="215"/>
      <c r="R285" s="215"/>
      <c r="S285" s="215"/>
      <c r="T285" s="215"/>
      <c r="U285" s="215"/>
      <c r="V285" s="215"/>
      <c r="W285" s="80"/>
      <c r="X285" s="80"/>
      <c r="Y285" s="80"/>
      <c r="Z285" s="80"/>
      <c r="AA285" s="80"/>
      <c r="AB285" s="80"/>
      <c r="AC285" s="80"/>
      <c r="AD285" s="80"/>
      <c r="AE285" s="80"/>
      <c r="AF285" s="80"/>
    </row>
    <row r="286" spans="1:32">
      <c r="A286" s="175" t="s">
        <v>338</v>
      </c>
      <c r="B286" s="175"/>
      <c r="C286" s="175"/>
      <c r="D286" s="175"/>
      <c r="E286" s="175"/>
      <c r="F286" s="209"/>
      <c r="G286" s="175"/>
      <c r="H286" s="175"/>
      <c r="I286" s="175"/>
      <c r="J286" s="175"/>
      <c r="K286" s="175"/>
      <c r="L286" s="175"/>
      <c r="M286" s="175"/>
      <c r="N286" s="175"/>
      <c r="O286" s="215"/>
      <c r="P286" s="215"/>
      <c r="Q286" s="215"/>
      <c r="R286" s="215"/>
      <c r="S286" s="215"/>
      <c r="T286" s="215"/>
      <c r="U286" s="215"/>
      <c r="V286" s="215"/>
      <c r="W286" s="80"/>
      <c r="X286" s="80"/>
      <c r="Y286" s="80"/>
      <c r="Z286" s="80"/>
      <c r="AA286" s="80"/>
      <c r="AB286" s="80"/>
      <c r="AC286" s="80"/>
      <c r="AD286" s="80"/>
      <c r="AE286" s="80"/>
      <c r="AF286" s="80"/>
    </row>
    <row r="287" spans="1:32">
      <c r="A287" s="1218" t="s">
        <v>339</v>
      </c>
      <c r="B287" s="1219"/>
      <c r="C287" s="175" t="s">
        <v>340</v>
      </c>
      <c r="D287" s="175"/>
      <c r="E287" s="175"/>
      <c r="F287" s="175"/>
      <c r="G287" s="175"/>
      <c r="H287" s="175"/>
      <c r="I287" s="175"/>
      <c r="J287" s="175"/>
      <c r="K287" s="175"/>
      <c r="L287" s="175"/>
      <c r="M287" s="175"/>
      <c r="N287" s="175"/>
      <c r="O287" s="215"/>
      <c r="P287" s="215"/>
      <c r="Q287" s="215"/>
      <c r="R287" s="215"/>
      <c r="S287" s="215"/>
      <c r="T287" s="215"/>
      <c r="U287" s="215"/>
      <c r="V287" s="215"/>
      <c r="W287" s="80"/>
      <c r="X287" s="80"/>
      <c r="Y287" s="80"/>
      <c r="Z287" s="80"/>
      <c r="AA287" s="80"/>
      <c r="AB287" s="80"/>
      <c r="AC287" s="80"/>
      <c r="AD287" s="80"/>
      <c r="AE287" s="80"/>
      <c r="AF287" s="80"/>
    </row>
    <row r="288" spans="1:32">
      <c r="A288" s="175"/>
      <c r="B288" s="175"/>
      <c r="C288" s="175"/>
      <c r="D288" s="175"/>
      <c r="E288" s="175"/>
      <c r="F288" s="175"/>
      <c r="G288" s="175"/>
      <c r="H288" s="175"/>
      <c r="I288" s="175"/>
      <c r="J288" s="175"/>
      <c r="K288" s="175"/>
      <c r="L288" s="175"/>
      <c r="M288" s="175"/>
      <c r="N288" s="175"/>
      <c r="O288" s="215"/>
      <c r="P288" s="215"/>
      <c r="Q288" s="215"/>
      <c r="R288" s="215"/>
      <c r="S288" s="215"/>
      <c r="T288" s="215"/>
      <c r="U288" s="215"/>
      <c r="V288" s="215"/>
      <c r="W288" s="80"/>
      <c r="X288" s="80"/>
      <c r="Y288" s="80"/>
      <c r="Z288" s="80"/>
      <c r="AA288" s="80"/>
      <c r="AB288" s="80"/>
      <c r="AC288" s="80"/>
      <c r="AD288" s="80"/>
      <c r="AE288" s="80"/>
      <c r="AF288" s="80"/>
    </row>
    <row r="289" spans="1:32">
      <c r="A289" s="1217" t="s">
        <v>342</v>
      </c>
      <c r="B289" s="1217"/>
      <c r="C289" s="175"/>
      <c r="D289" s="175"/>
      <c r="E289" s="175"/>
      <c r="F289" s="175"/>
      <c r="G289" s="175"/>
      <c r="H289" s="175"/>
      <c r="I289" s="175"/>
      <c r="J289" s="175"/>
      <c r="K289" s="175"/>
      <c r="L289" s="175"/>
      <c r="M289" s="175"/>
      <c r="N289" s="175"/>
      <c r="O289" s="215"/>
      <c r="P289" s="215"/>
      <c r="Q289" s="215"/>
      <c r="R289" s="215"/>
      <c r="S289" s="215"/>
      <c r="T289" s="215"/>
      <c r="U289" s="215"/>
      <c r="V289" s="215"/>
      <c r="W289" s="80"/>
      <c r="X289" s="80"/>
      <c r="Y289" s="80"/>
      <c r="Z289" s="80"/>
      <c r="AA289" s="80"/>
      <c r="AB289" s="80"/>
      <c r="AC289" s="80"/>
      <c r="AD289" s="80"/>
      <c r="AE289" s="80"/>
      <c r="AF289" s="80"/>
    </row>
    <row r="290" spans="1:32">
      <c r="A290" s="1220" t="s">
        <v>343</v>
      </c>
      <c r="B290" s="1220"/>
      <c r="C290" s="175"/>
      <c r="D290" s="198" t="s">
        <v>348</v>
      </c>
      <c r="E290" s="198"/>
      <c r="F290" s="198"/>
      <c r="G290" s="205"/>
      <c r="H290" s="1216" t="s">
        <v>353</v>
      </c>
      <c r="I290" s="1216"/>
      <c r="J290" s="1216"/>
      <c r="K290" s="175"/>
      <c r="L290" s="1216" t="s">
        <v>357</v>
      </c>
      <c r="M290" s="1216"/>
      <c r="N290" s="175"/>
      <c r="O290" s="215"/>
      <c r="P290" s="215"/>
      <c r="Q290" s="215"/>
      <c r="R290" s="215"/>
      <c r="S290" s="215"/>
      <c r="T290" s="215"/>
      <c r="U290" s="215"/>
      <c r="V290" s="215"/>
      <c r="W290" s="80"/>
      <c r="X290" s="80"/>
      <c r="Y290" s="80"/>
      <c r="Z290" s="80"/>
      <c r="AA290" s="80"/>
      <c r="AB290" s="80"/>
      <c r="AC290" s="80"/>
      <c r="AD290" s="80"/>
      <c r="AE290" s="80"/>
      <c r="AF290" s="80"/>
    </row>
    <row r="291" spans="1:32">
      <c r="A291" s="1215" t="s">
        <v>344</v>
      </c>
      <c r="B291" s="1215"/>
      <c r="C291" s="810">
        <f>C37</f>
        <v>0</v>
      </c>
      <c r="D291" s="175" t="s">
        <v>349</v>
      </c>
      <c r="E291" s="175"/>
      <c r="F291" s="175"/>
      <c r="G291" s="808" t="str">
        <f>G37</f>
        <v>X</v>
      </c>
      <c r="H291" s="175" t="s">
        <v>354</v>
      </c>
      <c r="I291" s="175"/>
      <c r="J291" s="810">
        <f>J37</f>
        <v>0</v>
      </c>
      <c r="K291" s="175"/>
      <c r="L291" s="175" t="s">
        <v>358</v>
      </c>
      <c r="M291" s="175"/>
      <c r="N291" s="167">
        <f>N37</f>
        <v>0</v>
      </c>
      <c r="O291" s="215"/>
      <c r="P291" s="215"/>
      <c r="Q291" s="215"/>
      <c r="R291" s="215"/>
      <c r="S291" s="215"/>
      <c r="T291" s="215"/>
      <c r="U291" s="215"/>
      <c r="V291" s="215"/>
      <c r="W291" s="80"/>
      <c r="X291" s="80"/>
      <c r="Y291" s="80"/>
      <c r="Z291" s="80"/>
      <c r="AA291" s="80"/>
      <c r="AB291" s="80"/>
      <c r="AC291" s="80"/>
      <c r="AD291" s="80"/>
      <c r="AE291" s="80"/>
      <c r="AF291" s="80"/>
    </row>
    <row r="292" spans="1:32">
      <c r="A292" s="1215" t="s">
        <v>345</v>
      </c>
      <c r="B292" s="1215"/>
      <c r="C292" s="810">
        <f>C38</f>
        <v>0</v>
      </c>
      <c r="D292" s="175" t="s">
        <v>350</v>
      </c>
      <c r="E292" s="175"/>
      <c r="F292" s="175"/>
      <c r="G292" s="808">
        <f>G38</f>
        <v>0</v>
      </c>
      <c r="H292" s="175" t="s">
        <v>355</v>
      </c>
      <c r="I292" s="175"/>
      <c r="J292" s="810">
        <f>J38</f>
        <v>0</v>
      </c>
      <c r="K292" s="175"/>
      <c r="L292" s="175" t="s">
        <v>359</v>
      </c>
      <c r="M292" s="175"/>
      <c r="N292" s="808">
        <f>N38</f>
        <v>0</v>
      </c>
      <c r="O292" s="215"/>
      <c r="P292" s="215"/>
      <c r="Q292" s="215"/>
      <c r="R292" s="215"/>
      <c r="S292" s="215"/>
      <c r="T292" s="215"/>
      <c r="U292" s="215"/>
      <c r="V292" s="215"/>
      <c r="W292" s="80"/>
      <c r="X292" s="80"/>
      <c r="Y292" s="80"/>
      <c r="Z292" s="80"/>
      <c r="AA292" s="80"/>
      <c r="AB292" s="80"/>
      <c r="AC292" s="80"/>
      <c r="AD292" s="80"/>
      <c r="AE292" s="80"/>
      <c r="AF292" s="80"/>
    </row>
    <row r="293" spans="1:32">
      <c r="A293" s="1215" t="s">
        <v>346</v>
      </c>
      <c r="B293" s="1215"/>
      <c r="C293" s="810">
        <f>C39</f>
        <v>0</v>
      </c>
      <c r="D293" s="175" t="s">
        <v>351</v>
      </c>
      <c r="E293" s="175"/>
      <c r="F293" s="175"/>
      <c r="G293" s="808">
        <f>G39</f>
        <v>0</v>
      </c>
      <c r="H293" s="175" t="s">
        <v>356</v>
      </c>
      <c r="I293" s="175"/>
      <c r="J293" s="810">
        <f>J39</f>
        <v>0</v>
      </c>
      <c r="K293" s="175"/>
      <c r="L293" s="1216" t="s">
        <v>360</v>
      </c>
      <c r="M293" s="1216"/>
      <c r="N293" s="807">
        <f>N39</f>
        <v>0</v>
      </c>
      <c r="O293" s="215"/>
      <c r="P293" s="215"/>
      <c r="Q293" s="215"/>
      <c r="R293" s="215"/>
      <c r="S293" s="215"/>
      <c r="T293" s="215"/>
      <c r="U293" s="215"/>
      <c r="V293" s="215"/>
      <c r="W293" s="80"/>
      <c r="X293" s="80"/>
      <c r="Y293" s="80"/>
      <c r="Z293" s="80"/>
      <c r="AA293" s="80"/>
      <c r="AB293" s="80"/>
      <c r="AC293" s="80"/>
      <c r="AD293" s="80"/>
      <c r="AE293" s="80"/>
      <c r="AF293" s="80"/>
    </row>
    <row r="294" spans="1:32">
      <c r="A294" s="1215" t="s">
        <v>347</v>
      </c>
      <c r="B294" s="1215"/>
      <c r="C294" s="810" t="str">
        <f>C40</f>
        <v>X</v>
      </c>
      <c r="D294" s="175" t="s">
        <v>352</v>
      </c>
      <c r="E294" s="175"/>
      <c r="F294" s="175"/>
      <c r="G294" s="808">
        <f>G40</f>
        <v>0</v>
      </c>
      <c r="H294" s="175"/>
      <c r="I294" s="175"/>
      <c r="J294" s="175"/>
      <c r="K294" s="175"/>
      <c r="L294" s="1215" t="s">
        <v>362</v>
      </c>
      <c r="M294" s="1215"/>
      <c r="N294" s="807">
        <f>N40</f>
        <v>0</v>
      </c>
      <c r="O294" s="215"/>
      <c r="P294" s="215"/>
      <c r="Q294" s="215"/>
      <c r="R294" s="215"/>
      <c r="S294" s="215"/>
      <c r="T294" s="215"/>
      <c r="U294" s="215"/>
      <c r="V294" s="215"/>
      <c r="W294" s="80"/>
      <c r="X294" s="80"/>
      <c r="Y294" s="80"/>
      <c r="Z294" s="80"/>
      <c r="AA294" s="80"/>
      <c r="AB294" s="80"/>
      <c r="AC294" s="80"/>
      <c r="AD294" s="80"/>
      <c r="AE294" s="80"/>
      <c r="AF294" s="80"/>
    </row>
    <row r="295" spans="1:32">
      <c r="A295" s="175"/>
      <c r="B295" s="175"/>
      <c r="C295" s="175"/>
      <c r="D295" s="175"/>
      <c r="E295" s="175"/>
      <c r="F295" s="175"/>
      <c r="G295" s="175"/>
      <c r="H295" s="175"/>
      <c r="I295" s="175"/>
      <c r="J295" s="175"/>
      <c r="K295" s="175"/>
      <c r="L295" s="175"/>
      <c r="M295" s="175"/>
      <c r="N295" s="175"/>
      <c r="O295" s="215"/>
      <c r="P295" s="215"/>
      <c r="Q295" s="215"/>
      <c r="R295" s="215"/>
      <c r="S295" s="215"/>
      <c r="T295" s="215"/>
      <c r="U295" s="215"/>
      <c r="V295" s="215"/>
      <c r="W295" s="80"/>
      <c r="X295" s="80"/>
      <c r="Y295" s="80"/>
      <c r="Z295" s="80"/>
      <c r="AA295" s="80"/>
      <c r="AB295" s="80"/>
      <c r="AC295" s="80"/>
      <c r="AD295" s="80"/>
      <c r="AE295" s="80"/>
      <c r="AF295" s="80"/>
    </row>
    <row r="296" spans="1:32">
      <c r="A296" s="195" t="s">
        <v>363</v>
      </c>
      <c r="B296" s="175"/>
      <c r="C296" s="175"/>
      <c r="D296" s="175"/>
      <c r="E296" s="175"/>
      <c r="F296" s="175"/>
      <c r="G296" s="175"/>
      <c r="H296" s="175"/>
      <c r="I296" s="175"/>
      <c r="J296" s="175"/>
      <c r="K296" s="175"/>
      <c r="L296" s="175"/>
      <c r="M296" s="175"/>
      <c r="N296" s="175"/>
      <c r="O296" s="215"/>
      <c r="P296" s="215"/>
      <c r="Q296" s="215"/>
      <c r="R296" s="215"/>
      <c r="S296" s="215"/>
      <c r="T296" s="215"/>
      <c r="U296" s="215"/>
      <c r="V296" s="215"/>
      <c r="W296" s="80"/>
      <c r="X296" s="80"/>
      <c r="Y296" s="80"/>
      <c r="Z296" s="80"/>
      <c r="AA296" s="80"/>
      <c r="AB296" s="80"/>
      <c r="AC296" s="80"/>
      <c r="AD296" s="80"/>
      <c r="AE296" s="80"/>
      <c r="AF296" s="80"/>
    </row>
    <row r="297" spans="1:32">
      <c r="A297" s="175"/>
      <c r="B297" s="175"/>
      <c r="C297" s="210" t="s">
        <v>88</v>
      </c>
      <c r="D297" s="210" t="s">
        <v>87</v>
      </c>
      <c r="E297" s="210" t="s">
        <v>367</v>
      </c>
      <c r="F297" s="210" t="s">
        <v>368</v>
      </c>
      <c r="G297" s="210" t="s">
        <v>369</v>
      </c>
      <c r="H297" s="210" t="s">
        <v>370</v>
      </c>
      <c r="I297" s="210" t="s">
        <v>371</v>
      </c>
      <c r="J297" s="210" t="s">
        <v>372</v>
      </c>
      <c r="K297" s="175"/>
      <c r="L297" s="175"/>
      <c r="M297" s="175"/>
      <c r="N297" s="175"/>
      <c r="O297" s="215"/>
      <c r="P297" s="215"/>
      <c r="Q297" s="215"/>
      <c r="R297" s="215"/>
      <c r="S297" s="215"/>
      <c r="T297" s="215"/>
      <c r="U297" s="215"/>
      <c r="V297" s="215"/>
      <c r="W297" s="80"/>
      <c r="X297" s="80"/>
      <c r="Y297" s="80"/>
      <c r="Z297" s="80"/>
      <c r="AA297" s="80"/>
      <c r="AB297" s="80"/>
      <c r="AC297" s="80"/>
      <c r="AD297" s="80"/>
      <c r="AE297" s="80"/>
      <c r="AF297" s="80"/>
    </row>
    <row r="298" spans="1:32">
      <c r="A298" s="211" t="s">
        <v>82</v>
      </c>
      <c r="B298" s="175"/>
      <c r="C298" s="106">
        <f>B97</f>
        <v>2</v>
      </c>
      <c r="D298" s="106">
        <f>B96</f>
        <v>1</v>
      </c>
      <c r="E298" s="106">
        <f>B98</f>
        <v>2</v>
      </c>
      <c r="F298" s="106">
        <f>B99</f>
        <v>0</v>
      </c>
      <c r="G298" s="106">
        <f>B100</f>
        <v>2</v>
      </c>
      <c r="H298" s="106">
        <f>B101</f>
        <v>0</v>
      </c>
      <c r="I298" s="106">
        <f>B103</f>
        <v>4</v>
      </c>
      <c r="J298" s="106">
        <f>B102</f>
        <v>4</v>
      </c>
      <c r="K298" s="175"/>
      <c r="L298" s="175"/>
      <c r="M298" s="175"/>
      <c r="N298" s="175"/>
      <c r="O298" s="215"/>
      <c r="P298" s="215"/>
      <c r="Q298" s="215"/>
      <c r="R298" s="215"/>
      <c r="S298" s="215"/>
      <c r="T298" s="215"/>
      <c r="U298" s="215"/>
      <c r="V298" s="215"/>
      <c r="W298" s="80"/>
      <c r="X298" s="80"/>
      <c r="Y298" s="80"/>
      <c r="Z298" s="80"/>
      <c r="AA298" s="80"/>
      <c r="AB298" s="80"/>
      <c r="AC298" s="80"/>
      <c r="AD298" s="80"/>
      <c r="AE298" s="80"/>
      <c r="AF298" s="80"/>
    </row>
    <row r="299" spans="1:32" ht="15" customHeight="1">
      <c r="A299" s="211" t="s">
        <v>84</v>
      </c>
      <c r="B299" s="175"/>
      <c r="C299" s="106">
        <f>B112</f>
        <v>1</v>
      </c>
      <c r="D299" s="106">
        <f>B111</f>
        <v>0</v>
      </c>
      <c r="E299" s="106">
        <f>B113</f>
        <v>2</v>
      </c>
      <c r="F299" s="106">
        <f>B114</f>
        <v>0</v>
      </c>
      <c r="G299" s="106">
        <f>B115</f>
        <v>7</v>
      </c>
      <c r="H299" s="106">
        <f>B116</f>
        <v>1</v>
      </c>
      <c r="I299" s="106">
        <f>B118</f>
        <v>4</v>
      </c>
      <c r="J299" s="106">
        <f>B117</f>
        <v>1</v>
      </c>
      <c r="K299" s="175"/>
      <c r="L299" s="175"/>
      <c r="M299" s="175"/>
      <c r="N299" s="175"/>
      <c r="O299" s="215"/>
      <c r="P299" s="215"/>
      <c r="Q299" s="215"/>
      <c r="R299" s="215"/>
      <c r="S299" s="215"/>
      <c r="T299" s="215"/>
      <c r="U299" s="215"/>
      <c r="V299" s="215"/>
      <c r="W299" s="80"/>
      <c r="X299" s="80"/>
      <c r="Y299" s="80"/>
      <c r="Z299" s="80"/>
      <c r="AA299" s="80"/>
      <c r="AB299" s="80"/>
      <c r="AC299" s="80"/>
      <c r="AD299" s="80"/>
      <c r="AE299" s="80"/>
      <c r="AF299" s="80"/>
    </row>
    <row r="300" spans="1:32">
      <c r="A300" s="211" t="s">
        <v>364</v>
      </c>
      <c r="B300" s="175"/>
      <c r="C300" s="106">
        <f>B127</f>
        <v>3</v>
      </c>
      <c r="D300" s="106">
        <f>B126</f>
        <v>1</v>
      </c>
      <c r="E300" s="106">
        <f>B128</f>
        <v>0</v>
      </c>
      <c r="F300" s="106">
        <f>B129</f>
        <v>0</v>
      </c>
      <c r="G300" s="106">
        <f>B130</f>
        <v>5</v>
      </c>
      <c r="H300" s="106">
        <f>B131</f>
        <v>0</v>
      </c>
      <c r="I300" s="106">
        <f>B133</f>
        <v>6</v>
      </c>
      <c r="J300" s="106">
        <f>B132</f>
        <v>4</v>
      </c>
      <c r="K300" s="175"/>
      <c r="L300" s="175"/>
      <c r="M300" s="175"/>
      <c r="N300" s="175"/>
      <c r="O300" s="215"/>
      <c r="P300" s="215"/>
      <c r="Q300" s="215"/>
      <c r="R300" s="215"/>
      <c r="S300" s="215"/>
      <c r="T300" s="215"/>
      <c r="U300" s="215"/>
      <c r="V300" s="215"/>
      <c r="W300" s="80"/>
      <c r="X300" s="80"/>
      <c r="Y300" s="80"/>
      <c r="Z300" s="80"/>
      <c r="AA300" s="80"/>
      <c r="AB300" s="80"/>
      <c r="AC300" s="80"/>
      <c r="AD300" s="80"/>
      <c r="AE300" s="80"/>
      <c r="AF300" s="80"/>
    </row>
    <row r="301" spans="1:32" ht="15" customHeight="1">
      <c r="A301" s="211" t="s">
        <v>365</v>
      </c>
      <c r="B301" s="175"/>
      <c r="C301" s="106"/>
      <c r="D301" s="106"/>
      <c r="E301" s="106"/>
      <c r="F301" s="106"/>
      <c r="G301" s="106"/>
      <c r="H301" s="106"/>
      <c r="I301" s="106"/>
      <c r="J301" s="106"/>
      <c r="K301" s="175"/>
      <c r="L301" s="175"/>
      <c r="M301" s="175"/>
      <c r="N301" s="175"/>
      <c r="O301" s="215"/>
      <c r="P301" s="215"/>
      <c r="Q301" s="215"/>
      <c r="R301" s="215"/>
      <c r="S301" s="215"/>
      <c r="T301" s="215"/>
      <c r="U301" s="215"/>
      <c r="V301" s="215"/>
      <c r="W301" s="80"/>
      <c r="X301" s="80"/>
      <c r="Y301" s="80"/>
      <c r="Z301" s="80"/>
      <c r="AA301" s="80"/>
      <c r="AB301" s="80"/>
      <c r="AC301" s="80"/>
      <c r="AD301" s="80"/>
      <c r="AE301" s="80"/>
      <c r="AF301" s="80"/>
    </row>
    <row r="302" spans="1:32">
      <c r="A302" s="211" t="s">
        <v>366</v>
      </c>
      <c r="B302" s="175"/>
      <c r="C302" s="106">
        <f>SUM(C298:C301)</f>
        <v>6</v>
      </c>
      <c r="D302" s="106">
        <f t="shared" ref="D302:J302" si="14">SUM(D298:D301)</f>
        <v>2</v>
      </c>
      <c r="E302" s="106">
        <f t="shared" si="14"/>
        <v>4</v>
      </c>
      <c r="F302" s="106">
        <f t="shared" si="14"/>
        <v>0</v>
      </c>
      <c r="G302" s="106">
        <f t="shared" si="14"/>
        <v>14</v>
      </c>
      <c r="H302" s="106">
        <f t="shared" si="14"/>
        <v>1</v>
      </c>
      <c r="I302" s="106">
        <f t="shared" si="14"/>
        <v>14</v>
      </c>
      <c r="J302" s="106">
        <f t="shared" si="14"/>
        <v>9</v>
      </c>
      <c r="K302" s="175"/>
      <c r="L302" s="175"/>
      <c r="M302" s="175"/>
      <c r="N302" s="175"/>
      <c r="O302" s="215"/>
      <c r="P302" s="215"/>
      <c r="Q302" s="215"/>
      <c r="R302" s="215"/>
      <c r="S302" s="215"/>
      <c r="T302" s="215"/>
      <c r="U302" s="215"/>
      <c r="V302" s="215"/>
      <c r="W302" s="80"/>
      <c r="X302" s="80"/>
      <c r="Y302" s="80"/>
      <c r="Z302" s="80"/>
      <c r="AA302" s="80"/>
      <c r="AB302" s="80"/>
      <c r="AC302" s="80"/>
      <c r="AD302" s="80"/>
      <c r="AE302" s="80"/>
      <c r="AF302" s="80"/>
    </row>
    <row r="303" spans="1:32">
      <c r="A303" s="86"/>
      <c r="B303" s="86"/>
      <c r="C303" s="86"/>
      <c r="D303" s="86"/>
      <c r="E303" s="86"/>
      <c r="F303" s="86"/>
      <c r="G303" s="86"/>
      <c r="H303" s="86"/>
      <c r="I303" s="86"/>
      <c r="J303" s="86"/>
      <c r="K303" s="86"/>
      <c r="L303" s="86"/>
      <c r="M303" s="86"/>
      <c r="N303" s="86"/>
      <c r="O303" s="215"/>
      <c r="P303" s="215"/>
      <c r="Q303" s="215"/>
      <c r="R303" s="215"/>
      <c r="S303" s="215"/>
      <c r="T303" s="215"/>
      <c r="U303" s="215"/>
      <c r="V303" s="215"/>
      <c r="W303" s="80"/>
      <c r="X303" s="80"/>
      <c r="Y303" s="80"/>
      <c r="Z303" s="80"/>
      <c r="AA303" s="80"/>
      <c r="AB303" s="80"/>
      <c r="AC303" s="80"/>
      <c r="AD303" s="80"/>
      <c r="AE303" s="80"/>
      <c r="AF303" s="80"/>
    </row>
    <row r="304" spans="1:32">
      <c r="A304" s="1047" t="s">
        <v>373</v>
      </c>
      <c r="B304" s="1047"/>
      <c r="C304" s="1047"/>
      <c r="D304" s="1047"/>
      <c r="E304" s="1077" t="s">
        <v>376</v>
      </c>
      <c r="F304" s="1077"/>
      <c r="G304" s="805"/>
      <c r="H304" s="1077" t="s">
        <v>378</v>
      </c>
      <c r="I304" s="1077"/>
      <c r="J304" s="805"/>
      <c r="K304" s="1077" t="s">
        <v>377</v>
      </c>
      <c r="L304" s="1077"/>
      <c r="M304" s="1077"/>
      <c r="N304" s="805"/>
      <c r="O304" s="215"/>
      <c r="P304" s="215"/>
      <c r="Q304" s="215"/>
      <c r="R304" s="215"/>
      <c r="S304" s="215"/>
      <c r="T304" s="215"/>
      <c r="U304" s="215"/>
      <c r="V304" s="215"/>
      <c r="W304" s="80"/>
      <c r="X304" s="80"/>
      <c r="Y304" s="80"/>
      <c r="Z304" s="80"/>
      <c r="AA304" s="80"/>
      <c r="AB304" s="80"/>
      <c r="AC304" s="80"/>
      <c r="AD304" s="80"/>
      <c r="AE304" s="80"/>
      <c r="AF304" s="80"/>
    </row>
    <row r="305" spans="1:32">
      <c r="A305" s="1069" t="s">
        <v>374</v>
      </c>
      <c r="B305" s="1069"/>
      <c r="C305" s="1069"/>
      <c r="D305" s="1069"/>
      <c r="E305" s="86">
        <f>C150</f>
        <v>454</v>
      </c>
      <c r="F305" s="86"/>
      <c r="G305" s="86"/>
      <c r="H305" s="89">
        <f>B152</f>
        <v>54</v>
      </c>
      <c r="I305" s="86"/>
      <c r="J305" s="86"/>
      <c r="K305" s="1060">
        <f>D152</f>
        <v>1816</v>
      </c>
      <c r="L305" s="1030"/>
      <c r="M305" s="86"/>
      <c r="N305" s="86"/>
      <c r="O305" s="215"/>
      <c r="P305" s="215"/>
      <c r="Q305" s="215"/>
      <c r="R305" s="215"/>
      <c r="S305" s="215"/>
      <c r="T305" s="215"/>
      <c r="U305" s="215"/>
      <c r="V305" s="215"/>
      <c r="W305" s="80"/>
      <c r="X305" s="80"/>
      <c r="Y305" s="80"/>
      <c r="Z305" s="80"/>
      <c r="AA305" s="80"/>
      <c r="AB305" s="80"/>
      <c r="AC305" s="80"/>
      <c r="AD305" s="80"/>
      <c r="AE305" s="80"/>
      <c r="AF305" s="80"/>
    </row>
    <row r="306" spans="1:32" ht="14.1" customHeight="1">
      <c r="A306" s="1071" t="s">
        <v>29</v>
      </c>
      <c r="B306" s="1071"/>
      <c r="C306" s="1071"/>
      <c r="D306" s="1071"/>
      <c r="E306" s="87">
        <f>D150</f>
        <v>96</v>
      </c>
      <c r="F306" s="87"/>
      <c r="G306" s="87"/>
      <c r="H306" s="90">
        <f>B153</f>
        <v>18</v>
      </c>
      <c r="I306" s="87"/>
      <c r="J306" s="87"/>
      <c r="K306" s="1072">
        <f>D153</f>
        <v>384</v>
      </c>
      <c r="L306" s="1073"/>
      <c r="M306" s="87"/>
      <c r="N306" s="87"/>
      <c r="O306" s="215"/>
      <c r="P306" s="215"/>
      <c r="Q306" s="215"/>
      <c r="R306" s="215"/>
      <c r="S306" s="215"/>
      <c r="T306" s="215"/>
      <c r="U306" s="215"/>
      <c r="V306" s="215"/>
      <c r="W306" s="80"/>
      <c r="X306" s="80"/>
      <c r="Y306" s="80"/>
      <c r="Z306" s="80"/>
      <c r="AA306" s="80"/>
      <c r="AB306" s="80"/>
      <c r="AC306" s="80"/>
      <c r="AD306" s="80"/>
      <c r="AE306" s="80"/>
      <c r="AF306" s="80"/>
    </row>
    <row r="307" spans="1:32">
      <c r="A307" s="1069" t="s">
        <v>56</v>
      </c>
      <c r="B307" s="1069"/>
      <c r="C307" s="1069"/>
      <c r="D307" s="1069"/>
      <c r="E307" s="87">
        <f>E150</f>
        <v>80</v>
      </c>
      <c r="F307" s="87"/>
      <c r="G307" s="87"/>
      <c r="H307" s="90">
        <f>B154</f>
        <v>28</v>
      </c>
      <c r="I307" s="87"/>
      <c r="J307" s="87"/>
      <c r="K307" s="1072">
        <f>D154</f>
        <v>720</v>
      </c>
      <c r="L307" s="1073"/>
      <c r="M307" s="87"/>
      <c r="N307" s="87"/>
      <c r="O307" s="215"/>
      <c r="P307" s="215"/>
      <c r="Q307" s="215"/>
      <c r="R307" s="215"/>
      <c r="S307" s="215"/>
      <c r="T307" s="215"/>
      <c r="U307" s="215"/>
      <c r="V307" s="215"/>
      <c r="W307" s="80"/>
      <c r="X307" s="80"/>
      <c r="Y307" s="80"/>
      <c r="Z307" s="80"/>
      <c r="AA307" s="80"/>
      <c r="AB307" s="80"/>
      <c r="AC307" s="80"/>
      <c r="AD307" s="80"/>
      <c r="AE307" s="80"/>
      <c r="AF307" s="80"/>
    </row>
    <row r="308" spans="1:32">
      <c r="A308" s="1059" t="s">
        <v>375</v>
      </c>
      <c r="B308" s="1059"/>
      <c r="C308" s="1059"/>
      <c r="D308" s="1059"/>
      <c r="E308" s="86"/>
      <c r="F308" s="86"/>
      <c r="G308" s="86"/>
      <c r="H308" s="91">
        <f>SUM(H305:H307)</f>
        <v>100</v>
      </c>
      <c r="I308" s="86"/>
      <c r="J308" s="86"/>
      <c r="K308" s="1060">
        <f>SUM(K305:K307)</f>
        <v>2920</v>
      </c>
      <c r="L308" s="1030"/>
      <c r="M308" s="86"/>
      <c r="N308" s="86"/>
      <c r="O308" s="215"/>
      <c r="P308" s="215"/>
      <c r="Q308" s="215"/>
      <c r="R308" s="215"/>
      <c r="S308" s="215"/>
      <c r="T308" s="215"/>
      <c r="U308" s="215"/>
      <c r="V308" s="215"/>
      <c r="W308" s="80"/>
      <c r="X308" s="80"/>
      <c r="Y308" s="80"/>
      <c r="Z308" s="80"/>
      <c r="AA308" s="80"/>
      <c r="AB308" s="80"/>
      <c r="AC308" s="80"/>
      <c r="AD308" s="80"/>
      <c r="AE308" s="80"/>
      <c r="AF308" s="80"/>
    </row>
    <row r="309" spans="1:32" ht="14.1" customHeight="1">
      <c r="A309" s="1062" t="s">
        <v>379</v>
      </c>
      <c r="B309" s="1062"/>
      <c r="C309" s="1062"/>
      <c r="D309" s="1062"/>
      <c r="E309" s="1062"/>
      <c r="F309" s="1062"/>
      <c r="G309" s="86"/>
      <c r="H309" s="86"/>
      <c r="I309" s="86"/>
      <c r="J309" s="86"/>
      <c r="K309" s="86"/>
      <c r="L309" s="86"/>
      <c r="M309" s="86"/>
      <c r="N309" s="86"/>
      <c r="O309" s="215"/>
      <c r="P309" s="215"/>
      <c r="Q309" s="215"/>
      <c r="R309" s="215"/>
      <c r="S309" s="215"/>
      <c r="T309" s="215"/>
      <c r="U309" s="215"/>
      <c r="V309" s="215"/>
      <c r="W309" s="80"/>
      <c r="X309" s="80"/>
      <c r="Y309" s="80"/>
      <c r="Z309" s="80"/>
      <c r="AA309" s="80"/>
      <c r="AB309" s="80"/>
      <c r="AC309" s="80"/>
      <c r="AD309" s="80"/>
      <c r="AE309" s="80"/>
      <c r="AF309" s="80"/>
    </row>
    <row r="310" spans="1:32">
      <c r="A310" s="793"/>
      <c r="B310" s="793"/>
      <c r="C310" s="1063" t="s">
        <v>388</v>
      </c>
      <c r="D310" s="1063"/>
      <c r="E310" s="804"/>
      <c r="F310" s="1064" t="s">
        <v>389</v>
      </c>
      <c r="G310" s="1064"/>
      <c r="H310" s="1064"/>
      <c r="I310" s="1064"/>
      <c r="J310" s="1064"/>
      <c r="K310" s="1064"/>
      <c r="L310" s="1064"/>
      <c r="M310" s="1064"/>
      <c r="N310" s="1064"/>
      <c r="O310" s="215"/>
      <c r="P310" s="215"/>
      <c r="Q310" s="215"/>
      <c r="R310" s="215"/>
      <c r="S310" s="215"/>
      <c r="T310" s="215"/>
      <c r="U310" s="215"/>
      <c r="V310" s="215"/>
      <c r="W310" s="80"/>
      <c r="X310" s="80"/>
      <c r="Y310" s="80"/>
      <c r="Z310" s="80"/>
      <c r="AA310" s="80"/>
      <c r="AB310" s="80"/>
      <c r="AC310" s="80"/>
      <c r="AD310" s="80"/>
      <c r="AE310" s="80"/>
      <c r="AF310" s="80"/>
    </row>
    <row r="311" spans="1:32">
      <c r="A311" s="793"/>
      <c r="B311" s="793"/>
      <c r="C311" s="793"/>
      <c r="D311" s="793"/>
      <c r="E311" s="804"/>
      <c r="F311" s="804"/>
      <c r="G311" s="804"/>
      <c r="H311" s="804"/>
      <c r="I311" s="804"/>
      <c r="J311" s="804"/>
      <c r="K311" s="804"/>
      <c r="L311" s="804"/>
      <c r="M311" s="804"/>
      <c r="N311" s="804"/>
      <c r="O311" s="215"/>
      <c r="P311" s="215"/>
      <c r="Q311" s="215"/>
      <c r="R311" s="215"/>
      <c r="S311" s="215"/>
      <c r="T311" s="215"/>
      <c r="U311" s="215"/>
      <c r="V311" s="215"/>
      <c r="W311" s="80"/>
      <c r="X311" s="80"/>
      <c r="Y311" s="80"/>
      <c r="Z311" s="80"/>
      <c r="AA311" s="80"/>
      <c r="AB311" s="80"/>
      <c r="AC311" s="80"/>
      <c r="AD311" s="80"/>
      <c r="AE311" s="80"/>
      <c r="AF311" s="80"/>
    </row>
    <row r="312" spans="1:32" ht="14.1" customHeight="1">
      <c r="A312" s="95" t="s">
        <v>380</v>
      </c>
      <c r="B312" s="86"/>
      <c r="C312" s="105">
        <f>D12</f>
        <v>52</v>
      </c>
      <c r="D312" s="86"/>
      <c r="E312" s="99"/>
      <c r="F312" s="804"/>
      <c r="G312" s="99"/>
      <c r="H312" s="804"/>
      <c r="I312" s="99"/>
      <c r="J312" s="804"/>
      <c r="K312" s="99"/>
      <c r="L312" s="804"/>
      <c r="M312" s="99"/>
      <c r="N312" s="804"/>
      <c r="O312" s="215"/>
      <c r="P312" s="215"/>
      <c r="Q312" s="215"/>
      <c r="R312" s="215"/>
      <c r="S312" s="215"/>
      <c r="T312" s="215"/>
      <c r="U312" s="215"/>
      <c r="V312" s="215"/>
      <c r="W312" s="80"/>
      <c r="X312" s="80"/>
      <c r="Y312" s="80"/>
      <c r="Z312" s="80"/>
      <c r="AA312" s="80"/>
      <c r="AB312" s="80"/>
      <c r="AC312" s="80"/>
      <c r="AD312" s="80"/>
      <c r="AE312" s="80"/>
      <c r="AF312" s="80"/>
    </row>
    <row r="313" spans="1:32">
      <c r="A313" s="95" t="s">
        <v>381</v>
      </c>
      <c r="B313" s="86"/>
      <c r="C313" s="105"/>
      <c r="D313" s="86"/>
      <c r="E313" s="93"/>
      <c r="F313" s="86"/>
      <c r="G313" s="93"/>
      <c r="H313" s="86"/>
      <c r="I313" s="93"/>
      <c r="J313" s="86"/>
      <c r="K313" s="93"/>
      <c r="L313" s="86"/>
      <c r="M313" s="93"/>
      <c r="N313" s="86"/>
      <c r="O313" s="215"/>
      <c r="P313" s="215"/>
      <c r="Q313" s="215"/>
      <c r="R313" s="215"/>
      <c r="S313" s="215"/>
      <c r="T313" s="215"/>
      <c r="U313" s="215"/>
      <c r="V313" s="215"/>
      <c r="W313" s="80"/>
      <c r="X313" s="80"/>
      <c r="Y313" s="80"/>
      <c r="Z313" s="80"/>
      <c r="AA313" s="80"/>
      <c r="AB313" s="80"/>
      <c r="AC313" s="80"/>
      <c r="AD313" s="80"/>
      <c r="AE313" s="80"/>
      <c r="AF313" s="80"/>
    </row>
    <row r="314" spans="1:32">
      <c r="A314" s="96" t="s">
        <v>382</v>
      </c>
      <c r="B314" s="786"/>
      <c r="C314" s="106"/>
      <c r="D314" s="786"/>
      <c r="E314" s="100"/>
      <c r="F314" s="98"/>
      <c r="G314" s="100"/>
      <c r="H314" s="98"/>
      <c r="I314" s="100"/>
      <c r="J314" s="98"/>
      <c r="K314" s="100"/>
      <c r="L314" s="98"/>
      <c r="M314" s="100"/>
      <c r="N314" s="98"/>
      <c r="O314" s="215"/>
      <c r="P314" s="215"/>
      <c r="Q314" s="215"/>
      <c r="R314" s="215"/>
      <c r="S314" s="215"/>
      <c r="T314" s="215"/>
      <c r="U314" s="215"/>
      <c r="V314" s="215"/>
      <c r="W314" s="80"/>
      <c r="X314" s="80"/>
      <c r="Y314" s="80"/>
      <c r="Z314" s="80"/>
      <c r="AA314" s="80"/>
      <c r="AB314" s="80"/>
      <c r="AC314" s="80"/>
      <c r="AD314" s="80"/>
      <c r="AE314" s="80"/>
      <c r="AF314" s="80"/>
    </row>
    <row r="315" spans="1:32">
      <c r="A315" s="95" t="s">
        <v>11</v>
      </c>
      <c r="B315" s="86"/>
      <c r="C315" s="105">
        <f>D13</f>
        <v>144</v>
      </c>
      <c r="D315" s="86"/>
      <c r="E315" s="100"/>
      <c r="F315" s="98"/>
      <c r="G315" s="100"/>
      <c r="H315" s="98"/>
      <c r="I315" s="100"/>
      <c r="J315" s="98"/>
      <c r="K315" s="100"/>
      <c r="L315" s="98"/>
      <c r="M315" s="100"/>
      <c r="N315" s="98"/>
      <c r="O315" s="215"/>
      <c r="P315" s="215"/>
      <c r="Q315" s="215"/>
      <c r="R315" s="215"/>
      <c r="S315" s="215"/>
      <c r="T315" s="215"/>
      <c r="U315" s="215"/>
      <c r="V315" s="215"/>
      <c r="W315" s="80"/>
      <c r="X315" s="80"/>
      <c r="Y315" s="80"/>
      <c r="Z315" s="80"/>
      <c r="AA315" s="80"/>
      <c r="AB315" s="80"/>
      <c r="AC315" s="80"/>
      <c r="AD315" s="80"/>
      <c r="AE315" s="80"/>
      <c r="AF315" s="80"/>
    </row>
    <row r="316" spans="1:32">
      <c r="A316" s="95" t="s">
        <v>13</v>
      </c>
      <c r="B316" s="86"/>
      <c r="C316" s="107">
        <f>D14</f>
        <v>25.077160493827158</v>
      </c>
      <c r="D316" s="86"/>
      <c r="E316" s="93"/>
      <c r="F316" s="86"/>
      <c r="G316" s="93"/>
      <c r="H316" s="86"/>
      <c r="I316" s="93"/>
      <c r="J316" s="86"/>
      <c r="K316" s="93"/>
      <c r="L316" s="86"/>
      <c r="M316" s="93"/>
      <c r="N316" s="86"/>
      <c r="O316" s="215"/>
      <c r="P316" s="215"/>
      <c r="Q316" s="215"/>
      <c r="R316" s="215"/>
      <c r="S316" s="215"/>
      <c r="T316" s="215"/>
      <c r="U316" s="215"/>
      <c r="V316" s="215"/>
      <c r="W316" s="80"/>
      <c r="X316" s="80"/>
      <c r="Y316" s="80"/>
      <c r="Z316" s="80"/>
      <c r="AA316" s="80"/>
      <c r="AB316" s="80"/>
      <c r="AC316" s="80"/>
      <c r="AD316" s="80"/>
      <c r="AE316" s="80"/>
      <c r="AF316" s="80"/>
    </row>
    <row r="317" spans="1:32" ht="15" customHeight="1">
      <c r="A317" s="96" t="s">
        <v>383</v>
      </c>
      <c r="B317" s="786"/>
      <c r="C317" s="106">
        <f>E54</f>
        <v>0</v>
      </c>
      <c r="D317" s="786"/>
      <c r="E317" s="99"/>
      <c r="F317" s="804"/>
      <c r="G317" s="99"/>
      <c r="H317" s="804"/>
      <c r="I317" s="99"/>
      <c r="J317" s="804"/>
      <c r="K317" s="99"/>
      <c r="L317" s="804"/>
      <c r="M317" s="99"/>
      <c r="N317" s="804"/>
      <c r="O317" s="215"/>
      <c r="P317" s="215"/>
      <c r="Q317" s="215"/>
      <c r="R317" s="215"/>
      <c r="S317" s="215"/>
      <c r="T317" s="215"/>
      <c r="U317" s="215"/>
      <c r="V317" s="215"/>
      <c r="W317" s="80"/>
      <c r="X317" s="80"/>
      <c r="Y317" s="80"/>
      <c r="Z317" s="80"/>
      <c r="AA317" s="80"/>
      <c r="AB317" s="80"/>
      <c r="AC317" s="80"/>
      <c r="AD317" s="80"/>
      <c r="AE317" s="80"/>
      <c r="AF317" s="80"/>
    </row>
    <row r="318" spans="1:32" ht="15" customHeight="1">
      <c r="A318" s="95" t="s">
        <v>384</v>
      </c>
      <c r="B318" s="86"/>
      <c r="C318" s="105">
        <f>E56</f>
        <v>0</v>
      </c>
      <c r="D318" s="86"/>
      <c r="E318" s="99"/>
      <c r="F318" s="804"/>
      <c r="G318" s="99"/>
      <c r="H318" s="804"/>
      <c r="I318" s="99"/>
      <c r="J318" s="804"/>
      <c r="K318" s="99"/>
      <c r="L318" s="804"/>
      <c r="M318" s="99"/>
      <c r="N318" s="804"/>
      <c r="O318" s="215"/>
      <c r="P318" s="215"/>
      <c r="Q318" s="215"/>
      <c r="R318" s="215"/>
      <c r="S318" s="215"/>
      <c r="T318" s="215"/>
      <c r="U318" s="215"/>
      <c r="V318" s="215"/>
      <c r="W318" s="80"/>
      <c r="X318" s="80"/>
      <c r="Y318" s="80"/>
      <c r="Z318" s="80"/>
      <c r="AA318" s="80"/>
      <c r="AB318" s="80"/>
      <c r="AC318" s="80"/>
      <c r="AD318" s="80"/>
      <c r="AE318" s="80"/>
      <c r="AF318" s="80"/>
    </row>
    <row r="319" spans="1:32">
      <c r="A319" s="95" t="s">
        <v>385</v>
      </c>
      <c r="B319" s="86"/>
      <c r="C319" s="105">
        <f>E57</f>
        <v>0</v>
      </c>
      <c r="D319" s="86"/>
      <c r="E319" s="93"/>
      <c r="F319" s="86"/>
      <c r="G319" s="93"/>
      <c r="H319" s="86"/>
      <c r="I319" s="93"/>
      <c r="J319" s="86"/>
      <c r="K319" s="93"/>
      <c r="L319" s="86"/>
      <c r="M319" s="93"/>
      <c r="N319" s="86"/>
      <c r="O319" s="215"/>
      <c r="P319" s="215"/>
      <c r="Q319" s="215"/>
      <c r="R319" s="215"/>
      <c r="S319" s="215"/>
      <c r="T319" s="215"/>
      <c r="U319" s="215"/>
      <c r="V319" s="215"/>
      <c r="W319" s="80"/>
      <c r="X319" s="80"/>
      <c r="Y319" s="80"/>
      <c r="Z319" s="80"/>
      <c r="AA319" s="80"/>
      <c r="AB319" s="80"/>
      <c r="AC319" s="80"/>
      <c r="AD319" s="80"/>
      <c r="AE319" s="80"/>
      <c r="AF319" s="80"/>
    </row>
    <row r="320" spans="1:32">
      <c r="A320" s="94" t="s">
        <v>77</v>
      </c>
      <c r="B320" s="576"/>
      <c r="C320" s="102">
        <v>0</v>
      </c>
      <c r="D320" s="576"/>
      <c r="E320" s="93"/>
      <c r="F320" s="86"/>
      <c r="G320" s="93"/>
      <c r="H320" s="86"/>
      <c r="I320" s="93"/>
      <c r="J320" s="86"/>
      <c r="K320" s="93"/>
      <c r="L320" s="86"/>
      <c r="M320" s="93"/>
      <c r="N320" s="86"/>
      <c r="O320" s="215"/>
      <c r="P320" s="215"/>
      <c r="Q320" s="215"/>
      <c r="R320" s="215"/>
      <c r="S320" s="215"/>
      <c r="T320" s="215"/>
      <c r="U320" s="215"/>
      <c r="V320" s="215"/>
      <c r="W320" s="80"/>
      <c r="X320" s="80"/>
      <c r="Y320" s="80"/>
      <c r="Z320" s="80"/>
      <c r="AA320" s="80"/>
      <c r="AB320" s="80"/>
      <c r="AC320" s="80"/>
      <c r="AD320" s="80"/>
      <c r="AE320" s="80"/>
      <c r="AF320" s="80"/>
    </row>
    <row r="321" spans="1:32">
      <c r="A321" s="95" t="s">
        <v>386</v>
      </c>
      <c r="B321" s="86"/>
      <c r="C321" s="105"/>
      <c r="D321" s="86"/>
      <c r="E321" s="93"/>
      <c r="F321" s="86"/>
      <c r="G321" s="93"/>
      <c r="H321" s="86"/>
      <c r="I321" s="93"/>
      <c r="J321" s="86"/>
      <c r="K321" s="93"/>
      <c r="L321" s="86"/>
      <c r="M321" s="93"/>
      <c r="N321" s="86"/>
      <c r="O321" s="215"/>
      <c r="P321" s="215"/>
      <c r="Q321" s="215"/>
      <c r="R321" s="215"/>
      <c r="S321" s="215"/>
      <c r="T321" s="215"/>
      <c r="U321" s="215"/>
      <c r="V321" s="215"/>
      <c r="W321" s="80"/>
      <c r="X321" s="80"/>
      <c r="Y321" s="80"/>
      <c r="Z321" s="80"/>
      <c r="AA321" s="80"/>
      <c r="AB321" s="80"/>
      <c r="AC321" s="80"/>
      <c r="AD321" s="80"/>
      <c r="AE321" s="80"/>
      <c r="AF321" s="80"/>
    </row>
    <row r="322" spans="1:32">
      <c r="A322" s="97" t="s">
        <v>387</v>
      </c>
      <c r="B322" s="793"/>
      <c r="C322" s="108"/>
      <c r="D322" s="793"/>
      <c r="E322" s="101"/>
      <c r="F322" s="805"/>
      <c r="G322" s="101"/>
      <c r="H322" s="805"/>
      <c r="I322" s="101"/>
      <c r="J322" s="805"/>
      <c r="K322" s="101"/>
      <c r="L322" s="805"/>
      <c r="M322" s="101"/>
      <c r="N322" s="805"/>
      <c r="O322" s="215"/>
      <c r="P322" s="215"/>
      <c r="Q322" s="215"/>
      <c r="R322" s="215"/>
      <c r="S322" s="215"/>
      <c r="T322" s="215"/>
      <c r="U322" s="215"/>
      <c r="V322" s="215"/>
      <c r="W322" s="80"/>
      <c r="X322" s="80"/>
      <c r="Y322" s="80"/>
      <c r="Z322" s="80"/>
      <c r="AA322" s="80"/>
      <c r="AB322" s="80"/>
      <c r="AC322" s="80"/>
      <c r="AD322" s="80"/>
      <c r="AE322" s="80"/>
      <c r="AF322" s="80"/>
    </row>
    <row r="323" spans="1:32">
      <c r="A323" s="95" t="s">
        <v>357</v>
      </c>
      <c r="B323" s="86"/>
      <c r="C323" s="105"/>
      <c r="D323" s="86"/>
      <c r="E323" s="101"/>
      <c r="F323" s="805"/>
      <c r="G323" s="101"/>
      <c r="H323" s="805"/>
      <c r="I323" s="101"/>
      <c r="J323" s="805"/>
      <c r="K323" s="101"/>
      <c r="L323" s="805"/>
      <c r="M323" s="101"/>
      <c r="N323" s="805"/>
      <c r="O323" s="215"/>
      <c r="P323" s="215"/>
      <c r="Q323" s="215"/>
      <c r="R323" s="215"/>
      <c r="S323" s="215"/>
      <c r="T323" s="215"/>
      <c r="U323" s="215"/>
      <c r="V323" s="215"/>
      <c r="W323" s="80"/>
      <c r="X323" s="80"/>
      <c r="Y323" s="80"/>
      <c r="Z323" s="80"/>
      <c r="AA323" s="80"/>
      <c r="AB323" s="80"/>
      <c r="AC323" s="80"/>
      <c r="AD323" s="80"/>
      <c r="AE323" s="80"/>
      <c r="AF323" s="80"/>
    </row>
    <row r="324" spans="1:32" ht="15" customHeight="1">
      <c r="A324" s="86"/>
      <c r="B324" s="86"/>
      <c r="C324" s="86"/>
      <c r="D324" s="86"/>
      <c r="E324" s="805"/>
      <c r="F324" s="805"/>
      <c r="G324" s="805"/>
      <c r="H324" s="805"/>
      <c r="I324" s="805"/>
      <c r="J324" s="805"/>
      <c r="K324" s="805"/>
      <c r="L324" s="805"/>
      <c r="M324" s="805"/>
      <c r="N324" s="805"/>
      <c r="O324" s="215"/>
      <c r="P324" s="215"/>
      <c r="Q324" s="215"/>
      <c r="R324" s="215"/>
      <c r="S324" s="215"/>
      <c r="T324" s="215"/>
      <c r="U324" s="215"/>
      <c r="V324" s="215"/>
      <c r="W324" s="80"/>
      <c r="X324" s="80"/>
      <c r="Y324" s="80"/>
      <c r="Z324" s="80"/>
      <c r="AA324" s="80"/>
      <c r="AB324" s="80"/>
      <c r="AC324" s="80"/>
      <c r="AD324" s="80"/>
      <c r="AE324" s="80"/>
      <c r="AF324" s="80"/>
    </row>
    <row r="325" spans="1:32">
      <c r="A325" s="166" t="s">
        <v>20</v>
      </c>
      <c r="B325" s="86"/>
      <c r="C325" s="86"/>
      <c r="D325" s="112" t="s">
        <v>392</v>
      </c>
      <c r="E325" s="1213" t="s">
        <v>388</v>
      </c>
      <c r="F325" s="1214"/>
      <c r="G325" s="805"/>
      <c r="H325" s="111"/>
      <c r="I325" s="805"/>
      <c r="J325" s="805"/>
      <c r="K325" s="805"/>
      <c r="L325" s="805"/>
      <c r="M325" s="805"/>
      <c r="N325" s="805"/>
      <c r="O325" s="215"/>
      <c r="P325" s="215"/>
      <c r="Q325" s="215"/>
      <c r="R325" s="215"/>
      <c r="S325" s="215"/>
      <c r="T325" s="215"/>
      <c r="U325" s="215"/>
      <c r="V325" s="215"/>
      <c r="W325" s="80"/>
      <c r="X325" s="80"/>
      <c r="Y325" s="80"/>
      <c r="Z325" s="80"/>
      <c r="AA325" s="80"/>
      <c r="AB325" s="80"/>
      <c r="AC325" s="80"/>
      <c r="AD325" s="80"/>
      <c r="AE325" s="80"/>
      <c r="AF325" s="80"/>
    </row>
    <row r="326" spans="1:32">
      <c r="A326" s="1055" t="s">
        <v>22</v>
      </c>
      <c r="B326" s="1055"/>
      <c r="C326" s="1055"/>
      <c r="D326" s="161" t="str">
        <f>C60</f>
        <v>12.0-16.0</v>
      </c>
      <c r="E326" s="805"/>
      <c r="F326" s="116">
        <f>E60</f>
        <v>0</v>
      </c>
      <c r="G326" s="805"/>
      <c r="H326" s="116">
        <f>G60</f>
        <v>0</v>
      </c>
      <c r="I326" s="805"/>
      <c r="J326" s="116">
        <f>I60</f>
        <v>0</v>
      </c>
      <c r="K326" s="805"/>
      <c r="L326" s="116">
        <f>K60</f>
        <v>0</v>
      </c>
      <c r="M326" s="283" t="str">
        <f>L60</f>
        <v>ND</v>
      </c>
      <c r="N326" s="805"/>
      <c r="O326" s="215"/>
      <c r="P326" s="215"/>
      <c r="Q326" s="215"/>
      <c r="R326" s="215"/>
      <c r="S326" s="215"/>
      <c r="T326" s="215"/>
      <c r="U326" s="215"/>
      <c r="V326" s="215"/>
      <c r="W326" s="80"/>
      <c r="X326" s="80"/>
      <c r="Y326" s="80"/>
      <c r="Z326" s="80"/>
      <c r="AA326" s="80"/>
      <c r="AB326" s="80"/>
      <c r="AC326" s="80"/>
      <c r="AD326" s="80"/>
      <c r="AE326" s="80"/>
      <c r="AF326" s="80"/>
    </row>
    <row r="327" spans="1:32">
      <c r="A327" s="1055" t="s">
        <v>390</v>
      </c>
      <c r="B327" s="1055"/>
      <c r="C327" s="1055"/>
      <c r="D327" s="162" t="str">
        <f>C62</f>
        <v>36.0-47</v>
      </c>
      <c r="E327" s="86"/>
      <c r="F327" s="95">
        <f>E62</f>
        <v>0</v>
      </c>
      <c r="G327" s="86"/>
      <c r="H327" s="95">
        <f>G62</f>
        <v>0</v>
      </c>
      <c r="I327" s="86"/>
      <c r="J327" s="95">
        <f>I62</f>
        <v>0</v>
      </c>
      <c r="K327" s="86"/>
      <c r="L327" s="95">
        <f>K62</f>
        <v>0</v>
      </c>
      <c r="M327" s="284" t="str">
        <f>L62</f>
        <v>ND</v>
      </c>
      <c r="N327" s="86"/>
      <c r="O327" s="215"/>
      <c r="P327" s="215"/>
      <c r="Q327" s="215"/>
      <c r="R327" s="215"/>
      <c r="S327" s="215"/>
      <c r="T327" s="215"/>
      <c r="U327" s="215"/>
      <c r="V327" s="215"/>
      <c r="W327" s="80"/>
      <c r="X327" s="80"/>
      <c r="Y327" s="80"/>
      <c r="Z327" s="80"/>
      <c r="AA327" s="80"/>
      <c r="AB327" s="80"/>
      <c r="AC327" s="80"/>
      <c r="AD327" s="80"/>
      <c r="AE327" s="80"/>
      <c r="AF327" s="80"/>
    </row>
    <row r="328" spans="1:32">
      <c r="A328" s="1055" t="s">
        <v>391</v>
      </c>
      <c r="B328" s="1055"/>
      <c r="C328" s="1055"/>
      <c r="D328" s="162" t="str">
        <f>C64</f>
        <v>4000-11200</v>
      </c>
      <c r="E328" s="86"/>
      <c r="F328" s="95">
        <f>E64</f>
        <v>0</v>
      </c>
      <c r="G328" s="86"/>
      <c r="H328" s="95">
        <f>G64</f>
        <v>0</v>
      </c>
      <c r="I328" s="86"/>
      <c r="J328" s="95">
        <f>I64</f>
        <v>0</v>
      </c>
      <c r="K328" s="86"/>
      <c r="L328" s="95">
        <f>K64</f>
        <v>0</v>
      </c>
      <c r="M328" s="284" t="str">
        <f>L64</f>
        <v>ND</v>
      </c>
      <c r="N328" s="86"/>
      <c r="O328" s="215"/>
      <c r="P328" s="215"/>
      <c r="Q328" s="215"/>
      <c r="R328" s="215"/>
      <c r="S328" s="215"/>
      <c r="T328" s="215"/>
      <c r="U328" s="215"/>
      <c r="V328" s="215"/>
      <c r="W328" s="80"/>
      <c r="X328" s="80"/>
      <c r="Y328" s="80"/>
      <c r="Z328" s="80"/>
      <c r="AA328" s="80"/>
      <c r="AB328" s="80"/>
      <c r="AC328" s="80"/>
      <c r="AD328" s="80"/>
      <c r="AE328" s="80"/>
      <c r="AF328" s="80"/>
    </row>
    <row r="329" spans="1:32">
      <c r="A329" s="1057" t="s">
        <v>25</v>
      </c>
      <c r="B329" s="1057"/>
      <c r="C329" s="1057"/>
      <c r="D329" s="163" t="str">
        <f>C67</f>
        <v>65-110</v>
      </c>
      <c r="E329" s="804"/>
      <c r="F329" s="157">
        <f>E67</f>
        <v>0</v>
      </c>
      <c r="G329" s="804"/>
      <c r="H329" s="157">
        <f>G67</f>
        <v>0</v>
      </c>
      <c r="I329" s="804"/>
      <c r="J329" s="157">
        <f>I67</f>
        <v>0</v>
      </c>
      <c r="K329" s="804"/>
      <c r="L329" s="157">
        <f>K67</f>
        <v>0</v>
      </c>
      <c r="M329" s="285" t="str">
        <f>L67</f>
        <v>ND</v>
      </c>
      <c r="N329" s="804"/>
      <c r="O329" s="215"/>
      <c r="P329" s="215"/>
      <c r="Q329" s="215"/>
      <c r="R329" s="215"/>
      <c r="S329" s="215"/>
      <c r="T329" s="215"/>
      <c r="U329" s="215"/>
      <c r="V329" s="215"/>
      <c r="W329" s="80"/>
      <c r="X329" s="80"/>
      <c r="Y329" s="80"/>
      <c r="Z329" s="80"/>
      <c r="AA329" s="80"/>
      <c r="AB329" s="80"/>
      <c r="AC329" s="80"/>
      <c r="AD329" s="80"/>
      <c r="AE329" s="80"/>
      <c r="AF329" s="80"/>
    </row>
    <row r="330" spans="1:32">
      <c r="A330" s="1055" t="s">
        <v>26</v>
      </c>
      <c r="B330" s="1055"/>
      <c r="C330" s="1055"/>
      <c r="D330" s="164" t="str">
        <f>C69</f>
        <v>14.0-44</v>
      </c>
      <c r="E330" s="804"/>
      <c r="F330" s="157">
        <f>E69</f>
        <v>0</v>
      </c>
      <c r="G330" s="804"/>
      <c r="H330" s="157">
        <f>G69</f>
        <v>0</v>
      </c>
      <c r="I330" s="804"/>
      <c r="J330" s="157">
        <f>I69</f>
        <v>0</v>
      </c>
      <c r="K330" s="804"/>
      <c r="L330" s="157">
        <f>K69</f>
        <v>0</v>
      </c>
      <c r="M330" s="285" t="str">
        <f>L69</f>
        <v>ND</v>
      </c>
      <c r="N330" s="804"/>
      <c r="O330" s="215"/>
      <c r="P330" s="215"/>
      <c r="Q330" s="215"/>
      <c r="R330" s="215"/>
      <c r="S330" s="215"/>
      <c r="T330" s="215"/>
      <c r="U330" s="215"/>
      <c r="V330" s="215"/>
      <c r="W330" s="80"/>
      <c r="X330" s="80"/>
      <c r="Y330" s="80"/>
      <c r="Z330" s="80"/>
      <c r="AA330" s="80"/>
      <c r="AB330" s="80"/>
      <c r="AC330" s="80"/>
      <c r="AD330" s="80"/>
      <c r="AE330" s="80"/>
      <c r="AF330" s="80"/>
    </row>
    <row r="331" spans="1:32">
      <c r="A331" s="1055" t="s">
        <v>27</v>
      </c>
      <c r="B331" s="1055"/>
      <c r="C331" s="1055"/>
      <c r="D331" s="164" t="str">
        <f>C71</f>
        <v>3.4-7.0</v>
      </c>
      <c r="E331" s="804"/>
      <c r="F331" s="157">
        <f>E71</f>
        <v>0</v>
      </c>
      <c r="G331" s="804"/>
      <c r="H331" s="157">
        <f>G71</f>
        <v>0</v>
      </c>
      <c r="I331" s="804"/>
      <c r="J331" s="157">
        <f>I71</f>
        <v>0</v>
      </c>
      <c r="K331" s="804"/>
      <c r="L331" s="157">
        <f>K71</f>
        <v>0</v>
      </c>
      <c r="M331" s="285" t="str">
        <f>L71</f>
        <v>ND</v>
      </c>
      <c r="N331" s="804"/>
      <c r="O331" s="215"/>
      <c r="P331" s="215"/>
      <c r="Q331" s="215"/>
      <c r="R331" s="215"/>
      <c r="S331" s="215"/>
      <c r="T331" s="215"/>
      <c r="U331" s="215"/>
      <c r="V331" s="215"/>
      <c r="W331" s="80"/>
      <c r="X331" s="80"/>
      <c r="Y331" s="80"/>
      <c r="Z331" s="80"/>
      <c r="AA331" s="80"/>
      <c r="AB331" s="80"/>
      <c r="AC331" s="80"/>
      <c r="AD331" s="80"/>
      <c r="AE331" s="80"/>
      <c r="AF331" s="80"/>
    </row>
    <row r="332" spans="1:32">
      <c r="A332" s="1055" t="s">
        <v>28</v>
      </c>
      <c r="B332" s="1055"/>
      <c r="C332" s="1055"/>
      <c r="D332" s="162" t="str">
        <f>C73</f>
        <v>0.5-1.6</v>
      </c>
      <c r="E332" s="804"/>
      <c r="F332" s="157">
        <f>E73</f>
        <v>0</v>
      </c>
      <c r="G332" s="804"/>
      <c r="H332" s="157">
        <f>G73</f>
        <v>0</v>
      </c>
      <c r="I332" s="804"/>
      <c r="J332" s="157">
        <f>I73</f>
        <v>0</v>
      </c>
      <c r="K332" s="804"/>
      <c r="L332" s="157">
        <f>K73</f>
        <v>0</v>
      </c>
      <c r="M332" s="285" t="str">
        <f>L73</f>
        <v>ND</v>
      </c>
      <c r="N332" s="804"/>
      <c r="O332" s="215"/>
      <c r="P332" s="215"/>
      <c r="Q332" s="215"/>
      <c r="R332" s="215"/>
      <c r="S332" s="215"/>
      <c r="T332" s="215"/>
      <c r="U332" s="215"/>
      <c r="V332" s="215"/>
      <c r="W332" s="80"/>
      <c r="X332" s="80"/>
      <c r="Y332" s="80"/>
      <c r="Z332" s="80"/>
      <c r="AA332" s="80"/>
      <c r="AB332" s="80"/>
      <c r="AC332" s="80"/>
      <c r="AD332" s="80"/>
      <c r="AE332" s="80"/>
      <c r="AF332" s="80"/>
    </row>
    <row r="333" spans="1:32" ht="15" customHeight="1">
      <c r="A333" s="1055" t="s">
        <v>30</v>
      </c>
      <c r="B333" s="1055"/>
      <c r="C333" s="1055"/>
      <c r="D333" s="162" t="str">
        <f>C76</f>
        <v>6.4-8.3</v>
      </c>
      <c r="E333" s="804"/>
      <c r="F333" s="157">
        <f>E76</f>
        <v>0</v>
      </c>
      <c r="G333" s="804"/>
      <c r="H333" s="157">
        <f>G76</f>
        <v>0</v>
      </c>
      <c r="I333" s="804"/>
      <c r="J333" s="157">
        <f>I76</f>
        <v>0</v>
      </c>
      <c r="K333" s="804"/>
      <c r="L333" s="157">
        <f>K76</f>
        <v>0</v>
      </c>
      <c r="M333" s="285" t="str">
        <f>L76</f>
        <v>ND</v>
      </c>
      <c r="N333" s="804"/>
      <c r="O333" s="215"/>
      <c r="P333" s="215"/>
      <c r="Q333" s="215"/>
      <c r="R333" s="215"/>
      <c r="S333" s="215"/>
      <c r="T333" s="215"/>
      <c r="U333" s="215"/>
      <c r="V333" s="215"/>
      <c r="W333" s="80"/>
      <c r="X333" s="80"/>
      <c r="Y333" s="80"/>
      <c r="Z333" s="80"/>
      <c r="AA333" s="80"/>
      <c r="AB333" s="80"/>
      <c r="AC333" s="80"/>
      <c r="AD333" s="80"/>
      <c r="AE333" s="80"/>
      <c r="AF333" s="80"/>
    </row>
    <row r="334" spans="1:32">
      <c r="A334" s="1055" t="s">
        <v>31</v>
      </c>
      <c r="B334" s="1055"/>
      <c r="C334" s="1055"/>
      <c r="D334" s="162" t="str">
        <f>C78</f>
        <v>3.4- 5.0</v>
      </c>
      <c r="E334" s="804"/>
      <c r="F334" s="157">
        <f>E78</f>
        <v>0</v>
      </c>
      <c r="G334" s="804"/>
      <c r="H334" s="157">
        <f>G78</f>
        <v>0</v>
      </c>
      <c r="I334" s="804"/>
      <c r="J334" s="157">
        <f>I78</f>
        <v>0</v>
      </c>
      <c r="K334" s="804"/>
      <c r="L334" s="157">
        <f>K78</f>
        <v>0</v>
      </c>
      <c r="M334" s="285" t="str">
        <f>L78</f>
        <v>ND</v>
      </c>
      <c r="N334" s="804"/>
      <c r="O334" s="215"/>
      <c r="P334" s="215"/>
      <c r="Q334" s="215"/>
      <c r="R334" s="215"/>
      <c r="S334" s="215"/>
      <c r="T334" s="215"/>
      <c r="U334" s="215"/>
      <c r="V334" s="215"/>
      <c r="W334" s="80"/>
      <c r="X334" s="80"/>
      <c r="Y334" s="80"/>
      <c r="Z334" s="80"/>
      <c r="AA334" s="80"/>
      <c r="AB334" s="80"/>
      <c r="AC334" s="80"/>
      <c r="AD334" s="80"/>
      <c r="AE334" s="80"/>
      <c r="AF334" s="80"/>
    </row>
    <row r="335" spans="1:32">
      <c r="A335" s="1055" t="s">
        <v>36</v>
      </c>
      <c r="B335" s="1055"/>
      <c r="C335" s="1055"/>
      <c r="D335" s="162"/>
      <c r="E335" s="804"/>
      <c r="F335" s="157"/>
      <c r="G335" s="804"/>
      <c r="H335" s="157"/>
      <c r="I335" s="804"/>
      <c r="J335" s="157"/>
      <c r="K335" s="804"/>
      <c r="L335" s="157"/>
      <c r="M335" s="285"/>
      <c r="N335" s="804"/>
      <c r="O335" s="215"/>
      <c r="P335" s="215"/>
      <c r="Q335" s="215"/>
      <c r="R335" s="215"/>
      <c r="S335" s="215"/>
      <c r="T335" s="215"/>
      <c r="U335" s="215"/>
      <c r="V335" s="215"/>
      <c r="W335" s="80"/>
      <c r="X335" s="80"/>
      <c r="Y335" s="80"/>
      <c r="Z335" s="80"/>
      <c r="AA335" s="80"/>
      <c r="AB335" s="80"/>
      <c r="AC335" s="80"/>
      <c r="AD335" s="80"/>
      <c r="AE335" s="80"/>
      <c r="AF335" s="80"/>
    </row>
    <row r="336" spans="1:32">
      <c r="A336" s="1055" t="s">
        <v>32</v>
      </c>
      <c r="B336" s="1055"/>
      <c r="C336" s="1055"/>
      <c r="D336" s="162"/>
      <c r="E336" s="804"/>
      <c r="F336" s="157"/>
      <c r="G336" s="804"/>
      <c r="H336" s="157"/>
      <c r="I336" s="804"/>
      <c r="J336" s="157"/>
      <c r="K336" s="804"/>
      <c r="L336" s="157"/>
      <c r="M336" s="285"/>
      <c r="N336" s="804"/>
      <c r="O336" s="215"/>
      <c r="P336" s="215"/>
      <c r="Q336" s="215"/>
      <c r="R336" s="215"/>
      <c r="S336" s="215"/>
      <c r="T336" s="215"/>
      <c r="U336" s="215"/>
      <c r="V336" s="215"/>
      <c r="W336" s="80"/>
      <c r="X336" s="80"/>
      <c r="Y336" s="80"/>
      <c r="Z336" s="80"/>
      <c r="AA336" s="80"/>
      <c r="AB336" s="80"/>
      <c r="AC336" s="80"/>
      <c r="AD336" s="80"/>
      <c r="AE336" s="80"/>
      <c r="AF336" s="80"/>
    </row>
    <row r="337" spans="1:32">
      <c r="A337" s="1055" t="s">
        <v>33</v>
      </c>
      <c r="B337" s="1055"/>
      <c r="C337" s="1055"/>
      <c r="D337" s="162" t="str">
        <f>C81</f>
        <v>140-200mg</v>
      </c>
      <c r="E337" s="86"/>
      <c r="F337" s="95">
        <f>E81</f>
        <v>0</v>
      </c>
      <c r="G337" s="86"/>
      <c r="H337" s="95">
        <f>G81</f>
        <v>0</v>
      </c>
      <c r="I337" s="86"/>
      <c r="J337" s="95">
        <f>I81</f>
        <v>0</v>
      </c>
      <c r="K337" s="86"/>
      <c r="L337" s="95">
        <f>K81</f>
        <v>0</v>
      </c>
      <c r="M337" s="284" t="str">
        <f>L81</f>
        <v>ND</v>
      </c>
      <c r="N337" s="86"/>
      <c r="O337" s="215"/>
      <c r="P337" s="215"/>
      <c r="Q337" s="215"/>
      <c r="R337" s="215"/>
      <c r="S337" s="215"/>
      <c r="T337" s="215"/>
      <c r="U337" s="215"/>
      <c r="V337" s="215"/>
      <c r="W337" s="80"/>
      <c r="X337" s="80"/>
      <c r="Y337" s="80"/>
      <c r="Z337" s="80"/>
      <c r="AA337" s="80"/>
      <c r="AB337" s="80"/>
      <c r="AC337" s="80"/>
      <c r="AD337" s="80"/>
      <c r="AE337" s="80"/>
      <c r="AF337" s="80"/>
    </row>
    <row r="338" spans="1:32" ht="15" customHeight="1">
      <c r="A338" s="1053" t="s">
        <v>34</v>
      </c>
      <c r="B338" s="1053"/>
      <c r="C338" s="1053"/>
      <c r="D338" s="165" t="str">
        <f>C83</f>
        <v>40-160</v>
      </c>
      <c r="E338" s="805"/>
      <c r="F338" s="116">
        <f>E83</f>
        <v>0</v>
      </c>
      <c r="G338" s="805"/>
      <c r="H338" s="116">
        <f>G83</f>
        <v>0</v>
      </c>
      <c r="I338" s="805"/>
      <c r="J338" s="116">
        <f>I83</f>
        <v>0</v>
      </c>
      <c r="K338" s="805"/>
      <c r="L338" s="116">
        <f>K83</f>
        <v>0</v>
      </c>
      <c r="M338" s="283" t="str">
        <f>L83</f>
        <v>ND</v>
      </c>
      <c r="N338" s="805"/>
      <c r="O338" s="215"/>
      <c r="P338" s="215"/>
      <c r="Q338" s="215"/>
      <c r="R338" s="215"/>
      <c r="S338" s="215"/>
      <c r="T338" s="215"/>
      <c r="U338" s="215"/>
      <c r="V338" s="215"/>
      <c r="W338" s="80"/>
      <c r="X338" s="80"/>
      <c r="Y338" s="80"/>
      <c r="Z338" s="80"/>
      <c r="AA338" s="80"/>
      <c r="AB338" s="80"/>
      <c r="AC338" s="80"/>
      <c r="AD338" s="80"/>
      <c r="AE338" s="80"/>
      <c r="AF338" s="80"/>
    </row>
    <row r="339" spans="1:32">
      <c r="A339" s="1055" t="s">
        <v>35</v>
      </c>
      <c r="B339" s="1055"/>
      <c r="C339" s="1055"/>
      <c r="D339" s="162"/>
      <c r="E339" s="805"/>
      <c r="F339" s="116"/>
      <c r="G339" s="805"/>
      <c r="H339" s="116"/>
      <c r="I339" s="805"/>
      <c r="J339" s="116"/>
      <c r="K339" s="805"/>
      <c r="L339" s="116"/>
      <c r="M339" s="283"/>
      <c r="N339" s="805"/>
      <c r="O339" s="215"/>
      <c r="P339" s="215"/>
      <c r="Q339" s="215"/>
      <c r="R339" s="215"/>
      <c r="S339" s="215"/>
      <c r="T339" s="215"/>
      <c r="U339" s="215"/>
      <c r="V339" s="215"/>
      <c r="W339" s="80"/>
      <c r="X339" s="80"/>
      <c r="Y339" s="80"/>
      <c r="Z339" s="80"/>
      <c r="AA339" s="80"/>
      <c r="AB339" s="80"/>
      <c r="AC339" s="80"/>
      <c r="AD339" s="80"/>
      <c r="AE339" s="80"/>
      <c r="AF339" s="80"/>
    </row>
    <row r="340" spans="1:32">
      <c r="A340" s="1055" t="s">
        <v>357</v>
      </c>
      <c r="B340" s="1055"/>
      <c r="C340" s="1055"/>
      <c r="D340" s="162"/>
      <c r="E340" s="805"/>
      <c r="F340" s="116"/>
      <c r="G340" s="805"/>
      <c r="H340" s="116"/>
      <c r="I340" s="805"/>
      <c r="J340" s="116"/>
      <c r="K340" s="805"/>
      <c r="L340" s="116"/>
      <c r="M340" s="158"/>
      <c r="N340" s="805"/>
      <c r="O340" s="215"/>
      <c r="P340" s="215"/>
      <c r="Q340" s="215"/>
      <c r="R340" s="215"/>
      <c r="S340" s="215"/>
      <c r="T340" s="215"/>
      <c r="U340" s="215"/>
      <c r="V340" s="215"/>
      <c r="W340" s="80"/>
      <c r="X340" s="80"/>
      <c r="Y340" s="80"/>
      <c r="Z340" s="80"/>
      <c r="AA340" s="80"/>
      <c r="AB340" s="80"/>
      <c r="AC340" s="80"/>
      <c r="AD340" s="80"/>
      <c r="AE340" s="80"/>
      <c r="AF340" s="80"/>
    </row>
    <row r="341" spans="1:32">
      <c r="A341" s="86"/>
      <c r="B341" s="86"/>
      <c r="C341" s="86"/>
      <c r="D341" s="86"/>
      <c r="E341" s="784"/>
      <c r="F341" s="784"/>
      <c r="G341" s="784"/>
      <c r="H341" s="784"/>
      <c r="I341" s="784"/>
      <c r="J341" s="784"/>
      <c r="K341" s="784"/>
      <c r="L341" s="784"/>
      <c r="M341" s="784"/>
      <c r="N341" s="784"/>
      <c r="O341" s="215"/>
      <c r="P341" s="215"/>
      <c r="Q341" s="215"/>
      <c r="R341" s="215"/>
      <c r="S341" s="215"/>
      <c r="T341" s="215"/>
      <c r="U341" s="215"/>
      <c r="V341" s="215"/>
      <c r="W341" s="80"/>
      <c r="X341" s="80"/>
      <c r="Y341" s="80"/>
      <c r="Z341" s="80"/>
      <c r="AA341" s="80"/>
      <c r="AB341" s="80"/>
      <c r="AC341" s="80"/>
      <c r="AD341" s="80"/>
      <c r="AE341" s="80"/>
      <c r="AF341" s="80"/>
    </row>
    <row r="342" spans="1:32">
      <c r="A342" s="1047" t="s">
        <v>393</v>
      </c>
      <c r="B342" s="1047"/>
      <c r="C342" s="1047"/>
      <c r="D342" s="1047"/>
      <c r="E342" s="1205"/>
      <c r="F342" s="1205"/>
      <c r="G342" s="1205"/>
      <c r="H342" s="1205"/>
      <c r="I342" s="1205"/>
      <c r="J342" s="1205"/>
      <c r="K342" s="1205"/>
      <c r="L342" s="1205"/>
      <c r="M342" s="1205"/>
      <c r="N342" s="1205"/>
      <c r="O342" s="215"/>
      <c r="P342" s="215"/>
      <c r="Q342" s="215"/>
      <c r="R342" s="215"/>
      <c r="S342" s="215"/>
      <c r="T342" s="215"/>
      <c r="U342" s="215"/>
      <c r="V342" s="215"/>
      <c r="W342" s="80"/>
      <c r="X342" s="80"/>
      <c r="Y342" s="80"/>
      <c r="Z342" s="80"/>
      <c r="AA342" s="80"/>
      <c r="AB342" s="80"/>
      <c r="AC342" s="80"/>
      <c r="AD342" s="80"/>
      <c r="AE342" s="80"/>
      <c r="AF342" s="80"/>
    </row>
    <row r="343" spans="1:32">
      <c r="A343" s="293" t="s">
        <v>435</v>
      </c>
      <c r="B343" s="293"/>
      <c r="C343" s="293"/>
      <c r="D343" s="296"/>
      <c r="E343" s="293"/>
      <c r="F343" s="295"/>
      <c r="G343" s="296"/>
      <c r="H343" s="298">
        <f t="shared" ref="H343:I345" si="15">H30</f>
        <v>153.39233038348084</v>
      </c>
      <c r="I343" s="293" t="str">
        <f t="shared" si="15"/>
        <v>EXCESO O SOBREPESO</v>
      </c>
      <c r="J343" s="293"/>
      <c r="K343" s="293"/>
      <c r="L343" s="293"/>
      <c r="M343" s="293"/>
      <c r="N343" s="293"/>
      <c r="O343" s="215"/>
      <c r="P343" s="215"/>
      <c r="Q343" s="215"/>
      <c r="R343" s="215"/>
      <c r="S343" s="215"/>
      <c r="T343" s="215"/>
      <c r="U343" s="215"/>
      <c r="V343" s="215"/>
      <c r="W343" s="80"/>
      <c r="X343" s="80"/>
      <c r="Y343" s="80"/>
      <c r="Z343" s="80"/>
      <c r="AA343" s="80"/>
      <c r="AB343" s="80"/>
      <c r="AC343" s="80"/>
      <c r="AD343" s="80"/>
      <c r="AE343" s="80"/>
      <c r="AF343" s="80"/>
    </row>
    <row r="344" spans="1:32">
      <c r="A344" s="814" t="s">
        <v>436</v>
      </c>
      <c r="B344" s="814"/>
      <c r="C344" s="814"/>
      <c r="D344" s="251"/>
      <c r="E344" s="814"/>
      <c r="F344" s="252"/>
      <c r="G344" s="251"/>
      <c r="H344" s="288">
        <f t="shared" si="15"/>
        <v>153.39233038348084</v>
      </c>
      <c r="I344" s="814" t="str">
        <f t="shared" si="15"/>
        <v>NORMAL</v>
      </c>
      <c r="J344" s="814"/>
      <c r="K344" s="814"/>
      <c r="L344" s="814"/>
      <c r="M344" s="814"/>
      <c r="N344" s="814"/>
      <c r="O344" s="215"/>
      <c r="P344" s="215"/>
      <c r="Q344" s="215"/>
      <c r="R344" s="215"/>
      <c r="S344" s="215"/>
      <c r="T344" s="215"/>
      <c r="U344" s="215"/>
      <c r="V344" s="215"/>
      <c r="W344" s="80"/>
      <c r="X344" s="80"/>
      <c r="Y344" s="80"/>
      <c r="Z344" s="80"/>
      <c r="AA344" s="80"/>
      <c r="AB344" s="80"/>
      <c r="AC344" s="80"/>
      <c r="AD344" s="80"/>
      <c r="AE344" s="80"/>
      <c r="AF344" s="80"/>
    </row>
    <row r="345" spans="1:32">
      <c r="A345" s="814" t="s">
        <v>437</v>
      </c>
      <c r="B345" s="814"/>
      <c r="C345" s="814"/>
      <c r="D345" s="251"/>
      <c r="E345" s="814"/>
      <c r="F345" s="252"/>
      <c r="G345" s="251"/>
      <c r="H345" s="288">
        <f t="shared" si="15"/>
        <v>101.91082802547771</v>
      </c>
      <c r="I345" s="814" t="str">
        <f t="shared" si="15"/>
        <v>NORMAL</v>
      </c>
      <c r="J345" s="814"/>
      <c r="K345" s="814"/>
      <c r="L345" s="814"/>
      <c r="M345" s="814"/>
      <c r="N345" s="814"/>
      <c r="O345" s="215"/>
      <c r="P345" s="215"/>
      <c r="Q345" s="215"/>
      <c r="R345" s="215"/>
      <c r="S345" s="215"/>
      <c r="T345" s="215"/>
      <c r="U345" s="215"/>
      <c r="V345" s="215"/>
      <c r="W345" s="80"/>
      <c r="X345" s="80"/>
      <c r="Y345" s="80"/>
      <c r="Z345" s="80"/>
      <c r="AA345" s="80"/>
      <c r="AB345" s="80"/>
      <c r="AC345" s="80"/>
      <c r="AD345" s="80"/>
      <c r="AE345" s="80"/>
      <c r="AF345" s="80"/>
    </row>
    <row r="346" spans="1:32">
      <c r="A346" s="814"/>
      <c r="B346" s="814"/>
      <c r="C346" s="814"/>
      <c r="D346" s="251"/>
      <c r="E346" s="814"/>
      <c r="F346" s="252"/>
      <c r="G346" s="251"/>
      <c r="H346" s="288"/>
      <c r="I346" s="814"/>
      <c r="J346" s="814"/>
      <c r="K346" s="814"/>
      <c r="L346" s="814"/>
      <c r="M346" s="814"/>
      <c r="N346" s="814"/>
      <c r="O346" s="215"/>
      <c r="P346" s="215"/>
      <c r="Q346" s="215"/>
      <c r="R346" s="215"/>
      <c r="S346" s="215"/>
      <c r="T346" s="215"/>
      <c r="U346" s="215"/>
      <c r="V346" s="215"/>
      <c r="W346" s="80"/>
      <c r="X346" s="80"/>
      <c r="Y346" s="80"/>
      <c r="Z346" s="80"/>
      <c r="AA346" s="80"/>
      <c r="AB346" s="80"/>
      <c r="AC346" s="80"/>
      <c r="AD346" s="80"/>
      <c r="AE346" s="80"/>
      <c r="AF346" s="80"/>
    </row>
    <row r="347" spans="1:32">
      <c r="A347" s="1258" t="s">
        <v>632</v>
      </c>
      <c r="B347" s="1258"/>
      <c r="C347" s="1258"/>
      <c r="D347" s="1258"/>
      <c r="E347" s="1258"/>
      <c r="F347" s="1258"/>
      <c r="G347" s="1258"/>
      <c r="H347" s="1258"/>
      <c r="I347" s="1258"/>
      <c r="J347" s="1258"/>
      <c r="K347" s="1258"/>
      <c r="L347" s="1258"/>
      <c r="M347" s="1258"/>
      <c r="N347" s="1258"/>
      <c r="O347" s="215"/>
      <c r="P347" s="215"/>
      <c r="Q347" s="215"/>
      <c r="R347" s="215"/>
      <c r="S347" s="215"/>
      <c r="T347" s="215"/>
      <c r="U347" s="215"/>
      <c r="V347" s="215"/>
      <c r="W347" s="80"/>
      <c r="X347" s="80"/>
      <c r="Y347" s="80"/>
      <c r="Z347" s="80"/>
      <c r="AA347" s="80"/>
      <c r="AB347" s="80"/>
      <c r="AC347" s="80"/>
      <c r="AD347" s="80"/>
      <c r="AE347" s="80"/>
      <c r="AF347" s="80"/>
    </row>
    <row r="348" spans="1:32" ht="15" customHeight="1">
      <c r="A348" s="1258" t="s">
        <v>633</v>
      </c>
      <c r="B348" s="1258"/>
      <c r="C348" s="1258"/>
      <c r="D348" s="1258"/>
      <c r="E348" s="1258"/>
      <c r="F348" s="1258"/>
      <c r="G348" s="1258"/>
      <c r="H348" s="1258"/>
      <c r="I348" s="1258"/>
      <c r="J348" s="1258"/>
      <c r="K348" s="1258"/>
      <c r="L348" s="1258"/>
      <c r="M348" s="1258"/>
      <c r="N348" s="1258"/>
      <c r="O348" s="215"/>
      <c r="P348" s="215"/>
      <c r="Q348" s="215"/>
      <c r="R348" s="215"/>
      <c r="S348" s="215"/>
      <c r="T348" s="215"/>
      <c r="U348" s="215"/>
      <c r="V348" s="215"/>
      <c r="W348" s="80"/>
      <c r="X348" s="80"/>
      <c r="Y348" s="80"/>
      <c r="Z348" s="80"/>
      <c r="AA348" s="80"/>
      <c r="AB348" s="80"/>
      <c r="AC348" s="80"/>
      <c r="AD348" s="80"/>
      <c r="AE348" s="80"/>
      <c r="AF348" s="80"/>
    </row>
    <row r="349" spans="1:32">
      <c r="A349" s="1258"/>
      <c r="B349" s="1258"/>
      <c r="C349" s="1258"/>
      <c r="D349" s="1258"/>
      <c r="E349" s="1258"/>
      <c r="F349" s="1258"/>
      <c r="G349" s="1258"/>
      <c r="H349" s="1258"/>
      <c r="I349" s="1258"/>
      <c r="J349" s="1258"/>
      <c r="K349" s="1258"/>
      <c r="L349" s="1258"/>
      <c r="M349" s="1258"/>
      <c r="N349" s="1258"/>
      <c r="O349" s="215"/>
      <c r="P349" s="215"/>
      <c r="Q349" s="215"/>
      <c r="R349" s="215"/>
      <c r="S349" s="215"/>
      <c r="T349" s="215"/>
      <c r="U349" s="215"/>
      <c r="V349" s="215"/>
      <c r="W349" s="80"/>
      <c r="X349" s="80"/>
      <c r="Y349" s="80"/>
      <c r="Z349" s="80"/>
      <c r="AA349" s="80"/>
      <c r="AB349" s="80"/>
      <c r="AC349" s="80"/>
      <c r="AD349" s="80"/>
      <c r="AE349" s="80"/>
      <c r="AF349" s="80"/>
    </row>
    <row r="350" spans="1:32" ht="17.100000000000001" customHeight="1">
      <c r="A350" s="1258"/>
      <c r="B350" s="1258"/>
      <c r="C350" s="1258"/>
      <c r="D350" s="1258"/>
      <c r="E350" s="1258"/>
      <c r="F350" s="1258"/>
      <c r="G350" s="1258"/>
      <c r="H350" s="1258"/>
      <c r="I350" s="1258"/>
      <c r="J350" s="1258"/>
      <c r="K350" s="1258"/>
      <c r="L350" s="1258"/>
      <c r="M350" s="1258"/>
      <c r="N350" s="1258"/>
      <c r="O350" s="215"/>
      <c r="P350" s="215"/>
      <c r="Q350" s="215"/>
      <c r="R350" s="215"/>
      <c r="S350" s="215"/>
      <c r="T350" s="215"/>
      <c r="U350" s="215"/>
      <c r="V350" s="215"/>
      <c r="W350" s="80"/>
      <c r="X350" s="80"/>
      <c r="Y350" s="80"/>
      <c r="Z350" s="80"/>
      <c r="AA350" s="80"/>
      <c r="AB350" s="80"/>
      <c r="AC350" s="80"/>
      <c r="AD350" s="80"/>
      <c r="AE350" s="80"/>
      <c r="AF350" s="80"/>
    </row>
    <row r="351" spans="1:32" ht="15" customHeight="1">
      <c r="A351" s="1258"/>
      <c r="B351" s="1258"/>
      <c r="C351" s="1258"/>
      <c r="D351" s="1258"/>
      <c r="E351" s="1258"/>
      <c r="F351" s="1258"/>
      <c r="G351" s="1258"/>
      <c r="H351" s="1258"/>
      <c r="I351" s="1258"/>
      <c r="J351" s="1258"/>
      <c r="K351" s="1258"/>
      <c r="L351" s="1258"/>
      <c r="M351" s="1258"/>
      <c r="N351" s="1258"/>
      <c r="O351" s="215"/>
      <c r="P351" s="215"/>
      <c r="Q351" s="215"/>
      <c r="R351" s="215"/>
      <c r="S351" s="215"/>
      <c r="T351" s="215"/>
      <c r="U351" s="215"/>
      <c r="V351" s="215"/>
      <c r="W351" s="80"/>
      <c r="X351" s="80"/>
      <c r="Y351" s="80"/>
      <c r="Z351" s="80"/>
      <c r="AA351" s="80"/>
      <c r="AB351" s="80"/>
      <c r="AC351" s="80"/>
      <c r="AD351" s="80"/>
      <c r="AE351" s="80"/>
      <c r="AF351" s="80"/>
    </row>
    <row r="352" spans="1:32" ht="15.75" customHeight="1">
      <c r="A352" s="1258"/>
      <c r="B352" s="1258"/>
      <c r="C352" s="1258"/>
      <c r="D352" s="1258"/>
      <c r="E352" s="1258"/>
      <c r="F352" s="1258"/>
      <c r="G352" s="1258"/>
      <c r="H352" s="1258"/>
      <c r="I352" s="1258"/>
      <c r="J352" s="1258"/>
      <c r="K352" s="1258"/>
      <c r="L352" s="1258"/>
      <c r="M352" s="1258"/>
      <c r="N352" s="1258"/>
      <c r="O352" s="215"/>
      <c r="P352" s="215"/>
      <c r="Q352" s="215"/>
      <c r="R352" s="215"/>
      <c r="S352" s="215"/>
      <c r="T352" s="215"/>
      <c r="U352" s="215"/>
      <c r="V352" s="215"/>
      <c r="W352" s="80"/>
      <c r="X352" s="80"/>
      <c r="Y352" s="80"/>
      <c r="Z352" s="80"/>
      <c r="AA352" s="80"/>
      <c r="AB352" s="80"/>
      <c r="AC352" s="80"/>
      <c r="AD352" s="80"/>
      <c r="AE352" s="80"/>
      <c r="AF352" s="80"/>
    </row>
    <row r="353" spans="1:32">
      <c r="A353" s="1258"/>
      <c r="B353" s="1258"/>
      <c r="C353" s="1258"/>
      <c r="D353" s="1258"/>
      <c r="E353" s="1258"/>
      <c r="F353" s="1258"/>
      <c r="G353" s="1258"/>
      <c r="H353" s="1258"/>
      <c r="I353" s="1258"/>
      <c r="J353" s="1258"/>
      <c r="K353" s="1258"/>
      <c r="L353" s="1258"/>
      <c r="M353" s="1258"/>
      <c r="N353" s="1258"/>
      <c r="O353" s="215"/>
      <c r="P353" s="215"/>
      <c r="Q353" s="215"/>
      <c r="R353" s="215"/>
      <c r="S353" s="215"/>
      <c r="T353" s="215"/>
      <c r="U353" s="215"/>
      <c r="V353" s="215"/>
      <c r="W353" s="80"/>
      <c r="X353" s="80"/>
      <c r="Y353" s="80"/>
      <c r="Z353" s="80"/>
      <c r="AA353" s="80"/>
      <c r="AB353" s="80"/>
      <c r="AC353" s="80"/>
      <c r="AD353" s="80"/>
      <c r="AE353" s="80"/>
      <c r="AF353" s="80"/>
    </row>
    <row r="354" spans="1:32">
      <c r="A354" s="1258"/>
      <c r="B354" s="1258"/>
      <c r="C354" s="1258"/>
      <c r="D354" s="1258"/>
      <c r="E354" s="1258"/>
      <c r="F354" s="1258"/>
      <c r="G354" s="1258"/>
      <c r="H354" s="1258"/>
      <c r="I354" s="1258"/>
      <c r="J354" s="1258"/>
      <c r="K354" s="1258"/>
      <c r="L354" s="1258"/>
      <c r="M354" s="1258"/>
      <c r="N354" s="1258"/>
      <c r="O354" s="215"/>
      <c r="P354" s="215"/>
      <c r="Q354" s="215"/>
      <c r="R354" s="215"/>
      <c r="S354" s="215"/>
      <c r="T354" s="215"/>
      <c r="U354" s="215"/>
      <c r="V354" s="215"/>
      <c r="W354" s="80"/>
      <c r="X354" s="80"/>
      <c r="Y354" s="80"/>
      <c r="Z354" s="80"/>
      <c r="AA354" s="80"/>
      <c r="AB354" s="80"/>
      <c r="AC354" s="80"/>
      <c r="AD354" s="80"/>
      <c r="AE354" s="80"/>
      <c r="AF354" s="80"/>
    </row>
    <row r="355" spans="1:32">
      <c r="A355" s="1259"/>
      <c r="B355" s="1259"/>
      <c r="C355" s="1259"/>
      <c r="D355" s="1259"/>
      <c r="E355" s="1259"/>
      <c r="F355" s="1259"/>
      <c r="G355" s="1259"/>
      <c r="H355" s="1259"/>
      <c r="I355" s="1259"/>
      <c r="J355" s="1259"/>
      <c r="K355" s="1259"/>
      <c r="L355" s="1259"/>
      <c r="M355" s="1259"/>
      <c r="N355" s="1259"/>
      <c r="O355" s="215"/>
      <c r="P355" s="215"/>
      <c r="Q355" s="215"/>
      <c r="R355" s="215"/>
      <c r="S355" s="215"/>
      <c r="T355" s="215"/>
      <c r="U355" s="215"/>
      <c r="V355" s="215"/>
      <c r="W355" s="80"/>
      <c r="X355" s="80"/>
      <c r="Y355" s="80"/>
      <c r="Z355" s="80"/>
      <c r="AA355" s="80"/>
      <c r="AB355" s="80"/>
      <c r="AC355" s="80"/>
      <c r="AD355" s="80"/>
      <c r="AE355" s="80"/>
      <c r="AF355" s="80"/>
    </row>
    <row r="356" spans="1:32">
      <c r="A356" s="1260"/>
      <c r="B356" s="1260"/>
      <c r="C356" s="1260"/>
      <c r="D356" s="1260"/>
      <c r="E356" s="1260"/>
      <c r="F356" s="1260"/>
      <c r="G356" s="1260"/>
      <c r="H356" s="1260"/>
      <c r="I356" s="1260"/>
      <c r="J356" s="1260"/>
      <c r="K356" s="1260"/>
      <c r="L356" s="1260"/>
      <c r="M356" s="1260"/>
      <c r="N356" s="1260"/>
      <c r="O356" s="215"/>
      <c r="P356" s="215"/>
      <c r="Q356" s="215"/>
      <c r="R356" s="215"/>
      <c r="S356" s="215"/>
      <c r="T356" s="215"/>
      <c r="U356" s="215"/>
      <c r="V356" s="215"/>
      <c r="W356" s="80"/>
      <c r="X356" s="80"/>
      <c r="Y356" s="80"/>
      <c r="Z356" s="80"/>
      <c r="AA356" s="80"/>
      <c r="AB356" s="80"/>
      <c r="AC356" s="80"/>
      <c r="AD356" s="80"/>
      <c r="AE356" s="80"/>
      <c r="AF356" s="80"/>
    </row>
    <row r="357" spans="1:32">
      <c r="A357" s="941"/>
      <c r="B357" s="941"/>
      <c r="C357" s="941"/>
      <c r="D357" s="941"/>
      <c r="E357" s="941"/>
      <c r="F357" s="98"/>
      <c r="G357" s="98"/>
      <c r="H357" s="98"/>
      <c r="I357" s="98"/>
      <c r="J357" s="98"/>
      <c r="K357" s="98"/>
      <c r="L357" s="98"/>
      <c r="M357" s="98"/>
      <c r="N357" s="98"/>
      <c r="O357" s="215"/>
      <c r="P357" s="215"/>
      <c r="Q357" s="215"/>
      <c r="R357" s="215"/>
      <c r="S357" s="215"/>
      <c r="T357" s="215"/>
      <c r="U357" s="215"/>
      <c r="V357" s="215"/>
      <c r="W357" s="80"/>
      <c r="X357" s="80"/>
      <c r="Y357" s="80"/>
      <c r="Z357" s="80"/>
      <c r="AA357" s="80"/>
      <c r="AB357" s="80"/>
      <c r="AC357" s="80"/>
      <c r="AD357" s="80"/>
      <c r="AE357" s="80"/>
      <c r="AF357" s="80"/>
    </row>
    <row r="358" spans="1:32">
      <c r="A358" s="1212" t="s">
        <v>394</v>
      </c>
      <c r="B358" s="1212"/>
      <c r="C358" s="1212"/>
      <c r="D358" s="1212"/>
      <c r="E358" s="1212"/>
      <c r="F358" s="113"/>
      <c r="G358" s="113"/>
      <c r="H358" s="113"/>
      <c r="I358" s="113"/>
      <c r="J358" s="113"/>
      <c r="K358" s="113"/>
      <c r="L358" s="113"/>
      <c r="M358" s="113"/>
      <c r="N358" s="113"/>
      <c r="O358" s="215"/>
      <c r="P358" s="215"/>
      <c r="Q358" s="215"/>
      <c r="R358" s="215"/>
      <c r="S358" s="215"/>
      <c r="T358" s="215"/>
      <c r="U358" s="215"/>
      <c r="V358" s="215"/>
      <c r="W358" s="80"/>
      <c r="X358" s="80"/>
      <c r="Y358" s="80"/>
      <c r="Z358" s="80"/>
      <c r="AA358" s="80"/>
      <c r="AB358" s="80"/>
      <c r="AC358" s="80"/>
      <c r="AD358" s="80"/>
      <c r="AE358" s="80"/>
      <c r="AF358" s="80"/>
    </row>
    <row r="359" spans="1:32">
      <c r="A359" s="86"/>
      <c r="B359" s="785" t="s">
        <v>52</v>
      </c>
      <c r="C359" s="86" t="s">
        <v>43</v>
      </c>
      <c r="D359" s="785" t="s">
        <v>67</v>
      </c>
      <c r="E359" s="86"/>
      <c r="F359" s="86"/>
      <c r="G359" s="86"/>
      <c r="H359" s="86"/>
      <c r="I359" s="86"/>
      <c r="J359" s="86"/>
      <c r="K359" s="86"/>
      <c r="L359" s="86"/>
      <c r="M359" s="86"/>
      <c r="N359" s="86"/>
      <c r="O359" s="215"/>
      <c r="P359" s="215"/>
      <c r="Q359" s="215"/>
      <c r="R359" s="215"/>
      <c r="S359" s="215"/>
      <c r="T359" s="215"/>
      <c r="U359" s="215"/>
      <c r="V359" s="215"/>
      <c r="W359" s="80"/>
      <c r="X359" s="80"/>
      <c r="Y359" s="80"/>
      <c r="Z359" s="80"/>
      <c r="AA359" s="80"/>
      <c r="AB359" s="80"/>
      <c r="AC359" s="80"/>
      <c r="AD359" s="80"/>
      <c r="AE359" s="80"/>
      <c r="AF359" s="80"/>
    </row>
    <row r="360" spans="1:32">
      <c r="A360" s="104" t="s">
        <v>55</v>
      </c>
      <c r="B360" s="121">
        <f t="shared" ref="B360:D362" si="16">B177</f>
        <v>60.475651189127973</v>
      </c>
      <c r="C360" s="104">
        <f t="shared" si="16"/>
        <v>1068</v>
      </c>
      <c r="D360" s="120">
        <f t="shared" si="16"/>
        <v>267</v>
      </c>
      <c r="E360" s="805"/>
      <c r="F360" s="805"/>
      <c r="G360" s="805"/>
      <c r="H360" s="805"/>
      <c r="I360" s="805"/>
      <c r="J360" s="805"/>
      <c r="K360" s="805"/>
      <c r="L360" s="805"/>
      <c r="M360" s="805"/>
      <c r="N360" s="805"/>
      <c r="O360" s="215"/>
      <c r="P360" s="215"/>
      <c r="Q360" s="215"/>
      <c r="R360" s="215"/>
      <c r="S360" s="215"/>
      <c r="T360" s="215"/>
      <c r="U360" s="215"/>
      <c r="V360" s="215"/>
      <c r="W360" s="80"/>
      <c r="X360" s="80"/>
      <c r="Y360" s="80"/>
      <c r="Z360" s="80"/>
      <c r="AA360" s="80"/>
      <c r="AB360" s="80"/>
      <c r="AC360" s="80"/>
      <c r="AD360" s="80"/>
      <c r="AE360" s="80"/>
      <c r="AF360" s="80"/>
    </row>
    <row r="361" spans="1:32" ht="15.75" customHeight="1">
      <c r="A361" s="93" t="s">
        <v>395</v>
      </c>
      <c r="B361" s="126">
        <f t="shared" si="16"/>
        <v>18.120045300113251</v>
      </c>
      <c r="C361" s="628">
        <f t="shared" si="16"/>
        <v>320</v>
      </c>
      <c r="D361" s="122">
        <f t="shared" si="16"/>
        <v>80</v>
      </c>
      <c r="E361" s="114" t="s">
        <v>68</v>
      </c>
      <c r="F361" s="133">
        <f>F178</f>
        <v>46</v>
      </c>
      <c r="G361" s="101" t="s">
        <v>69</v>
      </c>
      <c r="H361" s="133">
        <f>H178</f>
        <v>57.5</v>
      </c>
      <c r="I361" s="286" t="s">
        <v>444</v>
      </c>
      <c r="J361" s="115" t="s">
        <v>70</v>
      </c>
      <c r="K361" s="133">
        <f>K178</f>
        <v>34</v>
      </c>
      <c r="L361" s="101" t="s">
        <v>69</v>
      </c>
      <c r="M361" s="134">
        <f>M178</f>
        <v>42.5</v>
      </c>
      <c r="N361" s="287" t="s">
        <v>444</v>
      </c>
      <c r="O361" s="213"/>
      <c r="P361" s="215"/>
      <c r="Q361" s="215"/>
      <c r="R361" s="215"/>
      <c r="S361" s="215"/>
      <c r="T361" s="215"/>
      <c r="U361" s="215"/>
      <c r="V361" s="215"/>
      <c r="W361" s="80"/>
      <c r="X361" s="80"/>
      <c r="Y361" s="80"/>
      <c r="Z361" s="80"/>
      <c r="AA361" s="80"/>
      <c r="AB361" s="80"/>
      <c r="AC361" s="80"/>
      <c r="AD361" s="80"/>
      <c r="AE361" s="80"/>
      <c r="AF361" s="80"/>
    </row>
    <row r="362" spans="1:32" ht="15.75" thickBot="1">
      <c r="A362" s="127" t="s">
        <v>56</v>
      </c>
      <c r="B362" s="128">
        <f t="shared" si="16"/>
        <v>21.404303510758776</v>
      </c>
      <c r="C362" s="129">
        <f t="shared" si="16"/>
        <v>378</v>
      </c>
      <c r="D362" s="122">
        <f t="shared" si="16"/>
        <v>42</v>
      </c>
      <c r="E362" s="805"/>
      <c r="F362" s="805"/>
      <c r="G362" s="805"/>
      <c r="H362" s="805"/>
      <c r="I362" s="805"/>
      <c r="J362" s="805"/>
      <c r="K362" s="805"/>
      <c r="L362" s="805"/>
      <c r="M362" s="805"/>
      <c r="N362" s="805"/>
      <c r="O362" s="213"/>
      <c r="P362" s="215"/>
      <c r="Q362" s="215"/>
      <c r="R362" s="215"/>
      <c r="S362" s="215"/>
      <c r="T362" s="215"/>
      <c r="U362" s="215"/>
      <c r="V362" s="215"/>
      <c r="W362" s="80"/>
      <c r="X362" s="80"/>
      <c r="Y362" s="80"/>
      <c r="Z362" s="80"/>
      <c r="AA362" s="80"/>
      <c r="AB362" s="80"/>
      <c r="AC362" s="80"/>
      <c r="AD362" s="80"/>
      <c r="AE362" s="80"/>
      <c r="AF362" s="80"/>
    </row>
    <row r="363" spans="1:32" ht="15.75" thickBot="1">
      <c r="A363" s="130" t="s">
        <v>375</v>
      </c>
      <c r="B363" s="131">
        <f>SUM(B360:B362)</f>
        <v>100</v>
      </c>
      <c r="C363" s="132">
        <f>SUM(C360:C362)</f>
        <v>1766</v>
      </c>
      <c r="D363" s="86"/>
      <c r="E363" s="805"/>
      <c r="F363" s="1206" t="str">
        <f>A181</f>
        <v>GRAMOS PROT/KG P.I</v>
      </c>
      <c r="G363" s="1206"/>
      <c r="H363" s="1206"/>
      <c r="I363" s="1206"/>
      <c r="J363" s="168">
        <f>D181</f>
        <v>2.359882005899705</v>
      </c>
      <c r="K363" s="805" t="s">
        <v>69</v>
      </c>
      <c r="L363" s="805"/>
      <c r="M363" s="805"/>
      <c r="N363" s="805"/>
      <c r="O363" s="213"/>
      <c r="P363" s="213"/>
      <c r="Q363" s="213"/>
      <c r="R363" s="213"/>
      <c r="S363" s="215"/>
      <c r="T363" s="215"/>
      <c r="U363" s="215"/>
      <c r="V363" s="215"/>
      <c r="W363" s="80"/>
      <c r="X363" s="80"/>
      <c r="Y363" s="80"/>
      <c r="Z363" s="80"/>
      <c r="AA363" s="80"/>
      <c r="AB363" s="80"/>
      <c r="AC363" s="80"/>
      <c r="AD363" s="80"/>
      <c r="AE363" s="80"/>
      <c r="AF363" s="80"/>
    </row>
    <row r="364" spans="1:32">
      <c r="A364" s="86"/>
      <c r="B364" s="86"/>
      <c r="C364" s="86"/>
      <c r="D364" s="86"/>
      <c r="E364" s="805"/>
      <c r="F364" s="805"/>
      <c r="G364" s="805"/>
      <c r="H364" s="805"/>
      <c r="I364" s="805"/>
      <c r="J364" s="805"/>
      <c r="K364" s="805"/>
      <c r="L364" s="805"/>
      <c r="M364" s="805"/>
      <c r="N364" s="805"/>
      <c r="O364" s="213"/>
      <c r="P364" s="214"/>
      <c r="Q364" s="214"/>
      <c r="R364" s="214"/>
      <c r="S364" s="215"/>
      <c r="T364" s="215"/>
      <c r="U364" s="215"/>
      <c r="V364" s="215"/>
      <c r="W364" s="80"/>
      <c r="X364" s="80"/>
      <c r="Y364" s="80"/>
      <c r="Z364" s="80"/>
      <c r="AA364" s="80"/>
      <c r="AB364" s="80"/>
      <c r="AC364" s="80"/>
      <c r="AD364" s="80"/>
      <c r="AE364" s="80"/>
      <c r="AF364" s="80"/>
    </row>
    <row r="365" spans="1:32">
      <c r="A365" s="86"/>
      <c r="B365" s="86"/>
      <c r="C365" s="86"/>
      <c r="D365" s="86"/>
      <c r="E365" s="86"/>
      <c r="F365" s="86"/>
      <c r="G365" s="86"/>
      <c r="H365" s="86"/>
      <c r="I365" s="86"/>
      <c r="J365" s="86"/>
      <c r="K365" s="86"/>
      <c r="L365" s="86"/>
      <c r="M365" s="86"/>
      <c r="N365" s="86"/>
      <c r="O365" s="278"/>
      <c r="P365" s="213"/>
      <c r="Q365" s="215"/>
      <c r="R365" s="215"/>
      <c r="S365" s="215"/>
      <c r="T365" s="215"/>
      <c r="U365" s="215"/>
      <c r="V365" s="215"/>
      <c r="W365" s="80"/>
      <c r="X365" s="80"/>
      <c r="Y365" s="80"/>
      <c r="Z365" s="80"/>
      <c r="AA365" s="80"/>
      <c r="AB365" s="80"/>
      <c r="AC365" s="80"/>
      <c r="AD365" s="80"/>
      <c r="AE365" s="80"/>
      <c r="AF365" s="80"/>
    </row>
    <row r="366" spans="1:32" ht="15" customHeight="1">
      <c r="A366" s="1045"/>
      <c r="B366" s="1045"/>
      <c r="C366" s="86"/>
      <c r="D366" s="86"/>
      <c r="E366" s="86"/>
      <c r="F366" s="86"/>
      <c r="G366" s="86"/>
      <c r="H366" s="86"/>
      <c r="I366" s="86"/>
      <c r="J366" s="86"/>
      <c r="K366" s="86"/>
      <c r="L366" s="86"/>
      <c r="M366" s="86"/>
      <c r="N366" s="86"/>
      <c r="O366" s="279"/>
      <c r="P366" s="213"/>
      <c r="Q366" s="215"/>
      <c r="R366" s="215"/>
      <c r="S366" s="215"/>
      <c r="T366" s="215"/>
      <c r="U366" s="215"/>
      <c r="V366" s="215"/>
      <c r="W366" s="80"/>
      <c r="X366" s="80"/>
      <c r="Y366" s="80"/>
      <c r="Z366" s="80"/>
      <c r="AA366" s="80"/>
      <c r="AB366" s="80"/>
      <c r="AC366" s="80"/>
      <c r="AD366" s="80"/>
      <c r="AE366" s="80"/>
      <c r="AF366" s="80"/>
    </row>
    <row r="367" spans="1:32">
      <c r="A367" s="86"/>
      <c r="B367" s="86"/>
      <c r="C367" s="86"/>
      <c r="D367" s="86"/>
      <c r="E367" s="86"/>
      <c r="F367" s="86"/>
      <c r="G367" s="86"/>
      <c r="H367" s="86"/>
      <c r="I367" s="86"/>
      <c r="J367" s="86"/>
      <c r="K367" s="86"/>
      <c r="L367" s="86"/>
      <c r="M367" s="86"/>
      <c r="N367" s="86"/>
      <c r="O367" s="215"/>
      <c r="P367" s="215"/>
      <c r="Q367" s="215"/>
      <c r="R367" s="215"/>
      <c r="S367" s="215"/>
      <c r="T367" s="215"/>
      <c r="U367" s="215"/>
      <c r="V367" s="215"/>
      <c r="W367" s="80"/>
      <c r="X367" s="80"/>
      <c r="Y367" s="80"/>
      <c r="Z367" s="80"/>
      <c r="AA367" s="80"/>
      <c r="AB367" s="80"/>
      <c r="AC367" s="80"/>
      <c r="AD367" s="80"/>
      <c r="AE367" s="80"/>
      <c r="AF367" s="80"/>
    </row>
    <row r="368" spans="1:32">
      <c r="A368" s="1047" t="s">
        <v>404</v>
      </c>
      <c r="B368" s="1047"/>
      <c r="C368" s="1047"/>
      <c r="D368" s="1047"/>
      <c r="E368" s="1047"/>
      <c r="F368" s="88" t="str">
        <f>C43</f>
        <v>NTTA DTTA VICTOR HUGO HERNANDEZ MARTINEZ</v>
      </c>
      <c r="G368" s="110"/>
      <c r="H368" s="110"/>
      <c r="I368" s="110"/>
      <c r="J368" s="110"/>
      <c r="K368" s="110"/>
      <c r="L368" s="110"/>
      <c r="M368" s="110"/>
      <c r="N368" s="110"/>
      <c r="O368" s="215"/>
      <c r="P368" s="215"/>
      <c r="Q368" s="215"/>
      <c r="R368" s="215"/>
      <c r="S368" s="215"/>
      <c r="T368" s="215"/>
      <c r="U368" s="215"/>
      <c r="V368" s="215"/>
      <c r="W368" s="80"/>
      <c r="X368" s="80"/>
      <c r="Y368" s="80"/>
      <c r="Z368" s="80"/>
      <c r="AA368" s="80"/>
      <c r="AB368" s="80"/>
      <c r="AC368" s="80"/>
      <c r="AD368" s="80"/>
      <c r="AE368" s="80"/>
      <c r="AF368" s="80"/>
    </row>
    <row r="369" spans="1:50">
      <c r="A369" s="1030"/>
      <c r="B369" s="1030"/>
      <c r="C369" s="86"/>
      <c r="D369" s="86"/>
      <c r="E369" s="86"/>
      <c r="F369" s="86"/>
      <c r="G369" s="86"/>
      <c r="H369" s="86"/>
      <c r="I369" s="86"/>
      <c r="J369" s="86"/>
      <c r="K369" s="86"/>
      <c r="L369" s="86"/>
      <c r="M369" s="86"/>
      <c r="N369" s="86"/>
      <c r="O369" s="215"/>
      <c r="P369" s="215"/>
      <c r="Q369" s="215"/>
      <c r="R369" s="215"/>
      <c r="S369" s="215"/>
      <c r="T369" s="215"/>
      <c r="U369" s="215"/>
      <c r="V369" s="215"/>
      <c r="W369" s="80"/>
      <c r="X369" s="80"/>
      <c r="Y369" s="80"/>
      <c r="Z369" s="80"/>
      <c r="AA369" s="80"/>
      <c r="AB369" s="80"/>
      <c r="AC369" s="80"/>
      <c r="AD369" s="80"/>
      <c r="AE369" s="80"/>
      <c r="AF369" s="80"/>
    </row>
    <row r="370" spans="1:50">
      <c r="A370" s="785"/>
      <c r="B370" s="785"/>
      <c r="C370" s="86"/>
      <c r="D370" s="86"/>
      <c r="E370" s="86"/>
      <c r="F370" s="86"/>
      <c r="G370" s="86"/>
      <c r="H370" s="86"/>
      <c r="I370" s="86"/>
      <c r="J370" s="86"/>
      <c r="K370" s="86"/>
      <c r="L370" s="86"/>
      <c r="M370" s="86"/>
      <c r="N370" s="86"/>
      <c r="O370" s="215"/>
      <c r="P370" s="215"/>
      <c r="Q370" s="215"/>
      <c r="R370" s="215"/>
      <c r="S370" s="215"/>
      <c r="T370" s="215"/>
      <c r="U370" s="215"/>
      <c r="V370" s="215"/>
      <c r="W370" s="80"/>
      <c r="X370" s="80"/>
      <c r="Y370" s="80"/>
      <c r="Z370" s="80"/>
      <c r="AA370" s="80"/>
      <c r="AB370" s="80"/>
      <c r="AC370" s="80"/>
      <c r="AD370" s="80"/>
      <c r="AE370" s="80"/>
      <c r="AF370" s="80"/>
    </row>
    <row r="371" spans="1:50">
      <c r="A371" s="1047" t="s">
        <v>71</v>
      </c>
      <c r="B371" s="1047"/>
      <c r="C371" s="1047"/>
      <c r="D371" s="1047"/>
      <c r="E371" s="1047"/>
      <c r="F371" s="1047"/>
      <c r="G371" s="1047"/>
      <c r="H371" s="1047"/>
      <c r="I371" s="1047"/>
      <c r="J371" s="1047"/>
      <c r="K371" s="1047"/>
      <c r="L371" s="1047"/>
      <c r="M371" s="1047"/>
      <c r="N371" s="1047"/>
      <c r="O371" s="280"/>
      <c r="P371" s="280"/>
      <c r="Q371" s="280"/>
      <c r="R371" s="280"/>
      <c r="S371" s="280"/>
      <c r="T371" s="280"/>
      <c r="U371" s="280"/>
      <c r="V371" s="280"/>
      <c r="W371" s="814"/>
      <c r="X371" s="814"/>
      <c r="Y371" s="814"/>
      <c r="Z371" s="814"/>
      <c r="AA371" s="814"/>
      <c r="AB371" s="814"/>
      <c r="AC371" s="814"/>
      <c r="AD371" s="814"/>
      <c r="AE371" s="814"/>
      <c r="AF371" s="814"/>
      <c r="AG371" s="814"/>
      <c r="AH371" s="814"/>
      <c r="AI371" s="814"/>
      <c r="AJ371" s="814"/>
      <c r="AK371" s="814"/>
      <c r="AL371" s="814"/>
      <c r="AM371" s="814"/>
      <c r="AN371" s="814"/>
      <c r="AO371" s="814"/>
      <c r="AP371" s="814"/>
      <c r="AQ371" s="814"/>
      <c r="AR371" s="814"/>
      <c r="AS371" s="814"/>
      <c r="AT371" s="814"/>
      <c r="AU371" s="814"/>
      <c r="AV371" s="814"/>
      <c r="AW371" s="814"/>
      <c r="AX371" s="814"/>
    </row>
    <row r="372" spans="1:50">
      <c r="A372" s="1047" t="s">
        <v>0</v>
      </c>
      <c r="B372" s="1047"/>
      <c r="C372" s="1047"/>
      <c r="D372" s="1047"/>
      <c r="E372" s="1047"/>
      <c r="F372" s="1047"/>
      <c r="G372" s="1047"/>
      <c r="H372" s="1047"/>
      <c r="I372" s="1047"/>
      <c r="J372" s="1047"/>
      <c r="K372" s="1047"/>
      <c r="L372" s="1047"/>
      <c r="M372" s="1047"/>
      <c r="N372" s="1047"/>
      <c r="O372" s="280"/>
      <c r="P372" s="280"/>
      <c r="Q372" s="280"/>
      <c r="R372" s="280"/>
      <c r="S372" s="280"/>
      <c r="T372" s="280"/>
      <c r="U372" s="280"/>
      <c r="V372" s="280"/>
      <c r="W372" s="814"/>
      <c r="X372" s="814"/>
      <c r="Y372" s="814"/>
      <c r="Z372" s="814"/>
      <c r="AA372" s="814"/>
      <c r="AB372" s="814"/>
      <c r="AC372" s="814"/>
      <c r="AD372" s="814"/>
      <c r="AE372" s="814"/>
      <c r="AF372" s="814"/>
      <c r="AG372" s="814"/>
      <c r="AH372" s="814"/>
      <c r="AI372" s="814"/>
      <c r="AJ372" s="814"/>
      <c r="AK372" s="814"/>
      <c r="AL372" s="814"/>
      <c r="AM372" s="814"/>
      <c r="AN372" s="814"/>
      <c r="AO372" s="814"/>
      <c r="AP372" s="814"/>
      <c r="AQ372" s="814"/>
      <c r="AR372" s="814"/>
      <c r="AS372" s="814"/>
      <c r="AT372" s="814"/>
      <c r="AU372" s="814"/>
      <c r="AV372" s="814"/>
      <c r="AW372" s="814"/>
      <c r="AX372" s="814"/>
    </row>
    <row r="373" spans="1:50">
      <c r="A373" s="1047" t="s">
        <v>1</v>
      </c>
      <c r="B373" s="1047"/>
      <c r="C373" s="1047"/>
      <c r="D373" s="1047"/>
      <c r="E373" s="1047"/>
      <c r="F373" s="1047"/>
      <c r="G373" s="1047"/>
      <c r="H373" s="1047"/>
      <c r="I373" s="1047"/>
      <c r="J373" s="1047"/>
      <c r="K373" s="1047"/>
      <c r="L373" s="1047"/>
      <c r="M373" s="1047"/>
      <c r="N373" s="1047"/>
      <c r="O373" s="280"/>
      <c r="P373" s="280"/>
      <c r="Q373" s="280"/>
      <c r="R373" s="280"/>
      <c r="S373" s="280"/>
      <c r="T373" s="280"/>
      <c r="U373" s="280"/>
      <c r="V373" s="280"/>
      <c r="W373" s="814"/>
      <c r="X373" s="814"/>
      <c r="Y373" s="814"/>
      <c r="Z373" s="814"/>
      <c r="AA373" s="814"/>
      <c r="AB373" s="814"/>
      <c r="AC373" s="814"/>
      <c r="AD373" s="814"/>
      <c r="AE373" s="814"/>
      <c r="AF373" s="814"/>
      <c r="AG373" s="814"/>
      <c r="AH373" s="814"/>
      <c r="AI373" s="814"/>
      <c r="AJ373" s="814"/>
      <c r="AK373" s="814"/>
      <c r="AL373" s="814"/>
      <c r="AM373" s="814"/>
      <c r="AN373" s="814"/>
      <c r="AO373" s="814"/>
      <c r="AP373" s="814"/>
      <c r="AQ373" s="814"/>
      <c r="AR373" s="814"/>
      <c r="AS373" s="814"/>
      <c r="AT373" s="814"/>
      <c r="AU373" s="814"/>
      <c r="AV373" s="814"/>
      <c r="AW373" s="814"/>
      <c r="AX373" s="814"/>
    </row>
    <row r="374" spans="1:50">
      <c r="A374" s="86" t="s">
        <v>2</v>
      </c>
      <c r="B374" s="1209" t="str">
        <f>B4</f>
        <v>CUAHUIZO ACA SANTOS JHOVANY</v>
      </c>
      <c r="C374" s="1209"/>
      <c r="D374" s="1209"/>
      <c r="E374" s="1209"/>
      <c r="F374" s="1209"/>
      <c r="G374" s="1209"/>
      <c r="H374" s="1209"/>
      <c r="I374" s="1209"/>
      <c r="J374" s="221"/>
      <c r="K374" s="221" t="s">
        <v>291</v>
      </c>
      <c r="L374" s="1210" t="str">
        <f>M4</f>
        <v>6290 67 6404</v>
      </c>
      <c r="M374" s="1210"/>
      <c r="N374" s="1210"/>
      <c r="O374" s="280"/>
      <c r="P374" s="280"/>
      <c r="Q374" s="280"/>
      <c r="R374" s="280"/>
      <c r="S374" s="280"/>
      <c r="T374" s="280"/>
      <c r="U374" s="280"/>
      <c r="V374" s="280"/>
      <c r="W374" s="814"/>
      <c r="X374" s="814"/>
      <c r="Y374" s="814"/>
      <c r="Z374" s="814"/>
      <c r="AA374" s="814"/>
      <c r="AB374" s="814"/>
      <c r="AC374" s="814"/>
      <c r="AD374" s="814"/>
      <c r="AE374" s="814"/>
      <c r="AF374" s="814"/>
      <c r="AG374" s="814"/>
      <c r="AH374" s="814"/>
      <c r="AI374" s="814"/>
      <c r="AJ374" s="814"/>
      <c r="AK374" s="814"/>
      <c r="AL374" s="814"/>
      <c r="AM374" s="814"/>
      <c r="AN374" s="814"/>
      <c r="AO374" s="814"/>
      <c r="AP374" s="814"/>
      <c r="AQ374" s="814"/>
      <c r="AR374" s="814"/>
      <c r="AS374" s="814"/>
      <c r="AT374" s="814"/>
      <c r="AU374" s="814"/>
      <c r="AV374" s="814"/>
      <c r="AW374" s="814"/>
      <c r="AX374" s="814"/>
    </row>
    <row r="375" spans="1:50" ht="15" customHeight="1">
      <c r="A375" s="93"/>
      <c r="B375" s="93"/>
      <c r="C375" s="93"/>
      <c r="D375" s="93"/>
      <c r="E375" s="93"/>
      <c r="F375" s="268"/>
      <c r="G375" s="268"/>
      <c r="H375" s="268"/>
      <c r="I375" s="268"/>
      <c r="J375" s="268"/>
      <c r="K375" s="221"/>
      <c r="L375" s="221"/>
      <c r="M375" s="221"/>
      <c r="N375" s="221"/>
      <c r="O375" s="280"/>
      <c r="P375" s="280"/>
      <c r="Q375" s="280"/>
      <c r="R375" s="280"/>
      <c r="S375" s="280"/>
      <c r="T375" s="280"/>
      <c r="U375" s="280"/>
      <c r="V375" s="280"/>
      <c r="W375" s="814"/>
      <c r="X375" s="814"/>
      <c r="Y375" s="814"/>
      <c r="Z375" s="814"/>
      <c r="AA375" s="814"/>
      <c r="AB375" s="814"/>
      <c r="AC375" s="814"/>
      <c r="AD375" s="814"/>
      <c r="AE375" s="814"/>
      <c r="AF375" s="814"/>
      <c r="AG375" s="814"/>
      <c r="AH375" s="814"/>
      <c r="AI375" s="814"/>
      <c r="AJ375" s="814"/>
      <c r="AK375" s="814"/>
      <c r="AL375" s="814"/>
      <c r="AM375" s="814"/>
      <c r="AN375" s="814"/>
      <c r="AO375" s="814"/>
      <c r="AP375" s="814"/>
      <c r="AQ375" s="814"/>
      <c r="AR375" s="814"/>
      <c r="AS375" s="814"/>
      <c r="AT375" s="814"/>
      <c r="AU375" s="814"/>
      <c r="AV375" s="814"/>
      <c r="AW375" s="814"/>
      <c r="AX375" s="814"/>
    </row>
    <row r="376" spans="1:50">
      <c r="A376" s="238" t="s">
        <v>4</v>
      </c>
      <c r="B376" s="267">
        <v>7.916666666666667</v>
      </c>
      <c r="C376" s="264"/>
      <c r="D376" s="264"/>
      <c r="E376" s="264"/>
      <c r="F376" s="264"/>
      <c r="G376" s="264"/>
      <c r="H376" s="238"/>
      <c r="I376" s="238"/>
      <c r="J376" s="238"/>
      <c r="K376" s="814"/>
      <c r="L376" s="814"/>
      <c r="M376" s="814"/>
      <c r="N376" s="814"/>
      <c r="O376" s="280"/>
      <c r="P376" s="280"/>
      <c r="Q376" s="280"/>
      <c r="R376" s="280"/>
      <c r="S376" s="280"/>
      <c r="T376" s="280"/>
      <c r="U376" s="280"/>
      <c r="V376" s="280"/>
      <c r="W376" s="814"/>
      <c r="X376" s="814"/>
      <c r="Y376" s="814"/>
      <c r="Z376" s="814"/>
      <c r="AA376" s="814"/>
      <c r="AB376" s="814"/>
      <c r="AC376" s="814"/>
      <c r="AD376" s="814"/>
      <c r="AE376" s="814"/>
      <c r="AF376" s="814"/>
      <c r="AG376" s="814"/>
      <c r="AH376" s="814"/>
      <c r="AI376" s="814"/>
      <c r="AJ376" s="814"/>
      <c r="AK376" s="814"/>
      <c r="AL376" s="814"/>
      <c r="AM376" s="814"/>
      <c r="AN376" s="814"/>
      <c r="AO376" s="814"/>
      <c r="AP376" s="814"/>
      <c r="AQ376" s="814"/>
      <c r="AR376" s="814"/>
      <c r="AS376" s="814"/>
      <c r="AT376" s="814"/>
      <c r="AU376" s="814"/>
      <c r="AV376" s="814"/>
      <c r="AW376" s="814"/>
      <c r="AX376" s="814"/>
    </row>
    <row r="377" spans="1:50">
      <c r="A377" s="238" t="s">
        <v>430</v>
      </c>
      <c r="B377" s="264">
        <f>D12</f>
        <v>52</v>
      </c>
      <c r="C377" s="264">
        <v>17.7</v>
      </c>
      <c r="D377" s="264"/>
      <c r="E377" s="264"/>
      <c r="F377" s="264"/>
      <c r="G377" s="264"/>
      <c r="H377" s="238"/>
      <c r="I377" s="238"/>
      <c r="J377" s="238"/>
      <c r="K377" s="814"/>
      <c r="L377" s="814"/>
      <c r="M377" s="814"/>
      <c r="N377" s="814"/>
      <c r="O377" s="281"/>
      <c r="P377" s="215"/>
      <c r="Q377" s="215"/>
      <c r="R377" s="215"/>
      <c r="S377" s="215"/>
      <c r="T377" s="215"/>
      <c r="U377" s="215"/>
      <c r="V377" s="215"/>
      <c r="W377" s="80"/>
      <c r="X377" s="80"/>
      <c r="Y377" s="80"/>
      <c r="Z377" s="80"/>
      <c r="AA377" s="80"/>
      <c r="AB377" s="80"/>
      <c r="AC377" s="80"/>
      <c r="AD377" s="80"/>
      <c r="AE377" s="80"/>
      <c r="AF377" s="80"/>
    </row>
    <row r="378" spans="1:50">
      <c r="A378" s="238" t="s">
        <v>431</v>
      </c>
      <c r="B378" s="264">
        <f>D13</f>
        <v>144</v>
      </c>
      <c r="C378" s="264">
        <v>117</v>
      </c>
      <c r="D378" s="264"/>
      <c r="E378" s="264"/>
      <c r="F378" s="264"/>
      <c r="G378" s="264"/>
      <c r="H378" s="238"/>
      <c r="I378" s="238"/>
      <c r="J378" s="238"/>
      <c r="K378" s="814"/>
      <c r="L378" s="814"/>
      <c r="M378" s="814"/>
      <c r="N378" s="814"/>
      <c r="O378" s="281"/>
      <c r="P378" s="215"/>
      <c r="Q378" s="215"/>
      <c r="R378" s="215"/>
      <c r="S378" s="215"/>
      <c r="T378" s="215"/>
      <c r="U378" s="215"/>
      <c r="V378" s="215"/>
      <c r="W378" s="80"/>
      <c r="X378" s="80"/>
      <c r="Y378" s="80"/>
      <c r="Z378" s="80"/>
      <c r="AA378" s="80"/>
      <c r="AB378" s="80"/>
      <c r="AC378" s="80"/>
      <c r="AD378" s="80"/>
      <c r="AE378" s="80"/>
      <c r="AF378" s="80"/>
    </row>
    <row r="379" spans="1:50">
      <c r="A379" s="238" t="s">
        <v>13</v>
      </c>
      <c r="B379" s="265">
        <f>B377/(B378*B378)</f>
        <v>2.5077160493827159E-3</v>
      </c>
      <c r="C379" s="265">
        <f>C377/(C378*C378)*(10000)</f>
        <v>12.930089853166777</v>
      </c>
      <c r="D379" s="266" t="e">
        <f>D377/(D378*D378)*(10000)</f>
        <v>#DIV/0!</v>
      </c>
      <c r="E379" s="266" t="e">
        <f>E377/(E378*E378)*(10000)</f>
        <v>#DIV/0!</v>
      </c>
      <c r="F379" s="266" t="e">
        <f>F377/(F378*F378)*(10000)</f>
        <v>#DIV/0!</v>
      </c>
      <c r="G379" s="266" t="e">
        <f>G377/(G378*G378)*(10000)</f>
        <v>#DIV/0!</v>
      </c>
      <c r="H379" s="238"/>
      <c r="I379" s="238"/>
      <c r="J379" s="238"/>
      <c r="K379" s="814"/>
      <c r="L379" s="814"/>
      <c r="M379" s="814"/>
      <c r="N379" s="814"/>
      <c r="O379" s="281"/>
      <c r="P379" s="215"/>
      <c r="Q379" s="215"/>
      <c r="R379" s="215"/>
      <c r="S379" s="215"/>
      <c r="T379" s="215"/>
      <c r="U379" s="215"/>
      <c r="V379" s="215"/>
      <c r="W379" s="80"/>
      <c r="X379" s="80"/>
      <c r="Y379" s="80"/>
      <c r="Z379" s="80"/>
      <c r="AA379" s="80"/>
      <c r="AB379" s="80"/>
      <c r="AC379" s="80"/>
      <c r="AD379" s="80"/>
      <c r="AE379" s="80"/>
      <c r="AF379" s="80"/>
    </row>
    <row r="380" spans="1:50">
      <c r="A380" s="86"/>
      <c r="B380" s="86"/>
      <c r="C380" s="86"/>
      <c r="D380" s="86"/>
      <c r="E380" s="86"/>
      <c r="F380" s="86"/>
      <c r="G380" s="86"/>
      <c r="H380" s="86"/>
      <c r="I380" s="86"/>
      <c r="J380" s="86"/>
      <c r="K380" s="86"/>
      <c r="L380" s="86"/>
      <c r="M380" s="86"/>
      <c r="N380" s="86"/>
      <c r="O380" s="281"/>
      <c r="P380" s="215"/>
      <c r="Q380" s="215"/>
      <c r="R380" s="215"/>
      <c r="S380" s="215"/>
      <c r="T380" s="215"/>
      <c r="U380" s="215"/>
      <c r="V380" s="215"/>
      <c r="W380" s="80"/>
      <c r="X380" s="80"/>
      <c r="Y380" s="80"/>
      <c r="Z380" s="80"/>
      <c r="AA380" s="80"/>
      <c r="AB380" s="80"/>
      <c r="AC380" s="80"/>
      <c r="AD380" s="80"/>
      <c r="AE380" s="80"/>
      <c r="AF380" s="80"/>
    </row>
    <row r="381" spans="1:50">
      <c r="A381" s="86"/>
      <c r="B381" s="86"/>
      <c r="C381" s="86"/>
      <c r="D381" s="86"/>
      <c r="E381" s="86"/>
      <c r="F381" s="86"/>
      <c r="G381" s="86"/>
      <c r="H381" s="86"/>
      <c r="I381" s="86"/>
      <c r="J381" s="86"/>
      <c r="K381" s="86"/>
      <c r="L381" s="86"/>
      <c r="M381" s="86"/>
      <c r="N381" s="86"/>
      <c r="O381" s="281"/>
      <c r="P381" s="215"/>
      <c r="Q381" s="215"/>
      <c r="R381" s="215"/>
      <c r="S381" s="215"/>
      <c r="T381" s="215"/>
      <c r="U381" s="215"/>
      <c r="V381" s="215"/>
      <c r="W381" s="80"/>
      <c r="X381" s="80"/>
      <c r="Y381" s="80"/>
      <c r="Z381" s="80"/>
      <c r="AA381" s="80"/>
      <c r="AB381" s="80"/>
      <c r="AC381" s="80"/>
      <c r="AD381" s="80"/>
      <c r="AE381" s="80"/>
      <c r="AF381" s="80"/>
    </row>
    <row r="382" spans="1:50">
      <c r="A382" s="86"/>
      <c r="B382" s="86"/>
      <c r="C382" s="86"/>
      <c r="D382" s="86"/>
      <c r="E382" s="86"/>
      <c r="F382" s="86"/>
      <c r="G382" s="86"/>
      <c r="H382" s="86"/>
      <c r="I382" s="86"/>
      <c r="J382" s="86"/>
      <c r="K382" s="86"/>
      <c r="L382" s="86"/>
      <c r="M382" s="86"/>
      <c r="N382" s="86"/>
      <c r="O382" s="281"/>
      <c r="P382" s="215"/>
      <c r="Q382" s="215"/>
      <c r="R382" s="215"/>
      <c r="S382" s="215"/>
      <c r="T382" s="215"/>
      <c r="U382" s="215"/>
      <c r="V382" s="215"/>
      <c r="W382" s="80"/>
      <c r="X382" s="80"/>
      <c r="Y382" s="80"/>
      <c r="Z382" s="80"/>
      <c r="AA382" s="80"/>
      <c r="AB382" s="80"/>
      <c r="AC382" s="80"/>
      <c r="AD382" s="80"/>
      <c r="AE382" s="80"/>
      <c r="AF382" s="80"/>
    </row>
    <row r="383" spans="1:50">
      <c r="A383" s="86"/>
      <c r="B383" s="86"/>
      <c r="C383" s="86"/>
      <c r="D383" s="86"/>
      <c r="E383" s="86"/>
      <c r="F383" s="86"/>
      <c r="G383" s="86"/>
      <c r="H383" s="86"/>
      <c r="I383" s="86"/>
      <c r="J383" s="86"/>
      <c r="K383" s="86"/>
      <c r="L383" s="86"/>
      <c r="M383" s="86"/>
      <c r="N383" s="86"/>
      <c r="O383" s="281"/>
      <c r="P383" s="215"/>
      <c r="Q383" s="215"/>
      <c r="R383" s="215"/>
      <c r="S383" s="215"/>
      <c r="T383" s="215"/>
      <c r="U383" s="215"/>
      <c r="V383" s="215"/>
      <c r="W383" s="80"/>
      <c r="X383" s="80"/>
      <c r="Y383" s="80"/>
      <c r="Z383" s="80"/>
      <c r="AA383" s="80"/>
      <c r="AB383" s="80"/>
      <c r="AC383" s="80"/>
      <c r="AD383" s="80"/>
      <c r="AE383" s="80"/>
      <c r="AF383" s="80"/>
    </row>
    <row r="384" spans="1:50">
      <c r="A384" s="86"/>
      <c r="B384" s="86"/>
      <c r="C384" s="86"/>
      <c r="D384" s="86"/>
      <c r="E384" s="86"/>
      <c r="F384" s="86"/>
      <c r="G384" s="86"/>
      <c r="H384" s="86"/>
      <c r="I384" s="86"/>
      <c r="J384" s="86"/>
      <c r="K384" s="86"/>
      <c r="L384" s="86"/>
      <c r="M384" s="86"/>
      <c r="N384" s="86"/>
      <c r="O384" s="281"/>
      <c r="P384" s="215"/>
      <c r="Q384" s="215"/>
      <c r="R384" s="215"/>
      <c r="S384" s="215"/>
      <c r="T384" s="215"/>
      <c r="U384" s="215"/>
      <c r="V384" s="215"/>
      <c r="W384" s="80"/>
      <c r="X384" s="80"/>
      <c r="Y384" s="80"/>
      <c r="Z384" s="80"/>
      <c r="AA384" s="80"/>
      <c r="AB384" s="80"/>
      <c r="AC384" s="80"/>
      <c r="AD384" s="80"/>
      <c r="AE384" s="80"/>
      <c r="AF384" s="80"/>
    </row>
    <row r="385" spans="1:32">
      <c r="A385" s="86"/>
      <c r="B385" s="86"/>
      <c r="C385" s="86"/>
      <c r="D385" s="86"/>
      <c r="E385" s="86"/>
      <c r="F385" s="86"/>
      <c r="G385" s="86"/>
      <c r="H385" s="86"/>
      <c r="I385" s="86"/>
      <c r="J385" s="86"/>
      <c r="K385" s="86"/>
      <c r="L385" s="86"/>
      <c r="M385" s="86"/>
      <c r="N385" s="86"/>
      <c r="O385" s="281"/>
      <c r="P385" s="215"/>
      <c r="Q385" s="215"/>
      <c r="R385" s="215"/>
      <c r="S385" s="215"/>
      <c r="T385" s="215"/>
      <c r="U385" s="215"/>
      <c r="V385" s="215"/>
      <c r="W385" s="80"/>
      <c r="X385" s="80"/>
      <c r="Y385" s="80"/>
      <c r="Z385" s="80"/>
      <c r="AA385" s="80"/>
      <c r="AB385" s="80"/>
      <c r="AC385" s="80"/>
      <c r="AD385" s="80"/>
      <c r="AE385" s="80"/>
      <c r="AF385" s="80"/>
    </row>
    <row r="386" spans="1:32">
      <c r="A386" s="86"/>
      <c r="B386" s="86"/>
      <c r="C386" s="86"/>
      <c r="D386" s="86"/>
      <c r="E386" s="86"/>
      <c r="F386" s="86"/>
      <c r="G386" s="86"/>
      <c r="H386" s="86"/>
      <c r="I386" s="86"/>
      <c r="J386" s="86"/>
      <c r="K386" s="86"/>
      <c r="L386" s="86"/>
      <c r="M386" s="86"/>
      <c r="N386" s="86"/>
      <c r="O386" s="282"/>
      <c r="P386" s="215"/>
      <c r="Q386" s="215"/>
      <c r="R386" s="215"/>
      <c r="S386" s="215"/>
      <c r="T386" s="215"/>
      <c r="U386" s="215"/>
      <c r="V386" s="215"/>
      <c r="W386" s="80"/>
      <c r="X386" s="80"/>
      <c r="Y386" s="80"/>
      <c r="Z386" s="80"/>
      <c r="AA386" s="80"/>
      <c r="AB386" s="80"/>
      <c r="AC386" s="80"/>
      <c r="AD386" s="80"/>
      <c r="AE386" s="80"/>
      <c r="AF386" s="80"/>
    </row>
    <row r="387" spans="1:32">
      <c r="A387" s="86"/>
      <c r="B387" s="86"/>
      <c r="C387" s="86"/>
      <c r="D387" s="86"/>
      <c r="E387" s="86"/>
      <c r="F387" s="86"/>
      <c r="G387" s="86"/>
      <c r="H387" s="86"/>
      <c r="I387" s="86"/>
      <c r="J387" s="86"/>
      <c r="K387" s="86"/>
      <c r="L387" s="86"/>
      <c r="M387" s="86"/>
      <c r="N387" s="86"/>
      <c r="O387" s="282"/>
      <c r="P387" s="215"/>
      <c r="Q387" s="215"/>
      <c r="R387" s="215"/>
      <c r="S387" s="215"/>
      <c r="T387" s="215"/>
      <c r="U387" s="215"/>
      <c r="V387" s="215"/>
      <c r="W387" s="80"/>
      <c r="X387" s="80"/>
      <c r="Y387" s="80"/>
      <c r="Z387" s="80"/>
      <c r="AA387" s="80"/>
      <c r="AB387" s="80"/>
      <c r="AC387" s="80"/>
      <c r="AD387" s="80"/>
      <c r="AE387" s="80"/>
      <c r="AF387" s="80"/>
    </row>
    <row r="388" spans="1:32" ht="15" customHeight="1">
      <c r="A388" s="86"/>
      <c r="B388" s="86"/>
      <c r="C388" s="86"/>
      <c r="D388" s="86"/>
      <c r="E388" s="86"/>
      <c r="F388" s="86"/>
      <c r="G388" s="86"/>
      <c r="H388" s="86"/>
      <c r="I388" s="86"/>
      <c r="J388" s="86"/>
      <c r="K388" s="86"/>
      <c r="L388" s="86"/>
      <c r="M388" s="86"/>
      <c r="N388" s="86"/>
      <c r="O388" s="282"/>
      <c r="P388" s="215"/>
      <c r="Q388" s="215"/>
      <c r="R388" s="215"/>
      <c r="S388" s="215"/>
      <c r="T388" s="215"/>
      <c r="U388" s="215"/>
      <c r="V388" s="215"/>
      <c r="W388" s="80"/>
      <c r="X388" s="80"/>
      <c r="Y388" s="80"/>
      <c r="Z388" s="80"/>
      <c r="AA388" s="80"/>
      <c r="AB388" s="80"/>
      <c r="AC388" s="80"/>
      <c r="AD388" s="80"/>
      <c r="AE388" s="80"/>
      <c r="AF388" s="80"/>
    </row>
    <row r="389" spans="1:32">
      <c r="A389" s="86"/>
      <c r="B389" s="86"/>
      <c r="C389" s="86"/>
      <c r="D389" s="86"/>
      <c r="E389" s="86"/>
      <c r="F389" s="86"/>
      <c r="G389" s="86"/>
      <c r="H389" s="86"/>
      <c r="I389" s="86"/>
      <c r="J389" s="86"/>
      <c r="K389" s="86"/>
      <c r="L389" s="86"/>
      <c r="M389" s="86"/>
      <c r="N389" s="86"/>
      <c r="O389" s="282"/>
      <c r="P389" s="215"/>
      <c r="Q389" s="215"/>
      <c r="R389" s="215"/>
      <c r="S389" s="215"/>
      <c r="T389" s="215"/>
      <c r="U389" s="215"/>
      <c r="V389" s="215"/>
      <c r="W389" s="80"/>
      <c r="X389" s="80"/>
      <c r="Y389" s="80"/>
      <c r="Z389" s="80"/>
      <c r="AA389" s="80"/>
      <c r="AB389" s="80"/>
      <c r="AC389" s="80"/>
      <c r="AD389" s="80"/>
      <c r="AE389" s="80"/>
      <c r="AF389" s="80"/>
    </row>
    <row r="390" spans="1:32">
      <c r="A390" s="86"/>
      <c r="B390" s="86"/>
      <c r="C390" s="86"/>
      <c r="D390" s="86"/>
      <c r="E390" s="86"/>
      <c r="F390" s="86"/>
      <c r="G390" s="86"/>
      <c r="H390" s="86"/>
      <c r="I390" s="86"/>
      <c r="J390" s="86"/>
      <c r="K390" s="86"/>
      <c r="L390" s="86"/>
      <c r="M390" s="86"/>
      <c r="N390" s="86"/>
      <c r="O390" s="282"/>
      <c r="P390" s="215"/>
      <c r="Q390" s="215"/>
      <c r="R390" s="215"/>
      <c r="S390" s="215"/>
      <c r="T390" s="215"/>
      <c r="U390" s="215"/>
      <c r="V390" s="215"/>
      <c r="W390" s="80"/>
      <c r="X390" s="80"/>
      <c r="Y390" s="80"/>
      <c r="Z390" s="80"/>
      <c r="AA390" s="80"/>
      <c r="AB390" s="80"/>
      <c r="AC390" s="80"/>
      <c r="AD390" s="80"/>
      <c r="AE390" s="80"/>
      <c r="AF390" s="80"/>
    </row>
    <row r="391" spans="1:32">
      <c r="A391" s="86"/>
      <c r="B391" s="86"/>
      <c r="C391" s="86"/>
      <c r="D391" s="86"/>
      <c r="E391" s="86"/>
      <c r="F391" s="86"/>
      <c r="G391" s="86"/>
      <c r="H391" s="86"/>
      <c r="I391" s="86"/>
      <c r="J391" s="86"/>
      <c r="K391" s="86"/>
      <c r="L391" s="86"/>
      <c r="M391" s="86"/>
      <c r="N391" s="86"/>
      <c r="O391" s="282"/>
      <c r="P391" s="215"/>
      <c r="Q391" s="215"/>
      <c r="R391" s="215"/>
      <c r="S391" s="215"/>
      <c r="T391" s="215"/>
      <c r="U391" s="215"/>
      <c r="V391" s="215"/>
      <c r="W391" s="80"/>
      <c r="X391" s="80"/>
      <c r="Y391" s="80"/>
      <c r="Z391" s="80"/>
      <c r="AA391" s="80"/>
      <c r="AB391" s="80"/>
      <c r="AC391" s="80"/>
      <c r="AD391" s="80"/>
      <c r="AE391" s="80"/>
      <c r="AF391" s="80"/>
    </row>
    <row r="392" spans="1:32">
      <c r="A392" s="86"/>
      <c r="B392" s="86"/>
      <c r="C392" s="86"/>
      <c r="D392" s="86"/>
      <c r="E392" s="86"/>
      <c r="F392" s="86"/>
      <c r="G392" s="86"/>
      <c r="H392" s="86"/>
      <c r="I392" s="86"/>
      <c r="J392" s="86"/>
      <c r="K392" s="86"/>
      <c r="L392" s="86"/>
      <c r="M392" s="86"/>
      <c r="N392" s="86"/>
      <c r="O392" s="215"/>
      <c r="P392" s="215"/>
      <c r="Q392" s="215"/>
      <c r="R392" s="215"/>
      <c r="S392" s="215"/>
      <c r="T392" s="215"/>
      <c r="U392" s="215"/>
      <c r="V392" s="215"/>
      <c r="W392" s="80"/>
      <c r="X392" s="80"/>
      <c r="Y392" s="80"/>
      <c r="Z392" s="80"/>
      <c r="AA392" s="80"/>
      <c r="AB392" s="80"/>
      <c r="AC392" s="80"/>
      <c r="AD392" s="80"/>
      <c r="AE392" s="80"/>
      <c r="AF392" s="80"/>
    </row>
    <row r="393" spans="1:32">
      <c r="A393" s="86"/>
      <c r="B393" s="86"/>
      <c r="C393" s="86"/>
      <c r="D393" s="86"/>
      <c r="E393" s="86"/>
      <c r="F393" s="86"/>
      <c r="G393" s="86"/>
      <c r="H393" s="86"/>
      <c r="I393" s="86"/>
      <c r="J393" s="86"/>
      <c r="K393" s="86"/>
      <c r="L393" s="86"/>
      <c r="M393" s="86"/>
      <c r="N393" s="86"/>
      <c r="O393" s="215"/>
      <c r="P393" s="215"/>
      <c r="Q393" s="215"/>
      <c r="R393" s="215"/>
      <c r="S393" s="215"/>
      <c r="T393" s="215"/>
      <c r="U393" s="215"/>
      <c r="V393" s="215"/>
      <c r="W393" s="80"/>
      <c r="X393" s="80"/>
      <c r="Y393" s="80"/>
      <c r="Z393" s="80"/>
      <c r="AA393" s="80"/>
      <c r="AB393" s="80"/>
      <c r="AC393" s="80"/>
      <c r="AD393" s="80"/>
      <c r="AE393" s="80"/>
      <c r="AF393" s="80"/>
    </row>
    <row r="394" spans="1:32" ht="15" customHeight="1">
      <c r="A394" s="86"/>
      <c r="B394" s="86"/>
      <c r="C394" s="86"/>
      <c r="D394" s="86"/>
      <c r="E394" s="86"/>
      <c r="F394" s="86"/>
      <c r="G394" s="86"/>
      <c r="H394" s="86"/>
      <c r="I394" s="86"/>
      <c r="J394" s="86"/>
      <c r="K394" s="86"/>
      <c r="L394" s="86"/>
      <c r="M394" s="86"/>
      <c r="N394" s="86"/>
      <c r="O394" s="215"/>
      <c r="P394" s="215"/>
      <c r="Q394" s="215"/>
      <c r="R394" s="215"/>
      <c r="S394" s="215"/>
      <c r="T394" s="215"/>
      <c r="U394" s="215"/>
      <c r="V394" s="215"/>
      <c r="W394" s="80"/>
      <c r="X394" s="80"/>
      <c r="Y394" s="80"/>
      <c r="Z394" s="80"/>
      <c r="AA394" s="80"/>
      <c r="AB394" s="80"/>
      <c r="AC394" s="80"/>
      <c r="AD394" s="80"/>
      <c r="AE394" s="80"/>
      <c r="AF394" s="80"/>
    </row>
    <row r="395" spans="1:32">
      <c r="A395" s="86"/>
      <c r="B395" s="86"/>
      <c r="C395" s="86"/>
      <c r="D395" s="86"/>
      <c r="E395" s="86"/>
      <c r="F395" s="86"/>
      <c r="G395" s="86"/>
      <c r="H395" s="86"/>
      <c r="I395" s="86"/>
      <c r="J395" s="86"/>
      <c r="K395" s="86"/>
      <c r="L395" s="86"/>
      <c r="M395" s="86"/>
      <c r="N395" s="86"/>
      <c r="O395" s="215"/>
      <c r="P395" s="215"/>
      <c r="Q395" s="215"/>
      <c r="R395" s="215"/>
      <c r="S395" s="215"/>
      <c r="T395" s="215"/>
      <c r="U395" s="215"/>
      <c r="V395" s="215"/>
      <c r="W395" s="80"/>
      <c r="X395" s="80"/>
      <c r="Y395" s="80"/>
      <c r="Z395" s="80"/>
      <c r="AA395" s="80"/>
      <c r="AB395" s="80"/>
      <c r="AC395" s="80"/>
      <c r="AD395" s="80"/>
      <c r="AE395" s="80"/>
      <c r="AF395" s="80"/>
    </row>
    <row r="396" spans="1:32">
      <c r="A396" s="86"/>
      <c r="B396" s="86"/>
      <c r="C396" s="86"/>
      <c r="D396" s="86"/>
      <c r="E396" s="86"/>
      <c r="F396" s="86"/>
      <c r="G396" s="86"/>
      <c r="H396" s="86"/>
      <c r="I396" s="86"/>
      <c r="J396" s="86"/>
      <c r="K396" s="86"/>
      <c r="L396" s="86"/>
      <c r="M396" s="86"/>
      <c r="N396" s="86"/>
      <c r="O396" s="215"/>
      <c r="P396" s="215"/>
      <c r="Q396" s="215"/>
      <c r="R396" s="215"/>
      <c r="S396" s="215"/>
      <c r="T396" s="215"/>
      <c r="U396" s="215"/>
      <c r="V396" s="215"/>
      <c r="W396" s="80"/>
      <c r="X396" s="80"/>
      <c r="Y396" s="80"/>
      <c r="Z396" s="80"/>
      <c r="AA396" s="80"/>
      <c r="AB396" s="80"/>
      <c r="AC396" s="80"/>
      <c r="AD396" s="80"/>
      <c r="AE396" s="80"/>
      <c r="AF396" s="80"/>
    </row>
    <row r="397" spans="1:32">
      <c r="A397" s="86"/>
      <c r="B397" s="86"/>
      <c r="C397" s="86"/>
      <c r="D397" s="86"/>
      <c r="E397" s="86"/>
      <c r="F397" s="86"/>
      <c r="G397" s="86"/>
      <c r="H397" s="86"/>
      <c r="I397" s="86"/>
      <c r="J397" s="86"/>
      <c r="K397" s="86"/>
      <c r="L397" s="86"/>
      <c r="M397" s="86"/>
      <c r="N397" s="86"/>
      <c r="O397" s="215"/>
      <c r="P397" s="215"/>
      <c r="Q397" s="215"/>
      <c r="R397" s="215"/>
      <c r="S397" s="215"/>
      <c r="T397" s="215"/>
      <c r="U397" s="215"/>
      <c r="V397" s="215"/>
      <c r="W397" s="80"/>
      <c r="X397" s="80"/>
      <c r="Y397" s="80"/>
      <c r="Z397" s="80"/>
      <c r="AA397" s="80"/>
      <c r="AB397" s="80"/>
      <c r="AC397" s="80"/>
      <c r="AD397" s="80"/>
      <c r="AE397" s="80"/>
      <c r="AF397" s="80"/>
    </row>
    <row r="398" spans="1:32">
      <c r="A398" s="86"/>
      <c r="B398" s="86"/>
      <c r="C398" s="86"/>
      <c r="D398" s="86"/>
      <c r="E398" s="86"/>
      <c r="F398" s="86"/>
      <c r="G398" s="86"/>
      <c r="H398" s="86"/>
      <c r="I398" s="86"/>
      <c r="J398" s="86"/>
      <c r="K398" s="86"/>
      <c r="L398" s="86"/>
      <c r="M398" s="86"/>
      <c r="N398" s="86"/>
      <c r="O398" s="215"/>
      <c r="P398" s="215"/>
      <c r="Q398" s="215"/>
      <c r="R398" s="215"/>
      <c r="S398" s="215"/>
      <c r="T398" s="215"/>
      <c r="U398" s="215"/>
      <c r="V398" s="215"/>
      <c r="W398" s="80"/>
      <c r="X398" s="80"/>
      <c r="Y398" s="80"/>
      <c r="Z398" s="80"/>
      <c r="AA398" s="80"/>
      <c r="AB398" s="80"/>
      <c r="AC398" s="80"/>
      <c r="AD398" s="80"/>
      <c r="AE398" s="80"/>
      <c r="AF398" s="80"/>
    </row>
    <row r="399" spans="1:32">
      <c r="A399" s="86"/>
      <c r="B399" s="86"/>
      <c r="C399" s="86"/>
      <c r="D399" s="86"/>
      <c r="E399" s="86"/>
      <c r="F399" s="86"/>
      <c r="G399" s="86"/>
      <c r="H399" s="86"/>
      <c r="I399" s="86"/>
      <c r="J399" s="86"/>
      <c r="K399" s="86"/>
      <c r="L399" s="86"/>
      <c r="M399" s="86"/>
      <c r="N399" s="86"/>
      <c r="O399" s="215"/>
      <c r="P399" s="215"/>
      <c r="Q399" s="215"/>
      <c r="R399" s="215"/>
      <c r="S399" s="215"/>
      <c r="T399" s="215"/>
      <c r="U399" s="215"/>
      <c r="V399" s="215"/>
      <c r="W399" s="80"/>
      <c r="X399" s="80"/>
      <c r="Y399" s="80"/>
      <c r="Z399" s="80"/>
      <c r="AA399" s="80"/>
      <c r="AB399" s="80"/>
      <c r="AC399" s="80"/>
      <c r="AD399" s="80"/>
      <c r="AE399" s="80"/>
      <c r="AF399" s="80"/>
    </row>
    <row r="400" spans="1:32">
      <c r="A400" s="86"/>
      <c r="B400" s="86"/>
      <c r="C400" s="86"/>
      <c r="D400" s="86"/>
      <c r="E400" s="86"/>
      <c r="F400" s="86"/>
      <c r="G400" s="86"/>
      <c r="H400" s="86"/>
      <c r="I400" s="86"/>
      <c r="J400" s="86"/>
      <c r="K400" s="86"/>
      <c r="L400" s="86"/>
      <c r="M400" s="86"/>
      <c r="N400" s="86"/>
      <c r="O400" s="215"/>
      <c r="P400" s="215"/>
      <c r="Q400" s="215"/>
      <c r="R400" s="215"/>
      <c r="S400" s="215"/>
      <c r="T400" s="215"/>
      <c r="U400" s="215"/>
      <c r="V400" s="215"/>
      <c r="W400" s="80"/>
      <c r="X400" s="80"/>
      <c r="Y400" s="80"/>
      <c r="Z400" s="80"/>
      <c r="AA400" s="80"/>
      <c r="AB400" s="80"/>
      <c r="AC400" s="80"/>
      <c r="AD400" s="80"/>
      <c r="AE400" s="80"/>
      <c r="AF400" s="80"/>
    </row>
    <row r="401" spans="1:32">
      <c r="A401" s="86"/>
      <c r="B401" s="86"/>
      <c r="C401" s="86"/>
      <c r="D401" s="86"/>
      <c r="E401" s="86"/>
      <c r="F401" s="86"/>
      <c r="G401" s="86"/>
      <c r="H401" s="86"/>
      <c r="I401" s="86"/>
      <c r="J401" s="86"/>
      <c r="K401" s="86"/>
      <c r="L401" s="86"/>
      <c r="M401" s="86"/>
      <c r="N401" s="86"/>
      <c r="O401" s="215"/>
      <c r="P401" s="215"/>
      <c r="Q401" s="215"/>
      <c r="R401" s="215"/>
      <c r="S401" s="215"/>
      <c r="T401" s="215"/>
      <c r="U401" s="215"/>
      <c r="V401" s="215"/>
      <c r="W401" s="80"/>
      <c r="X401" s="80"/>
      <c r="Y401" s="80"/>
      <c r="Z401" s="80"/>
      <c r="AA401" s="80"/>
      <c r="AB401" s="80"/>
      <c r="AC401" s="80"/>
      <c r="AD401" s="80"/>
      <c r="AE401" s="80"/>
      <c r="AF401" s="80"/>
    </row>
    <row r="402" spans="1:32">
      <c r="A402" s="86"/>
      <c r="B402" s="86"/>
      <c r="C402" s="86"/>
      <c r="D402" s="86"/>
      <c r="E402" s="86"/>
      <c r="F402" s="86"/>
      <c r="G402" s="86"/>
      <c r="H402" s="86"/>
      <c r="I402" s="86"/>
      <c r="J402" s="86"/>
      <c r="K402" s="86"/>
      <c r="L402" s="86"/>
      <c r="M402" s="86"/>
      <c r="N402" s="86"/>
      <c r="O402" s="215"/>
      <c r="P402" s="215"/>
      <c r="Q402" s="215"/>
      <c r="R402" s="215"/>
      <c r="S402" s="215"/>
      <c r="T402" s="215"/>
      <c r="U402" s="215"/>
      <c r="V402" s="215"/>
      <c r="W402" s="80"/>
      <c r="X402" s="80"/>
      <c r="Y402" s="80"/>
      <c r="Z402" s="80"/>
      <c r="AA402" s="80"/>
      <c r="AB402" s="80"/>
      <c r="AC402" s="80"/>
      <c r="AD402" s="80"/>
      <c r="AE402" s="80"/>
      <c r="AF402" s="80"/>
    </row>
    <row r="403" spans="1:32">
      <c r="A403" s="86"/>
      <c r="B403" s="86"/>
      <c r="C403" s="86"/>
      <c r="D403" s="86"/>
      <c r="E403" s="86"/>
      <c r="F403" s="86"/>
      <c r="G403" s="86"/>
      <c r="H403" s="86"/>
      <c r="I403" s="86"/>
      <c r="J403" s="86"/>
      <c r="K403" s="86"/>
      <c r="L403" s="86"/>
      <c r="M403" s="86"/>
      <c r="N403" s="86"/>
      <c r="O403" s="215"/>
      <c r="P403" s="215"/>
      <c r="Q403" s="215"/>
      <c r="R403" s="215"/>
      <c r="S403" s="215"/>
      <c r="T403" s="215"/>
      <c r="U403" s="215"/>
      <c r="V403" s="215"/>
      <c r="W403" s="80"/>
      <c r="X403" s="80"/>
      <c r="Y403" s="80"/>
      <c r="Z403" s="80"/>
      <c r="AA403" s="80"/>
      <c r="AB403" s="80"/>
      <c r="AC403" s="80"/>
      <c r="AD403" s="80"/>
      <c r="AE403" s="80"/>
      <c r="AF403" s="80"/>
    </row>
    <row r="404" spans="1:32">
      <c r="A404" s="86"/>
      <c r="B404" s="86"/>
      <c r="C404" s="86"/>
      <c r="D404" s="86"/>
      <c r="E404" s="86"/>
      <c r="F404" s="86"/>
      <c r="G404" s="86"/>
      <c r="H404" s="86"/>
      <c r="I404" s="86"/>
      <c r="J404" s="86"/>
      <c r="K404" s="86"/>
      <c r="L404" s="86"/>
      <c r="M404" s="86"/>
      <c r="N404" s="86"/>
      <c r="O404" s="215"/>
      <c r="P404" s="215"/>
      <c r="Q404" s="215"/>
      <c r="R404" s="215"/>
      <c r="S404" s="215"/>
      <c r="T404" s="215"/>
      <c r="U404" s="215"/>
      <c r="V404" s="215"/>
      <c r="W404" s="80"/>
      <c r="X404" s="80"/>
      <c r="Y404" s="80"/>
      <c r="Z404" s="80"/>
      <c r="AA404" s="80"/>
      <c r="AB404" s="80"/>
      <c r="AC404" s="80"/>
      <c r="AD404" s="80"/>
      <c r="AE404" s="80"/>
      <c r="AF404" s="80"/>
    </row>
    <row r="405" spans="1:32">
      <c r="A405" s="86"/>
      <c r="B405" s="86"/>
      <c r="C405" s="86"/>
      <c r="D405" s="86"/>
      <c r="E405" s="86"/>
      <c r="F405" s="86"/>
      <c r="G405" s="86"/>
      <c r="H405" s="86"/>
      <c r="I405" s="86"/>
      <c r="J405" s="86"/>
      <c r="K405" s="86"/>
      <c r="L405" s="86"/>
      <c r="M405" s="86"/>
      <c r="N405" s="86"/>
      <c r="O405" s="215"/>
      <c r="P405" s="215"/>
      <c r="Q405" s="215"/>
      <c r="R405" s="215"/>
      <c r="S405" s="215"/>
      <c r="T405" s="215"/>
      <c r="U405" s="215"/>
      <c r="V405" s="215"/>
      <c r="W405" s="80"/>
      <c r="X405" s="80"/>
      <c r="Y405" s="80"/>
      <c r="Z405" s="80"/>
      <c r="AA405" s="80"/>
      <c r="AB405" s="80"/>
      <c r="AC405" s="80"/>
      <c r="AD405" s="80"/>
      <c r="AE405" s="80"/>
      <c r="AF405" s="80"/>
    </row>
    <row r="406" spans="1:32">
      <c r="A406" s="86"/>
      <c r="B406" s="86"/>
      <c r="C406" s="86"/>
      <c r="D406" s="86"/>
      <c r="E406" s="86"/>
      <c r="F406" s="86"/>
      <c r="G406" s="86"/>
      <c r="H406" s="86"/>
      <c r="I406" s="86"/>
      <c r="J406" s="86"/>
      <c r="K406" s="86"/>
      <c r="L406" s="86"/>
      <c r="M406" s="86"/>
      <c r="N406" s="86"/>
      <c r="O406" s="215"/>
      <c r="P406" s="215"/>
      <c r="Q406" s="215"/>
      <c r="R406" s="215"/>
      <c r="S406" s="215"/>
      <c r="T406" s="215"/>
      <c r="U406" s="215"/>
      <c r="V406" s="215"/>
      <c r="W406" s="80"/>
      <c r="X406" s="80"/>
      <c r="Y406" s="80"/>
      <c r="Z406" s="80"/>
      <c r="AA406" s="80"/>
      <c r="AB406" s="80"/>
      <c r="AC406" s="80"/>
      <c r="AD406" s="80"/>
      <c r="AE406" s="80"/>
      <c r="AF406" s="80"/>
    </row>
    <row r="407" spans="1:32">
      <c r="A407" s="86"/>
      <c r="B407" s="86"/>
      <c r="C407" s="86"/>
      <c r="D407" s="86"/>
      <c r="E407" s="86"/>
      <c r="F407" s="86"/>
      <c r="G407" s="86"/>
      <c r="H407" s="86"/>
      <c r="I407" s="86"/>
      <c r="J407" s="86"/>
      <c r="K407" s="86"/>
      <c r="L407" s="86"/>
      <c r="M407" s="86"/>
      <c r="N407" s="86"/>
      <c r="O407" s="215"/>
      <c r="P407" s="215"/>
      <c r="Q407" s="215"/>
      <c r="R407" s="215"/>
      <c r="S407" s="215"/>
      <c r="T407" s="215"/>
      <c r="U407" s="215"/>
      <c r="V407" s="215"/>
      <c r="W407" s="80"/>
      <c r="X407" s="80"/>
      <c r="Y407" s="80"/>
      <c r="Z407" s="80"/>
      <c r="AA407" s="80"/>
      <c r="AB407" s="80"/>
      <c r="AC407" s="80"/>
      <c r="AD407" s="80"/>
      <c r="AE407" s="80"/>
      <c r="AF407" s="80"/>
    </row>
    <row r="408" spans="1:32">
      <c r="A408" s="86"/>
      <c r="B408" s="86"/>
      <c r="C408" s="86"/>
      <c r="D408" s="86"/>
      <c r="E408" s="86"/>
      <c r="F408" s="86"/>
      <c r="G408" s="86"/>
      <c r="H408" s="86"/>
      <c r="I408" s="86"/>
      <c r="J408" s="86"/>
      <c r="K408" s="86"/>
      <c r="L408" s="86"/>
      <c r="M408" s="86"/>
      <c r="N408" s="86"/>
      <c r="O408" s="215"/>
      <c r="P408" s="215"/>
      <c r="Q408" s="215"/>
      <c r="R408" s="215"/>
      <c r="S408" s="215"/>
      <c r="T408" s="215"/>
      <c r="U408" s="215"/>
      <c r="V408" s="215"/>
      <c r="W408" s="80"/>
      <c r="X408" s="80"/>
      <c r="Y408" s="80"/>
      <c r="Z408" s="80"/>
      <c r="AA408" s="80"/>
      <c r="AB408" s="80"/>
      <c r="AC408" s="80"/>
      <c r="AD408" s="80"/>
      <c r="AE408" s="80"/>
      <c r="AF408" s="80"/>
    </row>
    <row r="409" spans="1:32">
      <c r="A409" s="86"/>
      <c r="B409" s="86"/>
      <c r="C409" s="86"/>
      <c r="D409" s="86"/>
      <c r="E409" s="86"/>
      <c r="F409" s="86"/>
      <c r="G409" s="86"/>
      <c r="H409" s="86"/>
      <c r="I409" s="86"/>
      <c r="J409" s="86"/>
      <c r="K409" s="86"/>
      <c r="L409" s="86"/>
      <c r="M409" s="86"/>
      <c r="N409" s="86"/>
      <c r="O409" s="215"/>
      <c r="P409" s="215"/>
      <c r="Q409" s="215"/>
      <c r="R409" s="215"/>
      <c r="S409" s="215"/>
      <c r="T409" s="215"/>
      <c r="U409" s="215"/>
      <c r="V409" s="215"/>
      <c r="W409" s="80"/>
      <c r="X409" s="80"/>
      <c r="Y409" s="80"/>
      <c r="Z409" s="80"/>
      <c r="AA409" s="80"/>
      <c r="AB409" s="80"/>
      <c r="AC409" s="80"/>
      <c r="AD409" s="80"/>
      <c r="AE409" s="80"/>
      <c r="AF409" s="80"/>
    </row>
    <row r="410" spans="1:32">
      <c r="A410" s="86"/>
      <c r="B410" s="86"/>
      <c r="C410" s="86"/>
      <c r="D410" s="86"/>
      <c r="E410" s="86"/>
      <c r="F410" s="86"/>
      <c r="G410" s="86"/>
      <c r="H410" s="86"/>
      <c r="I410" s="86"/>
      <c r="J410" s="86"/>
      <c r="K410" s="86"/>
      <c r="L410" s="86"/>
      <c r="M410" s="86"/>
      <c r="N410" s="86"/>
      <c r="O410" s="215"/>
      <c r="P410" s="215"/>
      <c r="Q410" s="215"/>
      <c r="R410" s="215"/>
      <c r="S410" s="215"/>
      <c r="T410" s="215"/>
      <c r="U410" s="215"/>
      <c r="V410" s="215"/>
      <c r="W410" s="80"/>
      <c r="X410" s="80"/>
      <c r="Y410" s="80"/>
      <c r="Z410" s="80"/>
      <c r="AA410" s="80"/>
      <c r="AB410" s="80"/>
      <c r="AC410" s="80"/>
      <c r="AD410" s="80"/>
      <c r="AE410" s="80"/>
      <c r="AF410" s="80"/>
    </row>
    <row r="411" spans="1:32">
      <c r="A411" s="86"/>
      <c r="B411" s="86"/>
      <c r="C411" s="86"/>
      <c r="D411" s="86"/>
      <c r="E411" s="86"/>
      <c r="F411" s="86"/>
      <c r="G411" s="86"/>
      <c r="H411" s="86"/>
      <c r="I411" s="86"/>
      <c r="J411" s="86"/>
      <c r="K411" s="86"/>
      <c r="L411" s="86"/>
      <c r="M411" s="86"/>
      <c r="N411" s="86"/>
      <c r="O411" s="215"/>
      <c r="P411" s="215"/>
      <c r="Q411" s="215"/>
      <c r="R411" s="215"/>
      <c r="S411" s="215"/>
      <c r="T411" s="215"/>
      <c r="U411" s="215"/>
      <c r="V411" s="215"/>
      <c r="W411" s="80"/>
      <c r="X411" s="80"/>
      <c r="Y411" s="80"/>
      <c r="Z411" s="80"/>
      <c r="AA411" s="80"/>
      <c r="AB411" s="80"/>
      <c r="AC411" s="80"/>
      <c r="AD411" s="80"/>
      <c r="AE411" s="80"/>
      <c r="AF411" s="80"/>
    </row>
    <row r="412" spans="1:32">
      <c r="A412" s="86"/>
      <c r="B412" s="86"/>
      <c r="C412" s="86"/>
      <c r="D412" s="86"/>
      <c r="E412" s="86"/>
      <c r="F412" s="86"/>
      <c r="G412" s="86"/>
      <c r="H412" s="86"/>
      <c r="I412" s="86"/>
      <c r="J412" s="86"/>
      <c r="K412" s="86"/>
      <c r="L412" s="86"/>
      <c r="M412" s="86"/>
      <c r="N412" s="86"/>
      <c r="O412" s="215"/>
      <c r="P412" s="215"/>
      <c r="Q412" s="215"/>
      <c r="R412" s="215"/>
      <c r="S412" s="215"/>
      <c r="T412" s="215"/>
      <c r="U412" s="215"/>
      <c r="V412" s="215"/>
      <c r="W412" s="80"/>
      <c r="X412" s="80"/>
      <c r="Y412" s="80"/>
      <c r="Z412" s="80"/>
      <c r="AA412" s="80"/>
      <c r="AB412" s="80"/>
      <c r="AC412" s="80"/>
      <c r="AD412" s="80"/>
      <c r="AE412" s="80"/>
      <c r="AF412" s="80"/>
    </row>
    <row r="413" spans="1:32">
      <c r="A413" s="86"/>
      <c r="B413" s="86"/>
      <c r="C413" s="86"/>
      <c r="D413" s="86"/>
      <c r="E413" s="86"/>
      <c r="F413" s="86"/>
      <c r="G413" s="86"/>
      <c r="H413" s="86"/>
      <c r="I413" s="86"/>
      <c r="J413" s="86"/>
      <c r="K413" s="86"/>
      <c r="L413" s="86"/>
      <c r="M413" s="86"/>
      <c r="N413" s="86"/>
      <c r="O413" s="215"/>
      <c r="P413" s="215"/>
      <c r="Q413" s="215"/>
      <c r="R413" s="215"/>
      <c r="S413" s="215"/>
      <c r="T413" s="215"/>
      <c r="U413" s="215"/>
      <c r="V413" s="215"/>
      <c r="W413" s="80"/>
      <c r="X413" s="80"/>
      <c r="Y413" s="80"/>
      <c r="Z413" s="80"/>
      <c r="AA413" s="80"/>
      <c r="AB413" s="80"/>
      <c r="AC413" s="80"/>
      <c r="AD413" s="80"/>
      <c r="AE413" s="80"/>
      <c r="AF413" s="80"/>
    </row>
    <row r="414" spans="1:32">
      <c r="A414" s="86"/>
      <c r="B414" s="86"/>
      <c r="C414" s="86"/>
      <c r="D414" s="86"/>
      <c r="E414" s="86"/>
      <c r="F414" s="86"/>
      <c r="G414" s="86"/>
      <c r="H414" s="86"/>
      <c r="I414" s="86"/>
      <c r="J414" s="86"/>
      <c r="K414" s="86"/>
      <c r="L414" s="86"/>
      <c r="M414" s="86"/>
      <c r="N414" s="86"/>
      <c r="O414" s="215"/>
      <c r="P414" s="215"/>
      <c r="Q414" s="215"/>
      <c r="R414" s="215"/>
      <c r="S414" s="215"/>
      <c r="T414" s="215"/>
      <c r="U414" s="215"/>
      <c r="V414" s="215"/>
      <c r="W414" s="80"/>
      <c r="X414" s="80"/>
      <c r="Y414" s="80"/>
      <c r="Z414" s="80"/>
      <c r="AA414" s="80"/>
      <c r="AB414" s="80"/>
      <c r="AC414" s="80"/>
      <c r="AD414" s="80"/>
      <c r="AE414" s="80"/>
      <c r="AF414" s="80"/>
    </row>
    <row r="415" spans="1:32">
      <c r="A415" s="1047" t="s">
        <v>404</v>
      </c>
      <c r="B415" s="1047"/>
      <c r="C415" s="1047"/>
      <c r="D415" s="1047"/>
      <c r="E415" s="1047"/>
      <c r="F415" s="86" t="str">
        <f>C43</f>
        <v>NTTA DTTA VICTOR HUGO HERNANDEZ MARTINEZ</v>
      </c>
      <c r="G415" s="86"/>
      <c r="H415" s="86"/>
      <c r="I415" s="86"/>
      <c r="J415" s="86"/>
      <c r="K415" s="86"/>
      <c r="L415" s="86"/>
      <c r="M415" s="86"/>
      <c r="N415" s="86"/>
      <c r="O415" s="215"/>
      <c r="P415" s="215"/>
      <c r="Q415" s="215"/>
      <c r="R415" s="215"/>
      <c r="S415" s="215"/>
      <c r="T415" s="215"/>
      <c r="U415" s="215"/>
      <c r="V415" s="215"/>
      <c r="W415" s="80"/>
      <c r="X415" s="80"/>
      <c r="Y415" s="80"/>
      <c r="Z415" s="80"/>
      <c r="AA415" s="80"/>
      <c r="AB415" s="80"/>
      <c r="AC415" s="80"/>
      <c r="AD415" s="80"/>
      <c r="AE415" s="80"/>
      <c r="AF415" s="80"/>
    </row>
    <row r="416" spans="1:32">
      <c r="A416" s="85"/>
      <c r="B416" s="85"/>
      <c r="C416" s="85"/>
      <c r="D416" s="85"/>
      <c r="E416" s="85"/>
      <c r="F416" s="85"/>
      <c r="G416" s="85"/>
      <c r="H416" s="85"/>
      <c r="I416" s="85"/>
      <c r="J416" s="85"/>
      <c r="K416" s="85"/>
      <c r="L416" s="85"/>
      <c r="M416" s="85"/>
      <c r="N416" s="85"/>
      <c r="O416" s="215"/>
      <c r="P416" s="215"/>
      <c r="Q416" s="215"/>
      <c r="R416" s="215"/>
      <c r="S416" s="215"/>
      <c r="T416" s="215"/>
      <c r="U416" s="215"/>
      <c r="V416" s="215"/>
      <c r="W416" s="80"/>
      <c r="X416" s="80"/>
      <c r="Y416" s="80"/>
      <c r="Z416" s="80"/>
      <c r="AA416" s="80"/>
      <c r="AB416" s="80"/>
      <c r="AC416" s="80"/>
      <c r="AD416" s="80"/>
      <c r="AE416" s="80"/>
      <c r="AF416" s="80"/>
    </row>
    <row r="417" spans="1:32">
      <c r="A417" s="85"/>
      <c r="B417" s="85"/>
      <c r="C417" s="85"/>
      <c r="D417" s="85"/>
      <c r="E417" s="85"/>
      <c r="F417" s="85"/>
      <c r="G417" s="85"/>
      <c r="H417" s="85"/>
      <c r="I417" s="85"/>
      <c r="J417" s="85"/>
      <c r="K417" s="85"/>
      <c r="L417" s="85"/>
      <c r="M417" s="85"/>
      <c r="N417" s="85"/>
      <c r="O417" s="215"/>
      <c r="P417" s="215"/>
      <c r="Q417" s="215"/>
      <c r="R417" s="215"/>
      <c r="S417" s="215"/>
      <c r="T417" s="215"/>
      <c r="U417" s="215"/>
      <c r="V417" s="215"/>
      <c r="W417" s="80"/>
      <c r="X417" s="80"/>
      <c r="Y417" s="80"/>
      <c r="Z417" s="80"/>
      <c r="AA417" s="80"/>
      <c r="AB417" s="80"/>
      <c r="AC417" s="80"/>
      <c r="AD417" s="80"/>
      <c r="AE417" s="80"/>
      <c r="AF417" s="80"/>
    </row>
    <row r="418" spans="1:32">
      <c r="A418" s="85"/>
      <c r="B418" s="85"/>
      <c r="C418" s="85"/>
      <c r="D418" s="85"/>
      <c r="E418" s="85"/>
      <c r="F418" s="85"/>
      <c r="G418" s="85"/>
      <c r="H418" s="85"/>
      <c r="I418" s="85"/>
      <c r="J418" s="85"/>
      <c r="K418" s="85"/>
      <c r="L418" s="85"/>
      <c r="M418" s="85"/>
      <c r="N418" s="85"/>
      <c r="O418" s="215"/>
      <c r="P418" s="215"/>
      <c r="Q418" s="215"/>
      <c r="R418" s="215"/>
      <c r="S418" s="215"/>
      <c r="T418" s="215"/>
      <c r="U418" s="215"/>
      <c r="V418" s="215"/>
      <c r="W418" s="80"/>
      <c r="X418" s="80"/>
      <c r="Y418" s="80"/>
      <c r="Z418" s="80"/>
      <c r="AA418" s="80"/>
      <c r="AB418" s="80"/>
      <c r="AC418" s="80"/>
      <c r="AD418" s="80"/>
      <c r="AE418" s="80"/>
      <c r="AF418" s="80"/>
    </row>
    <row r="419" spans="1:32">
      <c r="A419" s="85"/>
      <c r="B419" s="85"/>
      <c r="C419" s="85"/>
      <c r="D419" s="85"/>
      <c r="E419" s="85"/>
      <c r="F419" s="85"/>
      <c r="G419" s="85"/>
      <c r="H419" s="85"/>
      <c r="I419" s="85"/>
      <c r="J419" s="85"/>
      <c r="K419" s="85"/>
      <c r="L419" s="85"/>
      <c r="M419" s="85"/>
      <c r="N419" s="85"/>
      <c r="O419" s="215"/>
      <c r="P419" s="215"/>
      <c r="Q419" s="215"/>
      <c r="R419" s="215"/>
      <c r="S419" s="215"/>
      <c r="T419" s="215"/>
      <c r="U419" s="215"/>
      <c r="V419" s="215"/>
      <c r="W419" s="80"/>
      <c r="X419" s="80"/>
      <c r="Y419" s="80"/>
      <c r="Z419" s="80"/>
      <c r="AA419" s="80"/>
      <c r="AB419" s="80"/>
      <c r="AC419" s="80"/>
      <c r="AD419" s="80"/>
      <c r="AE419" s="80"/>
      <c r="AF419" s="80"/>
    </row>
    <row r="420" spans="1:32">
      <c r="A420" s="85"/>
      <c r="B420" s="85"/>
      <c r="C420" s="85"/>
      <c r="D420" s="85"/>
      <c r="E420" s="85"/>
      <c r="F420" s="85"/>
      <c r="G420" s="85"/>
      <c r="H420" s="85"/>
      <c r="I420" s="85"/>
      <c r="J420" s="85"/>
      <c r="K420" s="85"/>
      <c r="L420" s="85"/>
      <c r="M420" s="85"/>
      <c r="N420" s="85"/>
      <c r="O420" s="215"/>
      <c r="P420" s="215"/>
      <c r="Q420" s="215"/>
      <c r="R420" s="215"/>
      <c r="S420" s="215"/>
      <c r="T420" s="215"/>
      <c r="U420" s="215"/>
      <c r="V420" s="215"/>
      <c r="W420" s="80"/>
      <c r="X420" s="80"/>
      <c r="Y420" s="80"/>
      <c r="Z420" s="80"/>
      <c r="AA420" s="80"/>
      <c r="AB420" s="80"/>
      <c r="AC420" s="80"/>
      <c r="AD420" s="80"/>
      <c r="AE420" s="80"/>
      <c r="AF420" s="80"/>
    </row>
    <row r="421" spans="1:32">
      <c r="A421" s="85"/>
      <c r="B421" s="85"/>
      <c r="C421" s="85"/>
      <c r="D421" s="85"/>
      <c r="E421" s="85"/>
      <c r="F421" s="85"/>
      <c r="G421" s="85"/>
      <c r="H421" s="85"/>
      <c r="I421" s="85"/>
      <c r="J421" s="85"/>
      <c r="K421" s="85"/>
      <c r="L421" s="85"/>
      <c r="M421" s="85"/>
      <c r="N421" s="85"/>
      <c r="O421" s="215"/>
      <c r="P421" s="215"/>
      <c r="Q421" s="215"/>
      <c r="R421" s="215"/>
      <c r="S421" s="215"/>
      <c r="T421" s="215"/>
      <c r="U421" s="215"/>
      <c r="V421" s="215"/>
      <c r="W421" s="80"/>
      <c r="X421" s="80"/>
      <c r="Y421" s="80"/>
      <c r="Z421" s="80"/>
      <c r="AA421" s="80"/>
      <c r="AB421" s="80"/>
      <c r="AC421" s="80"/>
      <c r="AD421" s="80"/>
      <c r="AE421" s="80"/>
      <c r="AF421" s="80"/>
    </row>
    <row r="422" spans="1:32">
      <c r="A422" s="85"/>
      <c r="B422" s="85"/>
      <c r="C422" s="85"/>
      <c r="D422" s="85"/>
      <c r="E422" s="85"/>
      <c r="F422" s="85"/>
      <c r="G422" s="85"/>
      <c r="H422" s="85"/>
      <c r="I422" s="85"/>
      <c r="J422" s="85"/>
      <c r="K422" s="85"/>
      <c r="L422" s="85"/>
      <c r="M422" s="85"/>
      <c r="N422" s="85"/>
      <c r="O422" s="215"/>
      <c r="P422" s="215"/>
      <c r="Q422" s="215"/>
      <c r="R422" s="215"/>
      <c r="S422" s="215"/>
      <c r="T422" s="215"/>
      <c r="U422" s="215"/>
      <c r="V422" s="215"/>
      <c r="W422" s="80"/>
      <c r="X422" s="80"/>
      <c r="Y422" s="80"/>
      <c r="Z422" s="80"/>
      <c r="AA422" s="80"/>
      <c r="AB422" s="80"/>
      <c r="AC422" s="80"/>
      <c r="AD422" s="80"/>
      <c r="AE422" s="80"/>
      <c r="AF422" s="80"/>
    </row>
    <row r="423" spans="1:32">
      <c r="A423" s="85"/>
      <c r="B423" s="85"/>
      <c r="C423" s="85"/>
      <c r="D423" s="85"/>
      <c r="E423" s="85"/>
      <c r="F423" s="85"/>
      <c r="G423" s="85"/>
      <c r="H423" s="85"/>
      <c r="I423" s="85"/>
      <c r="J423" s="85"/>
      <c r="K423" s="85"/>
      <c r="L423" s="85"/>
      <c r="M423" s="85"/>
      <c r="N423" s="85"/>
      <c r="O423" s="215"/>
      <c r="P423" s="215"/>
      <c r="Q423" s="215"/>
      <c r="R423" s="215"/>
      <c r="S423" s="215"/>
      <c r="T423" s="215"/>
      <c r="U423" s="215"/>
      <c r="V423" s="215"/>
      <c r="W423" s="80"/>
      <c r="X423" s="80"/>
      <c r="Y423" s="80"/>
      <c r="Z423" s="80"/>
      <c r="AA423" s="80"/>
      <c r="AB423" s="80"/>
      <c r="AC423" s="80"/>
      <c r="AD423" s="80"/>
      <c r="AE423" s="80"/>
      <c r="AF423" s="80"/>
    </row>
    <row r="424" spans="1:32">
      <c r="A424" s="85"/>
      <c r="B424" s="85"/>
      <c r="C424" s="85"/>
      <c r="D424" s="85"/>
      <c r="E424" s="85"/>
      <c r="F424" s="85"/>
      <c r="G424" s="85"/>
      <c r="H424" s="85"/>
      <c r="I424" s="85"/>
      <c r="J424" s="85"/>
      <c r="K424" s="85"/>
      <c r="L424" s="85"/>
      <c r="M424" s="85"/>
      <c r="N424" s="85"/>
      <c r="O424" s="215"/>
      <c r="P424" s="215"/>
      <c r="Q424" s="215"/>
      <c r="R424" s="215"/>
      <c r="S424" s="215"/>
      <c r="T424" s="215"/>
      <c r="U424" s="215"/>
      <c r="V424" s="215"/>
      <c r="W424" s="80"/>
      <c r="X424" s="80"/>
      <c r="Y424" s="80"/>
      <c r="Z424" s="80"/>
      <c r="AA424" s="80"/>
      <c r="AB424" s="80"/>
      <c r="AC424" s="80"/>
      <c r="AD424" s="80"/>
      <c r="AE424" s="80"/>
      <c r="AF424" s="80"/>
    </row>
    <row r="425" spans="1:32">
      <c r="A425" s="85"/>
      <c r="B425" s="85"/>
      <c r="C425" s="85"/>
      <c r="D425" s="85"/>
      <c r="E425" s="85"/>
      <c r="F425" s="85"/>
      <c r="G425" s="85"/>
      <c r="H425" s="85"/>
      <c r="I425" s="85"/>
      <c r="J425" s="85"/>
      <c r="K425" s="85"/>
      <c r="L425" s="85"/>
      <c r="M425" s="85"/>
      <c r="N425" s="85"/>
      <c r="O425" s="215"/>
      <c r="P425" s="215"/>
      <c r="Q425" s="215"/>
      <c r="R425" s="215"/>
      <c r="S425" s="215"/>
      <c r="T425" s="215"/>
      <c r="U425" s="215"/>
      <c r="V425" s="215"/>
      <c r="W425" s="80"/>
      <c r="X425" s="80"/>
      <c r="Y425" s="80"/>
      <c r="Z425" s="80"/>
      <c r="AA425" s="80"/>
      <c r="AB425" s="80"/>
      <c r="AC425" s="80"/>
      <c r="AD425" s="80"/>
      <c r="AE425" s="80"/>
      <c r="AF425" s="80"/>
    </row>
    <row r="426" spans="1:32">
      <c r="A426" s="85"/>
      <c r="B426" s="85"/>
      <c r="C426" s="85"/>
      <c r="D426" s="85"/>
      <c r="E426" s="85"/>
      <c r="F426" s="85"/>
      <c r="G426" s="85"/>
      <c r="H426" s="85"/>
      <c r="I426" s="85"/>
      <c r="J426" s="85"/>
      <c r="K426" s="85"/>
      <c r="L426" s="85"/>
      <c r="M426" s="85"/>
      <c r="N426" s="85"/>
      <c r="O426" s="215"/>
      <c r="P426" s="215"/>
      <c r="Q426" s="215"/>
      <c r="R426" s="215"/>
      <c r="S426" s="215"/>
      <c r="T426" s="215"/>
      <c r="U426" s="215"/>
      <c r="V426" s="215"/>
      <c r="W426" s="80"/>
      <c r="X426" s="80"/>
      <c r="Y426" s="80"/>
      <c r="Z426" s="80"/>
      <c r="AA426" s="80"/>
      <c r="AB426" s="80"/>
      <c r="AC426" s="80"/>
      <c r="AD426" s="80"/>
      <c r="AE426" s="80"/>
      <c r="AF426" s="80"/>
    </row>
    <row r="427" spans="1:32">
      <c r="A427" s="85"/>
      <c r="B427" s="85"/>
      <c r="C427" s="85"/>
      <c r="D427" s="85"/>
      <c r="E427" s="85"/>
      <c r="F427" s="85"/>
      <c r="G427" s="85"/>
      <c r="H427" s="85"/>
      <c r="I427" s="85"/>
      <c r="J427" s="85"/>
      <c r="K427" s="85"/>
      <c r="L427" s="85"/>
      <c r="M427" s="85"/>
      <c r="N427" s="85"/>
      <c r="O427" s="215"/>
      <c r="P427" s="215"/>
      <c r="Q427" s="215"/>
      <c r="R427" s="215"/>
      <c r="S427" s="215"/>
      <c r="T427" s="215"/>
      <c r="U427" s="215"/>
      <c r="V427" s="215"/>
      <c r="W427" s="80"/>
      <c r="X427" s="80"/>
      <c r="Y427" s="80"/>
      <c r="Z427" s="80"/>
      <c r="AA427" s="80"/>
      <c r="AB427" s="80"/>
      <c r="AC427" s="80"/>
      <c r="AD427" s="80"/>
      <c r="AE427" s="80"/>
      <c r="AF427" s="80"/>
    </row>
    <row r="428" spans="1:32">
      <c r="A428" s="85"/>
      <c r="B428" s="85"/>
      <c r="C428" s="85"/>
      <c r="D428" s="85"/>
      <c r="E428" s="85"/>
      <c r="F428" s="85"/>
      <c r="G428" s="85"/>
      <c r="H428" s="85"/>
      <c r="I428" s="85"/>
      <c r="J428" s="85"/>
      <c r="K428" s="85"/>
      <c r="L428" s="85"/>
      <c r="M428" s="85"/>
      <c r="N428" s="85"/>
      <c r="O428" s="215"/>
      <c r="P428" s="215"/>
      <c r="Q428" s="215"/>
      <c r="R428" s="215"/>
      <c r="S428" s="215"/>
      <c r="T428" s="215"/>
      <c r="U428" s="215"/>
      <c r="V428" s="215"/>
      <c r="W428" s="80"/>
      <c r="X428" s="80"/>
      <c r="Y428" s="80"/>
      <c r="Z428" s="80"/>
      <c r="AA428" s="80"/>
      <c r="AB428" s="80"/>
      <c r="AC428" s="80"/>
      <c r="AD428" s="80"/>
      <c r="AE428" s="80"/>
      <c r="AF428" s="80"/>
    </row>
    <row r="429" spans="1:32">
      <c r="A429" s="85"/>
      <c r="B429" s="85"/>
      <c r="C429" s="85"/>
      <c r="D429" s="85"/>
      <c r="E429" s="85"/>
      <c r="F429" s="85"/>
      <c r="G429" s="85"/>
      <c r="H429" s="85"/>
      <c r="I429" s="85"/>
      <c r="J429" s="85"/>
      <c r="K429" s="85"/>
      <c r="L429" s="85"/>
      <c r="M429" s="85"/>
      <c r="N429" s="85"/>
      <c r="O429" s="215"/>
      <c r="P429" s="215"/>
      <c r="Q429" s="215"/>
      <c r="R429" s="215"/>
      <c r="S429" s="215"/>
      <c r="T429" s="215"/>
      <c r="U429" s="215"/>
      <c r="V429" s="215"/>
      <c r="W429" s="80"/>
      <c r="X429" s="80"/>
      <c r="Y429" s="80"/>
      <c r="Z429" s="80"/>
      <c r="AA429" s="80"/>
      <c r="AB429" s="80"/>
      <c r="AC429" s="80"/>
      <c r="AD429" s="80"/>
      <c r="AE429" s="80"/>
      <c r="AF429" s="80"/>
    </row>
    <row r="430" spans="1:32">
      <c r="A430" s="85"/>
      <c r="B430" s="85"/>
      <c r="C430" s="85"/>
      <c r="D430" s="85"/>
      <c r="E430" s="85"/>
      <c r="F430" s="85"/>
      <c r="G430" s="85"/>
      <c r="H430" s="85"/>
      <c r="I430" s="85"/>
      <c r="J430" s="85"/>
      <c r="K430" s="85"/>
      <c r="L430" s="85"/>
      <c r="M430" s="85"/>
      <c r="N430" s="85"/>
      <c r="O430" s="215"/>
      <c r="P430" s="215"/>
      <c r="Q430" s="215"/>
      <c r="R430" s="215"/>
      <c r="S430" s="215"/>
      <c r="T430" s="215"/>
      <c r="U430" s="215"/>
      <c r="V430" s="215"/>
      <c r="W430" s="80"/>
      <c r="X430" s="80"/>
      <c r="Y430" s="80"/>
      <c r="Z430" s="80"/>
      <c r="AA430" s="80"/>
      <c r="AB430" s="80"/>
      <c r="AC430" s="80"/>
      <c r="AD430" s="80"/>
      <c r="AE430" s="80"/>
      <c r="AF430" s="80"/>
    </row>
    <row r="431" spans="1:32">
      <c r="A431" s="85"/>
      <c r="B431" s="85"/>
      <c r="C431" s="85"/>
      <c r="D431" s="85"/>
      <c r="E431" s="85"/>
      <c r="F431" s="85"/>
      <c r="G431" s="85"/>
      <c r="H431" s="85"/>
      <c r="I431" s="85"/>
      <c r="J431" s="85"/>
      <c r="K431" s="85"/>
      <c r="L431" s="85"/>
      <c r="M431" s="85"/>
      <c r="N431" s="85"/>
      <c r="O431" s="215"/>
      <c r="P431" s="215"/>
      <c r="Q431" s="215"/>
      <c r="R431" s="215"/>
      <c r="S431" s="215"/>
      <c r="T431" s="215"/>
      <c r="U431" s="215"/>
      <c r="V431" s="215"/>
      <c r="W431" s="80"/>
      <c r="X431" s="80"/>
      <c r="Y431" s="80"/>
      <c r="Z431" s="80"/>
      <c r="AA431" s="80"/>
      <c r="AB431" s="80"/>
      <c r="AC431" s="80"/>
      <c r="AD431" s="80"/>
      <c r="AE431" s="80"/>
      <c r="AF431" s="80"/>
    </row>
    <row r="432" spans="1:32">
      <c r="A432" s="85"/>
      <c r="B432" s="85"/>
      <c r="C432" s="85"/>
      <c r="D432" s="85"/>
      <c r="E432" s="85"/>
      <c r="F432" s="85"/>
      <c r="G432" s="85"/>
      <c r="H432" s="85"/>
      <c r="I432" s="85"/>
      <c r="J432" s="85"/>
      <c r="K432" s="85"/>
      <c r="L432" s="85"/>
      <c r="M432" s="85"/>
      <c r="N432" s="85"/>
      <c r="O432" s="215"/>
      <c r="P432" s="215"/>
      <c r="Q432" s="215"/>
      <c r="R432" s="215"/>
      <c r="S432" s="215"/>
      <c r="T432" s="215"/>
      <c r="U432" s="215"/>
      <c r="V432" s="215"/>
      <c r="W432" s="80"/>
      <c r="X432" s="80"/>
      <c r="Y432" s="80"/>
      <c r="Z432" s="80"/>
      <c r="AA432" s="80"/>
      <c r="AB432" s="80"/>
      <c r="AC432" s="80"/>
      <c r="AD432" s="80"/>
      <c r="AE432" s="80"/>
      <c r="AF432" s="80"/>
    </row>
    <row r="433" spans="1:32">
      <c r="A433" s="85"/>
      <c r="B433" s="85"/>
      <c r="C433" s="85"/>
      <c r="D433" s="85"/>
      <c r="E433" s="85"/>
      <c r="F433" s="85"/>
      <c r="G433" s="85"/>
      <c r="H433" s="85"/>
      <c r="I433" s="85"/>
      <c r="J433" s="85"/>
      <c r="K433" s="85"/>
      <c r="L433" s="85"/>
      <c r="M433" s="85"/>
      <c r="N433" s="85"/>
      <c r="O433" s="215"/>
      <c r="P433" s="215"/>
      <c r="Q433" s="215"/>
      <c r="R433" s="215"/>
      <c r="S433" s="215"/>
      <c r="T433" s="215"/>
      <c r="U433" s="215"/>
      <c r="V433" s="215"/>
      <c r="W433" s="80"/>
      <c r="X433" s="80"/>
      <c r="Y433" s="80"/>
      <c r="Z433" s="80"/>
      <c r="AA433" s="80"/>
      <c r="AB433" s="80"/>
      <c r="AC433" s="80"/>
      <c r="AD433" s="80"/>
      <c r="AE433" s="80"/>
      <c r="AF433" s="80"/>
    </row>
    <row r="434" spans="1:32">
      <c r="A434" s="85"/>
      <c r="B434" s="85"/>
      <c r="C434" s="85"/>
      <c r="D434" s="85"/>
      <c r="E434" s="85"/>
      <c r="F434" s="85"/>
      <c r="G434" s="85"/>
      <c r="H434" s="85"/>
      <c r="I434" s="85"/>
      <c r="J434" s="85"/>
      <c r="K434" s="85"/>
      <c r="L434" s="85"/>
      <c r="M434" s="85"/>
      <c r="N434" s="85"/>
      <c r="O434" s="215"/>
      <c r="P434" s="215"/>
      <c r="Q434" s="215"/>
      <c r="R434" s="215"/>
      <c r="S434" s="215"/>
      <c r="T434" s="215"/>
      <c r="U434" s="215"/>
      <c r="V434" s="215"/>
      <c r="W434" s="80"/>
      <c r="X434" s="80"/>
      <c r="Y434" s="80"/>
      <c r="Z434" s="80"/>
      <c r="AA434" s="80"/>
      <c r="AB434" s="80"/>
      <c r="AC434" s="80"/>
      <c r="AD434" s="80"/>
      <c r="AE434" s="80"/>
      <c r="AF434" s="80"/>
    </row>
    <row r="435" spans="1:32">
      <c r="A435" s="85"/>
      <c r="B435" s="85"/>
      <c r="C435" s="85"/>
      <c r="D435" s="85"/>
      <c r="E435" s="85"/>
      <c r="F435" s="85"/>
      <c r="G435" s="85"/>
      <c r="H435" s="85"/>
      <c r="I435" s="85"/>
      <c r="J435" s="85"/>
      <c r="K435" s="85"/>
      <c r="L435" s="85"/>
      <c r="M435" s="85"/>
      <c r="N435" s="85"/>
      <c r="O435" s="215"/>
      <c r="P435" s="215"/>
      <c r="Q435" s="215"/>
      <c r="R435" s="215"/>
      <c r="S435" s="215"/>
      <c r="T435" s="215"/>
      <c r="U435" s="215"/>
      <c r="V435" s="215"/>
      <c r="W435" s="80"/>
      <c r="X435" s="80"/>
      <c r="Y435" s="80"/>
      <c r="Z435" s="80"/>
      <c r="AA435" s="80"/>
      <c r="AB435" s="80"/>
      <c r="AC435" s="80"/>
      <c r="AD435" s="80"/>
      <c r="AE435" s="80"/>
      <c r="AF435" s="80"/>
    </row>
    <row r="436" spans="1:32">
      <c r="A436" s="85"/>
      <c r="B436" s="85"/>
      <c r="C436" s="85"/>
      <c r="D436" s="85"/>
      <c r="E436" s="85"/>
      <c r="F436" s="85"/>
      <c r="G436" s="85"/>
      <c r="H436" s="85"/>
      <c r="I436" s="85"/>
      <c r="J436" s="85"/>
      <c r="K436" s="85"/>
      <c r="L436" s="85"/>
      <c r="M436" s="85"/>
      <c r="N436" s="85"/>
      <c r="O436" s="215"/>
      <c r="P436" s="215"/>
      <c r="Q436" s="215"/>
      <c r="R436" s="215"/>
      <c r="S436" s="215"/>
      <c r="T436" s="215"/>
      <c r="U436" s="215"/>
      <c r="V436" s="215"/>
      <c r="W436" s="80"/>
      <c r="X436" s="80"/>
      <c r="Y436" s="80"/>
      <c r="Z436" s="80"/>
      <c r="AA436" s="80"/>
      <c r="AB436" s="80"/>
      <c r="AC436" s="80"/>
      <c r="AD436" s="80"/>
      <c r="AE436" s="80"/>
      <c r="AF436" s="80"/>
    </row>
    <row r="437" spans="1:32">
      <c r="A437" s="85"/>
      <c r="B437" s="85"/>
      <c r="C437" s="85"/>
      <c r="D437" s="85"/>
      <c r="E437" s="85"/>
      <c r="F437" s="85"/>
      <c r="G437" s="85"/>
      <c r="H437" s="85"/>
      <c r="I437" s="85"/>
      <c r="J437" s="85"/>
      <c r="K437" s="85"/>
      <c r="L437" s="85"/>
      <c r="M437" s="85"/>
      <c r="N437" s="85"/>
      <c r="O437" s="215"/>
      <c r="P437" s="215"/>
      <c r="Q437" s="215"/>
      <c r="R437" s="215"/>
      <c r="S437" s="215"/>
      <c r="T437" s="215"/>
      <c r="U437" s="215"/>
      <c r="V437" s="215"/>
      <c r="W437" s="80"/>
      <c r="X437" s="80"/>
      <c r="Y437" s="80"/>
      <c r="Z437" s="80"/>
      <c r="AA437" s="80"/>
      <c r="AB437" s="80"/>
      <c r="AC437" s="80"/>
      <c r="AD437" s="80"/>
      <c r="AE437" s="80"/>
      <c r="AF437" s="80"/>
    </row>
    <row r="438" spans="1:32">
      <c r="A438" s="85"/>
      <c r="B438" s="85"/>
      <c r="C438" s="85"/>
      <c r="D438" s="85"/>
      <c r="E438" s="85"/>
      <c r="F438" s="85"/>
      <c r="G438" s="85"/>
      <c r="H438" s="85"/>
      <c r="I438" s="85"/>
      <c r="J438" s="85"/>
      <c r="K438" s="85"/>
      <c r="L438" s="85"/>
      <c r="M438" s="85"/>
      <c r="N438" s="85"/>
      <c r="O438" s="215"/>
      <c r="P438" s="215"/>
      <c r="Q438" s="215"/>
      <c r="R438" s="215"/>
      <c r="S438" s="215"/>
      <c r="T438" s="215"/>
      <c r="U438" s="215"/>
      <c r="V438" s="215"/>
      <c r="W438" s="80"/>
      <c r="X438" s="80"/>
      <c r="Y438" s="80"/>
      <c r="Z438" s="80"/>
      <c r="AA438" s="80"/>
      <c r="AB438" s="80"/>
      <c r="AC438" s="80"/>
      <c r="AD438" s="80"/>
      <c r="AE438" s="80"/>
      <c r="AF438" s="80"/>
    </row>
    <row r="439" spans="1:32">
      <c r="A439" s="85"/>
      <c r="B439" s="85"/>
      <c r="C439" s="85"/>
      <c r="D439" s="85"/>
      <c r="E439" s="85"/>
      <c r="F439" s="85"/>
      <c r="G439" s="85"/>
      <c r="H439" s="85"/>
      <c r="I439" s="85"/>
      <c r="J439" s="85"/>
      <c r="K439" s="85"/>
      <c r="L439" s="85"/>
      <c r="M439" s="85"/>
      <c r="N439" s="85"/>
      <c r="O439" s="215"/>
      <c r="P439" s="215"/>
      <c r="Q439" s="215"/>
      <c r="R439" s="215"/>
      <c r="S439" s="215"/>
      <c r="T439" s="215"/>
      <c r="U439" s="215"/>
      <c r="V439" s="215"/>
      <c r="W439" s="80"/>
      <c r="X439" s="80"/>
      <c r="Y439" s="80"/>
      <c r="Z439" s="80"/>
      <c r="AA439" s="80"/>
      <c r="AB439" s="80"/>
      <c r="AC439" s="80"/>
      <c r="AD439" s="80"/>
      <c r="AE439" s="80"/>
      <c r="AF439" s="80"/>
    </row>
    <row r="440" spans="1:32">
      <c r="A440" s="85"/>
      <c r="B440" s="85"/>
      <c r="C440" s="85"/>
      <c r="D440" s="85"/>
      <c r="E440" s="85"/>
      <c r="F440" s="85"/>
      <c r="G440" s="85"/>
      <c r="H440" s="85"/>
      <c r="I440" s="85"/>
      <c r="J440" s="85"/>
      <c r="K440" s="85"/>
      <c r="L440" s="85"/>
      <c r="M440" s="85"/>
      <c r="N440" s="85"/>
      <c r="O440" s="215"/>
      <c r="P440" s="215"/>
      <c r="Q440" s="215"/>
      <c r="R440" s="215"/>
      <c r="S440" s="215"/>
      <c r="T440" s="215"/>
      <c r="U440" s="215"/>
      <c r="V440" s="215"/>
      <c r="W440" s="80"/>
      <c r="X440" s="80"/>
      <c r="Y440" s="80"/>
      <c r="Z440" s="80"/>
      <c r="AA440" s="80"/>
      <c r="AB440" s="80"/>
      <c r="AC440" s="80"/>
      <c r="AD440" s="80"/>
      <c r="AE440" s="80"/>
      <c r="AF440" s="80"/>
    </row>
    <row r="441" spans="1:32">
      <c r="A441" s="85"/>
      <c r="B441" s="85"/>
      <c r="C441" s="85"/>
      <c r="D441" s="85"/>
      <c r="E441" s="85"/>
      <c r="F441" s="85"/>
      <c r="G441" s="85"/>
      <c r="H441" s="85"/>
      <c r="I441" s="85"/>
      <c r="J441" s="85"/>
      <c r="K441" s="85"/>
      <c r="L441" s="85"/>
      <c r="M441" s="85"/>
      <c r="N441" s="85"/>
      <c r="O441" s="215"/>
      <c r="P441" s="215"/>
      <c r="Q441" s="215"/>
      <c r="R441" s="215"/>
      <c r="S441" s="215"/>
      <c r="T441" s="215"/>
      <c r="U441" s="215"/>
      <c r="V441" s="215"/>
      <c r="W441" s="80"/>
      <c r="X441" s="80"/>
      <c r="Y441" s="80"/>
      <c r="Z441" s="80"/>
      <c r="AA441" s="80"/>
      <c r="AB441" s="80"/>
      <c r="AC441" s="80"/>
      <c r="AD441" s="80"/>
      <c r="AE441" s="80"/>
      <c r="AF441" s="80"/>
    </row>
    <row r="442" spans="1:32">
      <c r="A442" s="85"/>
      <c r="B442" s="85"/>
      <c r="C442" s="85"/>
      <c r="D442" s="85"/>
      <c r="E442" s="85"/>
      <c r="F442" s="85"/>
      <c r="G442" s="85"/>
      <c r="H442" s="85"/>
      <c r="I442" s="85"/>
      <c r="J442" s="85"/>
      <c r="K442" s="85"/>
      <c r="L442" s="85"/>
      <c r="M442" s="85"/>
      <c r="N442" s="85"/>
      <c r="O442" s="215"/>
      <c r="P442" s="215"/>
      <c r="Q442" s="215"/>
      <c r="R442" s="215"/>
      <c r="S442" s="215"/>
      <c r="T442" s="215"/>
      <c r="U442" s="215"/>
      <c r="V442" s="215"/>
      <c r="W442" s="80"/>
      <c r="X442" s="80"/>
      <c r="Y442" s="80"/>
      <c r="Z442" s="80"/>
      <c r="AA442" s="80"/>
      <c r="AB442" s="80"/>
      <c r="AC442" s="80"/>
      <c r="AD442" s="80"/>
      <c r="AE442" s="80"/>
      <c r="AF442" s="80"/>
    </row>
    <row r="443" spans="1:32">
      <c r="A443" s="85"/>
      <c r="B443" s="85"/>
      <c r="C443" s="85"/>
      <c r="D443" s="85"/>
      <c r="E443" s="85"/>
      <c r="F443" s="85"/>
      <c r="G443" s="85"/>
      <c r="H443" s="85"/>
      <c r="I443" s="85"/>
      <c r="J443" s="85"/>
      <c r="K443" s="85"/>
      <c r="L443" s="85"/>
      <c r="M443" s="85"/>
      <c r="N443" s="85"/>
      <c r="O443" s="215"/>
      <c r="P443" s="215"/>
      <c r="Q443" s="215"/>
      <c r="R443" s="215"/>
      <c r="S443" s="215"/>
      <c r="T443" s="215"/>
      <c r="U443" s="215"/>
      <c r="V443" s="215"/>
      <c r="W443" s="80"/>
      <c r="X443" s="80"/>
      <c r="Y443" s="80"/>
      <c r="Z443" s="80"/>
      <c r="AA443" s="80"/>
      <c r="AB443" s="80"/>
      <c r="AC443" s="80"/>
      <c r="AD443" s="80"/>
      <c r="AE443" s="80"/>
      <c r="AF443" s="80"/>
    </row>
    <row r="444" spans="1:32">
      <c r="A444" s="85"/>
      <c r="B444" s="85"/>
      <c r="C444" s="85"/>
      <c r="D444" s="85"/>
      <c r="E444" s="85"/>
      <c r="F444" s="85"/>
      <c r="G444" s="85"/>
      <c r="H444" s="85"/>
      <c r="I444" s="85"/>
      <c r="J444" s="85"/>
      <c r="K444" s="85"/>
      <c r="L444" s="85"/>
      <c r="M444" s="85"/>
      <c r="N444" s="85"/>
      <c r="O444" s="215"/>
      <c r="P444" s="215"/>
      <c r="Q444" s="215"/>
      <c r="R444" s="215"/>
      <c r="S444" s="215"/>
      <c r="T444" s="215"/>
      <c r="U444" s="215"/>
      <c r="V444" s="215"/>
      <c r="W444" s="80"/>
      <c r="X444" s="80"/>
      <c r="Y444" s="80"/>
      <c r="Z444" s="80"/>
      <c r="AA444" s="80"/>
      <c r="AB444" s="80"/>
      <c r="AC444" s="80"/>
      <c r="AD444" s="80"/>
      <c r="AE444" s="80"/>
      <c r="AF444" s="80"/>
    </row>
    <row r="445" spans="1:32">
      <c r="A445" s="1207"/>
      <c r="B445" s="1207"/>
      <c r="C445" s="1207"/>
      <c r="D445" s="1207"/>
      <c r="E445" s="1207"/>
      <c r="F445" s="1208"/>
      <c r="G445" s="1208"/>
      <c r="H445" s="1208"/>
      <c r="I445" s="1208"/>
      <c r="J445" s="1208"/>
      <c r="K445" s="1208"/>
      <c r="L445" s="1208"/>
      <c r="M445" s="1208"/>
      <c r="N445" s="1208"/>
      <c r="O445" s="215"/>
      <c r="P445" s="215"/>
      <c r="Q445" s="215"/>
      <c r="R445" s="215"/>
      <c r="S445" s="215"/>
      <c r="T445" s="215"/>
      <c r="U445" s="215"/>
      <c r="V445" s="215"/>
      <c r="W445" s="80"/>
      <c r="X445" s="80"/>
      <c r="Y445" s="80"/>
      <c r="Z445" s="80"/>
      <c r="AA445" s="80"/>
      <c r="AB445" s="80"/>
      <c r="AC445" s="80"/>
      <c r="AD445" s="80"/>
      <c r="AE445" s="80"/>
      <c r="AF445" s="80"/>
    </row>
    <row r="446" spans="1:32">
      <c r="A446" s="85"/>
      <c r="B446" s="85"/>
      <c r="C446" s="85"/>
      <c r="D446" s="85"/>
      <c r="E446" s="85"/>
      <c r="F446" s="1208"/>
      <c r="G446" s="1208"/>
      <c r="H446" s="1208"/>
      <c r="I446" s="1208"/>
      <c r="J446" s="1208"/>
      <c r="K446" s="1208"/>
      <c r="L446" s="1208"/>
      <c r="M446" s="1208"/>
      <c r="N446" s="1208"/>
      <c r="O446" s="215"/>
      <c r="P446" s="215"/>
      <c r="Q446" s="215"/>
      <c r="R446" s="215"/>
      <c r="S446" s="215"/>
      <c r="T446" s="215"/>
      <c r="U446" s="215"/>
      <c r="V446" s="215"/>
      <c r="W446" s="80"/>
      <c r="X446" s="80"/>
      <c r="Y446" s="80"/>
      <c r="Z446" s="80"/>
      <c r="AA446" s="80"/>
      <c r="AB446" s="80"/>
      <c r="AC446" s="80"/>
      <c r="AD446" s="80"/>
      <c r="AE446" s="80"/>
      <c r="AF446" s="80"/>
    </row>
    <row r="447" spans="1:32">
      <c r="A447" s="85"/>
      <c r="B447" s="85"/>
      <c r="C447" s="85"/>
      <c r="D447" s="85"/>
      <c r="E447" s="85"/>
      <c r="F447" s="1208"/>
      <c r="G447" s="1208"/>
      <c r="H447" s="1208"/>
      <c r="I447" s="1208"/>
      <c r="J447" s="1208"/>
      <c r="K447" s="1208"/>
      <c r="L447" s="1208"/>
      <c r="M447" s="1208"/>
      <c r="N447" s="1208"/>
      <c r="O447" s="215"/>
      <c r="P447" s="215"/>
      <c r="Q447" s="215"/>
      <c r="R447" s="215"/>
      <c r="S447" s="215"/>
      <c r="T447" s="215"/>
      <c r="U447" s="215"/>
      <c r="V447" s="215"/>
      <c r="W447" s="80"/>
      <c r="X447" s="80"/>
      <c r="Y447" s="80"/>
      <c r="Z447" s="80"/>
      <c r="AA447" s="80"/>
      <c r="AB447" s="80"/>
      <c r="AC447" s="80"/>
      <c r="AD447" s="80"/>
      <c r="AE447" s="80"/>
      <c r="AF447" s="80"/>
    </row>
    <row r="448" spans="1:32">
      <c r="A448" s="85"/>
      <c r="B448" s="85"/>
      <c r="C448" s="85"/>
      <c r="D448" s="85"/>
      <c r="E448" s="85"/>
      <c r="F448" s="1208"/>
      <c r="G448" s="1208"/>
      <c r="H448" s="1208"/>
      <c r="I448" s="1208"/>
      <c r="J448" s="1208"/>
      <c r="K448" s="1208"/>
      <c r="L448" s="1208"/>
      <c r="M448" s="1208"/>
      <c r="N448" s="1208"/>
      <c r="O448" s="215"/>
      <c r="P448" s="215"/>
      <c r="Q448" s="215"/>
      <c r="R448" s="215"/>
      <c r="S448" s="215"/>
      <c r="T448" s="215"/>
      <c r="U448" s="215"/>
      <c r="V448" s="215"/>
      <c r="W448" s="80"/>
      <c r="X448" s="80"/>
      <c r="Y448" s="80"/>
      <c r="Z448" s="80"/>
      <c r="AA448" s="80"/>
      <c r="AB448" s="80"/>
      <c r="AC448" s="80"/>
      <c r="AD448" s="80"/>
      <c r="AE448" s="80"/>
      <c r="AF448" s="80"/>
    </row>
    <row r="449" spans="1:32">
      <c r="A449" s="85"/>
      <c r="B449" s="85"/>
      <c r="C449" s="85"/>
      <c r="D449" s="85"/>
      <c r="E449" s="85"/>
      <c r="F449" s="1208"/>
      <c r="G449" s="1208"/>
      <c r="H449" s="1208"/>
      <c r="I449" s="1208"/>
      <c r="J449" s="1208"/>
      <c r="K449" s="1208"/>
      <c r="L449" s="1208"/>
      <c r="M449" s="1208"/>
      <c r="N449" s="1208"/>
      <c r="O449" s="215"/>
      <c r="P449" s="215"/>
      <c r="Q449" s="215"/>
      <c r="R449" s="215"/>
      <c r="S449" s="215"/>
      <c r="T449" s="215"/>
      <c r="U449" s="215"/>
      <c r="V449" s="215"/>
      <c r="W449" s="80"/>
      <c r="X449" s="80"/>
      <c r="Y449" s="80"/>
      <c r="Z449" s="80"/>
      <c r="AA449" s="80"/>
      <c r="AB449" s="80"/>
      <c r="AC449" s="80"/>
      <c r="AD449" s="80"/>
      <c r="AE449" s="80"/>
      <c r="AF449" s="80"/>
    </row>
    <row r="450" spans="1:32">
      <c r="A450" s="85"/>
      <c r="B450" s="85"/>
      <c r="C450" s="85"/>
      <c r="D450" s="85"/>
      <c r="E450" s="85"/>
      <c r="F450" s="1208"/>
      <c r="G450" s="1208"/>
      <c r="H450" s="1208"/>
      <c r="I450" s="1208"/>
      <c r="J450" s="1208"/>
      <c r="K450" s="1208"/>
      <c r="L450" s="1208"/>
      <c r="M450" s="1208"/>
      <c r="N450" s="1208"/>
      <c r="O450" s="215"/>
      <c r="P450" s="215"/>
      <c r="Q450" s="215"/>
      <c r="R450" s="215"/>
      <c r="S450" s="215"/>
      <c r="T450" s="215"/>
      <c r="U450" s="215"/>
      <c r="V450" s="215"/>
      <c r="W450" s="80"/>
      <c r="X450" s="80"/>
      <c r="Y450" s="80"/>
      <c r="Z450" s="80"/>
      <c r="AA450" s="80"/>
      <c r="AB450" s="80"/>
      <c r="AC450" s="80"/>
      <c r="AD450" s="80"/>
      <c r="AE450" s="80"/>
      <c r="AF450" s="80"/>
    </row>
    <row r="451" spans="1:32">
      <c r="A451" s="85"/>
      <c r="B451" s="85"/>
      <c r="C451" s="85"/>
      <c r="D451" s="85"/>
      <c r="E451" s="85"/>
      <c r="F451" s="85"/>
      <c r="G451" s="85"/>
      <c r="H451" s="85"/>
      <c r="I451" s="85"/>
      <c r="J451" s="85"/>
      <c r="K451" s="85"/>
      <c r="L451" s="85"/>
      <c r="M451" s="85"/>
      <c r="N451" s="85"/>
      <c r="O451" s="215"/>
      <c r="P451" s="215"/>
      <c r="Q451" s="215"/>
      <c r="R451" s="215"/>
      <c r="S451" s="215"/>
      <c r="T451" s="215"/>
      <c r="U451" s="215"/>
      <c r="V451" s="215"/>
      <c r="W451" s="80"/>
      <c r="X451" s="80"/>
      <c r="Y451" s="80"/>
      <c r="Z451" s="80"/>
      <c r="AA451" s="80"/>
      <c r="AB451" s="80"/>
      <c r="AC451" s="80"/>
      <c r="AD451" s="80"/>
      <c r="AE451" s="80"/>
      <c r="AF451" s="80"/>
    </row>
    <row r="452" spans="1:32">
      <c r="A452" s="85"/>
      <c r="B452" s="85"/>
      <c r="C452" s="85"/>
      <c r="D452" s="85"/>
      <c r="E452" s="85"/>
      <c r="F452" s="85"/>
      <c r="G452" s="85"/>
      <c r="H452" s="85"/>
      <c r="I452" s="85"/>
      <c r="J452" s="85"/>
      <c r="K452" s="85"/>
      <c r="L452" s="85"/>
      <c r="M452" s="85"/>
      <c r="N452" s="85"/>
      <c r="O452" s="215"/>
      <c r="P452" s="215"/>
      <c r="Q452" s="215"/>
      <c r="R452" s="215"/>
      <c r="S452" s="215"/>
      <c r="T452" s="215"/>
      <c r="U452" s="215"/>
      <c r="V452" s="215"/>
      <c r="W452" s="80"/>
      <c r="X452" s="80"/>
      <c r="Y452" s="80"/>
      <c r="Z452" s="80"/>
      <c r="AA452" s="80"/>
      <c r="AB452" s="80"/>
      <c r="AC452" s="80"/>
      <c r="AD452" s="80"/>
      <c r="AE452" s="80"/>
      <c r="AF452" s="80"/>
    </row>
    <row r="453" spans="1:32">
      <c r="A453" s="85"/>
      <c r="B453" s="85"/>
      <c r="C453" s="85"/>
      <c r="D453" s="85"/>
      <c r="E453" s="85"/>
      <c r="F453" s="85"/>
      <c r="G453" s="85"/>
      <c r="H453" s="85"/>
      <c r="I453" s="85"/>
      <c r="J453" s="85"/>
      <c r="K453" s="85"/>
      <c r="L453" s="85"/>
      <c r="M453" s="85"/>
      <c r="N453" s="85"/>
      <c r="O453" s="215"/>
      <c r="P453" s="215"/>
      <c r="Q453" s="215"/>
      <c r="R453" s="215"/>
      <c r="S453" s="215"/>
      <c r="T453" s="215"/>
      <c r="U453" s="215"/>
      <c r="V453" s="215"/>
      <c r="W453" s="80"/>
      <c r="X453" s="80"/>
      <c r="Y453" s="80"/>
      <c r="Z453" s="80"/>
      <c r="AA453" s="80"/>
      <c r="AB453" s="80"/>
      <c r="AC453" s="80"/>
      <c r="AD453" s="80"/>
      <c r="AE453" s="80"/>
      <c r="AF453" s="80"/>
    </row>
    <row r="454" spans="1:32">
      <c r="A454" s="85"/>
      <c r="B454" s="85"/>
      <c r="C454" s="85"/>
      <c r="D454" s="85"/>
      <c r="E454" s="85"/>
      <c r="F454" s="85"/>
      <c r="G454" s="85"/>
      <c r="H454" s="85"/>
      <c r="I454" s="85"/>
      <c r="J454" s="85"/>
      <c r="K454" s="85"/>
      <c r="L454" s="85"/>
      <c r="M454" s="85"/>
      <c r="N454" s="85"/>
      <c r="O454" s="215"/>
      <c r="P454" s="215"/>
      <c r="Q454" s="215"/>
      <c r="R454" s="215"/>
      <c r="S454" s="215"/>
      <c r="T454" s="215"/>
      <c r="U454" s="215"/>
      <c r="V454" s="215"/>
      <c r="W454" s="80"/>
      <c r="X454" s="80"/>
      <c r="Y454" s="80"/>
      <c r="Z454" s="80"/>
      <c r="AA454" s="80"/>
      <c r="AB454" s="80"/>
      <c r="AC454" s="80"/>
      <c r="AD454" s="80"/>
      <c r="AE454" s="80"/>
      <c r="AF454" s="80"/>
    </row>
    <row r="455" spans="1:32">
      <c r="A455" s="85"/>
      <c r="B455" s="85"/>
      <c r="C455" s="85"/>
      <c r="D455" s="85"/>
      <c r="E455" s="85"/>
      <c r="F455" s="85"/>
      <c r="G455" s="85"/>
      <c r="H455" s="85"/>
      <c r="I455" s="85"/>
      <c r="J455" s="85"/>
      <c r="K455" s="85"/>
      <c r="L455" s="85"/>
      <c r="M455" s="85"/>
      <c r="N455" s="85"/>
      <c r="O455" s="215"/>
      <c r="P455" s="215"/>
      <c r="Q455" s="215"/>
      <c r="R455" s="215"/>
      <c r="S455" s="215"/>
      <c r="T455" s="215"/>
      <c r="U455" s="215"/>
      <c r="V455" s="215"/>
      <c r="W455" s="80"/>
      <c r="X455" s="80"/>
      <c r="Y455" s="80"/>
      <c r="Z455" s="80"/>
      <c r="AA455" s="80"/>
      <c r="AB455" s="80"/>
      <c r="AC455" s="80"/>
      <c r="AD455" s="80"/>
      <c r="AE455" s="80"/>
      <c r="AF455" s="80"/>
    </row>
    <row r="456" spans="1:32">
      <c r="A456" s="85"/>
      <c r="B456" s="85"/>
      <c r="C456" s="85"/>
      <c r="D456" s="85"/>
      <c r="E456" s="85"/>
      <c r="F456" s="85"/>
      <c r="G456" s="85"/>
      <c r="H456" s="85"/>
      <c r="I456" s="85"/>
      <c r="J456" s="85"/>
      <c r="K456" s="85"/>
      <c r="L456" s="85"/>
      <c r="M456" s="85"/>
      <c r="N456" s="85"/>
      <c r="O456" s="215"/>
      <c r="P456" s="215"/>
      <c r="Q456" s="215"/>
      <c r="R456" s="215"/>
      <c r="S456" s="215"/>
      <c r="T456" s="215"/>
      <c r="U456" s="215"/>
      <c r="V456" s="215"/>
      <c r="W456" s="80"/>
      <c r="X456" s="80"/>
      <c r="Y456" s="80"/>
      <c r="Z456" s="80"/>
      <c r="AA456" s="80"/>
      <c r="AB456" s="80"/>
      <c r="AC456" s="80"/>
      <c r="AD456" s="80"/>
      <c r="AE456" s="80"/>
      <c r="AF456" s="80"/>
    </row>
    <row r="457" spans="1:32">
      <c r="A457" s="85"/>
      <c r="B457" s="85"/>
      <c r="C457" s="85"/>
      <c r="D457" s="85"/>
      <c r="E457" s="85"/>
      <c r="F457" s="85"/>
      <c r="G457" s="85"/>
      <c r="H457" s="85"/>
      <c r="I457" s="85"/>
      <c r="J457" s="85"/>
      <c r="K457" s="85"/>
      <c r="L457" s="85"/>
      <c r="M457" s="85"/>
      <c r="N457" s="85"/>
      <c r="O457" s="215"/>
      <c r="P457" s="215"/>
      <c r="Q457" s="215"/>
      <c r="R457" s="215"/>
      <c r="S457" s="215"/>
      <c r="T457" s="215"/>
      <c r="U457" s="215"/>
      <c r="V457" s="215"/>
      <c r="W457" s="80"/>
      <c r="X457" s="80"/>
      <c r="Y457" s="80"/>
      <c r="Z457" s="80"/>
      <c r="AA457" s="80"/>
      <c r="AB457" s="80"/>
      <c r="AC457" s="80"/>
      <c r="AD457" s="80"/>
      <c r="AE457" s="80"/>
      <c r="AF457" s="80"/>
    </row>
    <row r="458" spans="1:32">
      <c r="A458" s="85"/>
      <c r="B458" s="85"/>
      <c r="C458" s="85"/>
      <c r="D458" s="85"/>
      <c r="E458" s="85"/>
      <c r="F458" s="85"/>
      <c r="G458" s="85"/>
      <c r="H458" s="85"/>
      <c r="I458" s="85"/>
      <c r="J458" s="85"/>
      <c r="K458" s="85"/>
      <c r="L458" s="85"/>
      <c r="M458" s="85"/>
      <c r="N458" s="85"/>
      <c r="O458" s="215"/>
      <c r="P458" s="215"/>
      <c r="Q458" s="215"/>
      <c r="R458" s="215"/>
      <c r="S458" s="215"/>
      <c r="T458" s="215"/>
      <c r="U458" s="215"/>
      <c r="V458" s="215"/>
      <c r="W458" s="80"/>
      <c r="X458" s="80"/>
      <c r="Y458" s="80"/>
      <c r="Z458" s="80"/>
      <c r="AA458" s="80"/>
      <c r="AB458" s="80"/>
      <c r="AC458" s="80"/>
      <c r="AD458" s="80"/>
      <c r="AE458" s="80"/>
      <c r="AF458" s="80"/>
    </row>
    <row r="459" spans="1:32">
      <c r="A459" s="85"/>
      <c r="B459" s="85"/>
      <c r="C459" s="85"/>
      <c r="D459" s="85"/>
      <c r="E459" s="85"/>
      <c r="F459" s="85"/>
      <c r="G459" s="85"/>
      <c r="H459" s="85"/>
      <c r="I459" s="85"/>
      <c r="J459" s="85"/>
      <c r="K459" s="85"/>
      <c r="L459" s="85"/>
      <c r="M459" s="85"/>
      <c r="N459" s="85"/>
      <c r="O459" s="215"/>
      <c r="P459" s="215"/>
      <c r="Q459" s="215"/>
      <c r="R459" s="215"/>
      <c r="S459" s="215"/>
      <c r="T459" s="215"/>
      <c r="U459" s="215"/>
      <c r="V459" s="215"/>
      <c r="W459" s="80"/>
      <c r="X459" s="80"/>
      <c r="Y459" s="80"/>
      <c r="Z459" s="80"/>
      <c r="AA459" s="80"/>
      <c r="AB459" s="80"/>
      <c r="AC459" s="80"/>
      <c r="AD459" s="80"/>
      <c r="AE459" s="80"/>
      <c r="AF459" s="80"/>
    </row>
    <row r="460" spans="1:32">
      <c r="A460" s="85"/>
      <c r="B460" s="85"/>
      <c r="C460" s="85"/>
      <c r="D460" s="85"/>
      <c r="E460" s="85"/>
      <c r="F460" s="85"/>
      <c r="G460" s="85"/>
      <c r="H460" s="85"/>
      <c r="I460" s="85"/>
      <c r="J460" s="85"/>
      <c r="K460" s="85"/>
      <c r="L460" s="85"/>
      <c r="M460" s="85"/>
      <c r="N460" s="85"/>
      <c r="O460" s="215"/>
      <c r="P460" s="215"/>
      <c r="Q460" s="215"/>
      <c r="R460" s="215"/>
      <c r="S460" s="215"/>
      <c r="T460" s="215"/>
      <c r="U460" s="215"/>
      <c r="V460" s="215"/>
      <c r="W460" s="80"/>
      <c r="X460" s="80"/>
      <c r="Y460" s="80"/>
      <c r="Z460" s="80"/>
      <c r="AA460" s="80"/>
      <c r="AB460" s="80"/>
      <c r="AC460" s="80"/>
      <c r="AD460" s="80"/>
      <c r="AE460" s="80"/>
      <c r="AF460" s="80"/>
    </row>
    <row r="461" spans="1:32">
      <c r="A461" s="85"/>
      <c r="B461" s="85"/>
      <c r="C461" s="85"/>
      <c r="D461" s="85"/>
      <c r="E461" s="85"/>
      <c r="F461" s="85"/>
      <c r="G461" s="85"/>
      <c r="H461" s="85"/>
      <c r="I461" s="85"/>
      <c r="J461" s="85"/>
      <c r="K461" s="85"/>
      <c r="L461" s="85"/>
      <c r="M461" s="85"/>
      <c r="N461" s="85"/>
      <c r="O461" s="215"/>
      <c r="P461" s="215"/>
      <c r="Q461" s="215"/>
      <c r="R461" s="215"/>
      <c r="S461" s="215"/>
      <c r="T461" s="215"/>
      <c r="U461" s="215"/>
      <c r="V461" s="215"/>
      <c r="W461" s="80"/>
      <c r="X461" s="80"/>
      <c r="Y461" s="80"/>
      <c r="Z461" s="80"/>
      <c r="AA461" s="80"/>
      <c r="AB461" s="80"/>
      <c r="AC461" s="80"/>
      <c r="AD461" s="80"/>
      <c r="AE461" s="80"/>
      <c r="AF461" s="80"/>
    </row>
    <row r="462" spans="1:32">
      <c r="A462" s="85"/>
      <c r="B462" s="85"/>
      <c r="C462" s="85"/>
      <c r="D462" s="85"/>
      <c r="E462" s="85"/>
      <c r="F462" s="85"/>
      <c r="G462" s="85"/>
      <c r="H462" s="85"/>
      <c r="I462" s="85"/>
      <c r="J462" s="85"/>
      <c r="K462" s="85"/>
      <c r="L462" s="85"/>
      <c r="M462" s="85"/>
      <c r="N462" s="85"/>
      <c r="O462" s="215"/>
      <c r="P462" s="215"/>
      <c r="Q462" s="215"/>
      <c r="R462" s="215"/>
      <c r="S462" s="215"/>
      <c r="T462" s="215"/>
      <c r="U462" s="215"/>
      <c r="V462" s="215"/>
      <c r="W462" s="80"/>
      <c r="X462" s="80"/>
      <c r="Y462" s="80"/>
      <c r="Z462" s="80"/>
      <c r="AA462" s="80"/>
      <c r="AB462" s="80"/>
      <c r="AC462" s="80"/>
      <c r="AD462" s="80"/>
      <c r="AE462" s="80"/>
      <c r="AF462" s="80"/>
    </row>
    <row r="463" spans="1:32">
      <c r="A463" s="85"/>
      <c r="B463" s="85"/>
      <c r="C463" s="85"/>
      <c r="D463" s="85"/>
      <c r="E463" s="85"/>
      <c r="F463" s="85"/>
      <c r="G463" s="85"/>
      <c r="H463" s="85"/>
      <c r="I463" s="85"/>
      <c r="J463" s="85"/>
      <c r="K463" s="85"/>
      <c r="L463" s="85"/>
      <c r="M463" s="85"/>
      <c r="N463" s="85"/>
      <c r="O463" s="215"/>
      <c r="P463" s="215"/>
      <c r="Q463" s="215"/>
      <c r="R463" s="215"/>
      <c r="S463" s="215"/>
      <c r="T463" s="215"/>
      <c r="U463" s="215"/>
      <c r="V463" s="215"/>
      <c r="W463" s="80"/>
      <c r="X463" s="80"/>
      <c r="Y463" s="80"/>
      <c r="Z463" s="80"/>
      <c r="AA463" s="80"/>
      <c r="AB463" s="80"/>
      <c r="AC463" s="80"/>
      <c r="AD463" s="80"/>
      <c r="AE463" s="80"/>
      <c r="AF463" s="80"/>
    </row>
    <row r="464" spans="1:32">
      <c r="A464" s="85"/>
      <c r="B464" s="85"/>
      <c r="C464" s="85"/>
      <c r="D464" s="85"/>
      <c r="E464" s="85"/>
      <c r="F464" s="85"/>
      <c r="G464" s="85"/>
      <c r="H464" s="85"/>
      <c r="I464" s="85"/>
      <c r="J464" s="85"/>
      <c r="K464" s="85"/>
      <c r="L464" s="85"/>
      <c r="M464" s="85"/>
      <c r="N464" s="85"/>
      <c r="O464" s="215"/>
      <c r="P464" s="215"/>
      <c r="Q464" s="215"/>
      <c r="R464" s="215"/>
      <c r="S464" s="215"/>
      <c r="T464" s="215"/>
      <c r="U464" s="215"/>
      <c r="V464" s="215"/>
      <c r="W464" s="80"/>
      <c r="X464" s="80"/>
      <c r="Y464" s="80"/>
      <c r="Z464" s="80"/>
      <c r="AA464" s="80"/>
      <c r="AB464" s="80"/>
      <c r="AC464" s="80"/>
      <c r="AD464" s="80"/>
      <c r="AE464" s="80"/>
      <c r="AF464" s="80"/>
    </row>
    <row r="465" spans="1:32">
      <c r="A465" s="85"/>
      <c r="B465" s="85"/>
      <c r="C465" s="85"/>
      <c r="D465" s="85"/>
      <c r="E465" s="85"/>
      <c r="F465" s="85"/>
      <c r="G465" s="85"/>
      <c r="H465" s="85"/>
      <c r="I465" s="85"/>
      <c r="J465" s="85"/>
      <c r="K465" s="85"/>
      <c r="L465" s="85"/>
      <c r="M465" s="85"/>
      <c r="N465" s="85"/>
      <c r="O465" s="215"/>
      <c r="P465" s="215"/>
      <c r="Q465" s="215"/>
      <c r="R465" s="215"/>
      <c r="S465" s="215"/>
      <c r="T465" s="215"/>
      <c r="U465" s="215"/>
      <c r="V465" s="215"/>
      <c r="W465" s="80"/>
      <c r="X465" s="80"/>
      <c r="Y465" s="80"/>
      <c r="Z465" s="80"/>
      <c r="AA465" s="80"/>
      <c r="AB465" s="80"/>
      <c r="AC465" s="80"/>
      <c r="AD465" s="80"/>
      <c r="AE465" s="80"/>
      <c r="AF465" s="80"/>
    </row>
    <row r="466" spans="1:32">
      <c r="A466" s="85"/>
      <c r="B466" s="85"/>
      <c r="C466" s="85"/>
      <c r="D466" s="85"/>
      <c r="E466" s="85"/>
      <c r="F466" s="85"/>
      <c r="G466" s="85"/>
      <c r="H466" s="85"/>
      <c r="I466" s="85"/>
      <c r="J466" s="85"/>
      <c r="K466" s="85"/>
      <c r="L466" s="85"/>
      <c r="M466" s="85"/>
      <c r="N466" s="85"/>
      <c r="O466" s="215"/>
      <c r="P466" s="215"/>
      <c r="Q466" s="215"/>
      <c r="R466" s="215"/>
      <c r="S466" s="215"/>
      <c r="T466" s="215"/>
      <c r="U466" s="215"/>
      <c r="V466" s="215"/>
      <c r="W466" s="80"/>
      <c r="X466" s="80"/>
      <c r="Y466" s="80"/>
      <c r="Z466" s="80"/>
      <c r="AA466" s="80"/>
      <c r="AB466" s="80"/>
      <c r="AC466" s="80"/>
      <c r="AD466" s="80"/>
      <c r="AE466" s="80"/>
      <c r="AF466" s="80"/>
    </row>
    <row r="467" spans="1:32">
      <c r="A467" s="85"/>
      <c r="B467" s="85"/>
      <c r="C467" s="85"/>
      <c r="D467" s="85"/>
      <c r="E467" s="85"/>
      <c r="F467" s="85"/>
      <c r="G467" s="85"/>
      <c r="H467" s="85"/>
      <c r="I467" s="85"/>
      <c r="J467" s="85"/>
      <c r="K467" s="85"/>
      <c r="L467" s="85"/>
      <c r="M467" s="85"/>
      <c r="N467" s="85"/>
      <c r="O467" s="215"/>
      <c r="P467" s="215"/>
      <c r="Q467" s="215"/>
      <c r="R467" s="215"/>
      <c r="S467" s="215"/>
      <c r="T467" s="215"/>
      <c r="U467" s="215"/>
      <c r="V467" s="215"/>
      <c r="W467" s="80"/>
      <c r="X467" s="80"/>
      <c r="Y467" s="80"/>
      <c r="Z467" s="80"/>
      <c r="AA467" s="80"/>
      <c r="AB467" s="80"/>
      <c r="AC467" s="80"/>
      <c r="AD467" s="80"/>
      <c r="AE467" s="80"/>
      <c r="AF467" s="80"/>
    </row>
    <row r="468" spans="1:32">
      <c r="O468" s="215"/>
      <c r="P468" s="215"/>
      <c r="Q468" s="215"/>
      <c r="R468" s="215"/>
      <c r="S468" s="215"/>
      <c r="T468" s="215"/>
      <c r="U468" s="215"/>
      <c r="V468" s="215"/>
      <c r="W468" s="80"/>
      <c r="X468" s="80"/>
      <c r="Y468" s="80"/>
      <c r="Z468" s="80"/>
      <c r="AA468" s="80"/>
      <c r="AB468" s="80"/>
      <c r="AC468" s="80"/>
      <c r="AD468" s="80"/>
      <c r="AE468" s="80"/>
      <c r="AF468" s="80"/>
    </row>
    <row r="469" spans="1:32">
      <c r="A469" s="986" t="s">
        <v>171</v>
      </c>
      <c r="B469" s="986"/>
      <c r="C469" s="986"/>
      <c r="D469" s="986"/>
      <c r="E469" s="985" t="s">
        <v>172</v>
      </c>
      <c r="F469" s="985"/>
      <c r="G469" s="985"/>
      <c r="H469" s="985"/>
      <c r="I469" s="985"/>
      <c r="J469" s="985"/>
      <c r="K469" s="985"/>
      <c r="L469" s="985"/>
      <c r="M469" s="985"/>
      <c r="N469" s="985"/>
      <c r="O469" s="215"/>
      <c r="P469" s="215"/>
      <c r="Q469" s="215"/>
      <c r="R469" s="215"/>
      <c r="S469" s="215"/>
      <c r="T469" s="215"/>
      <c r="U469" s="215"/>
      <c r="V469" s="215"/>
      <c r="W469" s="80"/>
      <c r="X469" s="80"/>
      <c r="Y469" s="80"/>
      <c r="Z469" s="80"/>
      <c r="AA469" s="80"/>
      <c r="AB469" s="80"/>
      <c r="AC469" s="80"/>
      <c r="AD469" s="80"/>
      <c r="AE469" s="80"/>
      <c r="AF469" s="80"/>
    </row>
    <row r="470" spans="1:32">
      <c r="O470" s="215"/>
      <c r="P470" s="215"/>
      <c r="Q470" s="215"/>
      <c r="R470" s="215"/>
      <c r="S470" s="215"/>
      <c r="T470" s="215"/>
      <c r="U470" s="215"/>
      <c r="V470" s="215"/>
      <c r="W470" s="80"/>
      <c r="X470" s="80"/>
      <c r="Y470" s="80"/>
      <c r="Z470" s="80"/>
      <c r="AA470" s="80"/>
      <c r="AB470" s="80"/>
      <c r="AC470" s="80"/>
      <c r="AD470" s="80"/>
      <c r="AE470" s="80"/>
      <c r="AF470" s="80"/>
    </row>
    <row r="471" spans="1:32">
      <c r="A471" s="981" t="s">
        <v>173</v>
      </c>
      <c r="B471" s="981"/>
      <c r="C471" s="981"/>
      <c r="D471" s="981"/>
      <c r="E471" s="1026" t="s">
        <v>174</v>
      </c>
      <c r="F471" s="1026"/>
      <c r="G471" s="1026"/>
      <c r="H471" s="1026"/>
      <c r="I471" s="1026"/>
      <c r="J471" s="1026"/>
      <c r="K471" s="1026"/>
      <c r="L471" s="1026"/>
      <c r="M471" s="1026"/>
      <c r="N471" s="1026"/>
      <c r="O471" s="215"/>
      <c r="P471" s="215"/>
      <c r="Q471" s="215"/>
      <c r="R471" s="215"/>
      <c r="S471" s="215"/>
      <c r="T471" s="215"/>
      <c r="U471" s="215"/>
      <c r="V471" s="215"/>
      <c r="W471" s="80"/>
      <c r="X471" s="80"/>
      <c r="Y471" s="80"/>
      <c r="Z471" s="80"/>
      <c r="AA471" s="80"/>
      <c r="AB471" s="80"/>
      <c r="AC471" s="80"/>
      <c r="AD471" s="80"/>
      <c r="AE471" s="80"/>
      <c r="AF471" s="80"/>
    </row>
    <row r="472" spans="1:32">
      <c r="E472" s="1026"/>
      <c r="F472" s="1026"/>
      <c r="G472" s="1026"/>
      <c r="H472" s="1026"/>
      <c r="I472" s="1026"/>
      <c r="J472" s="1026"/>
      <c r="K472" s="1026"/>
      <c r="L472" s="1026"/>
      <c r="M472" s="1026"/>
      <c r="N472" s="1026"/>
      <c r="O472" s="215"/>
      <c r="P472" s="215"/>
      <c r="Q472" s="215"/>
      <c r="R472" s="215"/>
      <c r="S472" s="215"/>
      <c r="T472" s="215"/>
      <c r="U472" s="215"/>
      <c r="V472" s="215"/>
      <c r="W472" s="80"/>
      <c r="X472" s="80"/>
      <c r="Y472" s="80"/>
      <c r="Z472" s="80"/>
      <c r="AA472" s="80"/>
      <c r="AB472" s="80"/>
      <c r="AC472" s="80"/>
      <c r="AD472" s="80"/>
      <c r="AE472" s="80"/>
      <c r="AF472" s="80"/>
    </row>
    <row r="473" spans="1:32">
      <c r="O473" s="215"/>
      <c r="P473" s="215"/>
      <c r="Q473" s="215"/>
      <c r="R473" s="215"/>
      <c r="S473" s="215"/>
      <c r="T473" s="215"/>
      <c r="U473" s="215"/>
      <c r="V473" s="215"/>
      <c r="W473" s="80"/>
      <c r="X473" s="80"/>
      <c r="Y473" s="80"/>
      <c r="Z473" s="80"/>
      <c r="AA473" s="80"/>
      <c r="AB473" s="80"/>
      <c r="AC473" s="80"/>
      <c r="AD473" s="80"/>
      <c r="AE473" s="80"/>
      <c r="AF473" s="80"/>
    </row>
    <row r="474" spans="1:32">
      <c r="A474" s="996" t="s">
        <v>175</v>
      </c>
      <c r="B474" s="996"/>
      <c r="C474" s="996"/>
      <c r="D474" s="996"/>
      <c r="E474" s="997" t="s">
        <v>176</v>
      </c>
      <c r="F474" s="997"/>
      <c r="G474" s="997"/>
      <c r="H474" s="997"/>
      <c r="I474" s="997"/>
      <c r="J474" s="997"/>
      <c r="K474" s="997"/>
      <c r="L474" s="997"/>
      <c r="M474" s="997"/>
      <c r="N474" s="997"/>
      <c r="O474" s="215"/>
      <c r="P474" s="215"/>
      <c r="Q474" s="215"/>
      <c r="R474" s="215"/>
      <c r="S474" s="215"/>
      <c r="T474" s="215"/>
      <c r="U474" s="215"/>
      <c r="V474" s="215"/>
      <c r="W474" s="80"/>
      <c r="X474" s="80"/>
      <c r="Y474" s="80"/>
      <c r="Z474" s="80"/>
      <c r="AA474" s="80"/>
      <c r="AB474" s="80"/>
      <c r="AC474" s="80"/>
      <c r="AD474" s="80"/>
      <c r="AE474" s="80"/>
      <c r="AF474" s="80"/>
    </row>
    <row r="475" spans="1:32">
      <c r="O475" s="215"/>
      <c r="P475" s="215"/>
      <c r="Q475" s="215"/>
      <c r="R475" s="215"/>
      <c r="S475" s="215"/>
      <c r="T475" s="215"/>
      <c r="U475" s="215"/>
      <c r="V475" s="215"/>
      <c r="W475" s="80"/>
      <c r="X475" s="80"/>
      <c r="Y475" s="80"/>
      <c r="Z475" s="80"/>
      <c r="AA475" s="80"/>
      <c r="AB475" s="80"/>
      <c r="AC475" s="80"/>
      <c r="AD475" s="80"/>
      <c r="AE475" s="80"/>
      <c r="AF475" s="80"/>
    </row>
    <row r="476" spans="1:32">
      <c r="A476" s="995" t="s">
        <v>177</v>
      </c>
      <c r="B476" s="995"/>
      <c r="C476" s="995"/>
      <c r="D476" s="995"/>
      <c r="E476" s="992" t="s">
        <v>178</v>
      </c>
      <c r="F476" s="992"/>
      <c r="G476" s="992"/>
      <c r="H476" s="992"/>
      <c r="I476" s="992"/>
      <c r="J476" s="992"/>
      <c r="K476" s="992"/>
      <c r="L476" s="992"/>
      <c r="M476" s="992"/>
      <c r="N476" s="992"/>
      <c r="O476" s="215"/>
      <c r="P476" s="215"/>
      <c r="Q476" s="215"/>
      <c r="R476" s="215"/>
      <c r="S476" s="215"/>
      <c r="T476" s="215"/>
      <c r="U476" s="215"/>
      <c r="V476" s="215"/>
      <c r="W476" s="80"/>
      <c r="X476" s="80"/>
      <c r="Y476" s="80"/>
      <c r="Z476" s="80"/>
      <c r="AA476" s="80"/>
      <c r="AB476" s="80"/>
      <c r="AC476" s="80"/>
      <c r="AD476" s="80"/>
      <c r="AE476" s="80"/>
      <c r="AF476" s="80"/>
    </row>
    <row r="477" spans="1:32">
      <c r="E477" s="992"/>
      <c r="F477" s="992"/>
      <c r="G477" s="992"/>
      <c r="H477" s="992"/>
      <c r="I477" s="992"/>
      <c r="J477" s="992"/>
      <c r="K477" s="992"/>
      <c r="L477" s="992"/>
      <c r="M477" s="992"/>
      <c r="N477" s="992"/>
      <c r="O477" s="215"/>
      <c r="P477" s="215"/>
      <c r="Q477" s="215"/>
      <c r="R477" s="215"/>
      <c r="S477" s="215"/>
      <c r="T477" s="215"/>
      <c r="U477" s="215"/>
      <c r="V477" s="215"/>
      <c r="W477" s="80"/>
      <c r="X477" s="80"/>
      <c r="Y477" s="80"/>
      <c r="Z477" s="80"/>
      <c r="AA477" s="80"/>
      <c r="AB477" s="80"/>
      <c r="AC477" s="80"/>
      <c r="AD477" s="80"/>
      <c r="AE477" s="80"/>
      <c r="AF477" s="80"/>
    </row>
    <row r="478" spans="1:32">
      <c r="O478" s="215"/>
      <c r="P478" s="215"/>
      <c r="Q478" s="215"/>
      <c r="R478" s="215"/>
      <c r="S478" s="215"/>
      <c r="T478" s="215"/>
      <c r="U478" s="215"/>
      <c r="V478" s="215"/>
      <c r="W478" s="80"/>
      <c r="X478" s="80"/>
      <c r="Y478" s="80"/>
      <c r="Z478" s="80"/>
      <c r="AA478" s="80"/>
      <c r="AB478" s="80"/>
      <c r="AC478" s="80"/>
      <c r="AD478" s="80"/>
      <c r="AE478" s="80"/>
      <c r="AF478" s="80"/>
    </row>
    <row r="479" spans="1:32">
      <c r="A479" s="981" t="s">
        <v>179</v>
      </c>
      <c r="B479" s="981"/>
      <c r="C479" s="981"/>
      <c r="D479" s="981"/>
      <c r="E479" s="998" t="s">
        <v>180</v>
      </c>
      <c r="F479" s="998"/>
      <c r="G479" s="998"/>
      <c r="H479" s="998"/>
      <c r="I479" s="998"/>
      <c r="J479" s="998"/>
      <c r="K479" s="998"/>
      <c r="L479" s="998"/>
      <c r="M479" s="998"/>
      <c r="N479" s="998"/>
      <c r="O479" s="215"/>
      <c r="P479" s="215"/>
      <c r="Q479" s="215"/>
      <c r="R479" s="215"/>
      <c r="S479" s="215"/>
      <c r="T479" s="215"/>
      <c r="U479" s="215"/>
      <c r="V479" s="215"/>
      <c r="W479" s="80"/>
      <c r="X479" s="80"/>
      <c r="Y479" s="80"/>
      <c r="Z479" s="80"/>
      <c r="AA479" s="80"/>
      <c r="AB479" s="80"/>
      <c r="AC479" s="80"/>
      <c r="AD479" s="80"/>
      <c r="AE479" s="80"/>
      <c r="AF479" s="80"/>
    </row>
    <row r="480" spans="1:32">
      <c r="E480" s="998"/>
      <c r="F480" s="998"/>
      <c r="G480" s="998"/>
      <c r="H480" s="998"/>
      <c r="I480" s="998"/>
      <c r="J480" s="998"/>
      <c r="K480" s="998"/>
      <c r="L480" s="998"/>
      <c r="M480" s="998"/>
      <c r="N480" s="998"/>
      <c r="O480" s="215"/>
      <c r="P480" s="215"/>
      <c r="Q480" s="215"/>
      <c r="R480" s="215"/>
      <c r="S480" s="215"/>
      <c r="T480" s="215"/>
      <c r="U480" s="215"/>
      <c r="V480" s="215"/>
      <c r="W480" s="80"/>
      <c r="X480" s="80"/>
      <c r="Y480" s="80"/>
      <c r="Z480" s="80"/>
      <c r="AA480" s="80"/>
      <c r="AB480" s="80"/>
      <c r="AC480" s="80"/>
      <c r="AD480" s="80"/>
      <c r="AE480" s="80"/>
      <c r="AF480" s="80"/>
    </row>
    <row r="481" spans="1:32">
      <c r="O481" s="215"/>
      <c r="P481" s="215"/>
      <c r="Q481" s="215"/>
      <c r="R481" s="215"/>
      <c r="S481" s="215"/>
      <c r="T481" s="215"/>
      <c r="U481" s="215"/>
      <c r="V481" s="215"/>
      <c r="W481" s="80"/>
      <c r="X481" s="80"/>
      <c r="Y481" s="80"/>
      <c r="Z481" s="80"/>
      <c r="AA481" s="80"/>
      <c r="AB481" s="80"/>
      <c r="AC481" s="80"/>
      <c r="AD481" s="80"/>
      <c r="AE481" s="80"/>
      <c r="AF481" s="80"/>
    </row>
    <row r="482" spans="1:32">
      <c r="A482" s="981" t="s">
        <v>181</v>
      </c>
      <c r="B482" s="981"/>
      <c r="C482" s="981"/>
      <c r="D482" s="981"/>
      <c r="E482" s="992" t="s">
        <v>182</v>
      </c>
      <c r="F482" s="992"/>
      <c r="G482" s="992"/>
      <c r="H482" s="992"/>
      <c r="I482" s="992"/>
      <c r="J482" s="992"/>
      <c r="K482" s="992"/>
      <c r="L482" s="992"/>
      <c r="M482" s="992"/>
      <c r="N482" s="992"/>
      <c r="O482" s="215"/>
      <c r="P482" s="215"/>
      <c r="Q482" s="215"/>
      <c r="R482" s="215"/>
      <c r="S482" s="215"/>
      <c r="T482" s="215"/>
      <c r="U482" s="215"/>
      <c r="V482" s="215"/>
      <c r="W482" s="80"/>
      <c r="X482" s="80"/>
      <c r="Y482" s="80"/>
      <c r="Z482" s="80"/>
      <c r="AA482" s="80"/>
      <c r="AB482" s="80"/>
      <c r="AC482" s="80"/>
      <c r="AD482" s="80"/>
      <c r="AE482" s="80"/>
      <c r="AF482" s="80"/>
    </row>
    <row r="483" spans="1:32">
      <c r="E483" s="992"/>
      <c r="F483" s="992"/>
      <c r="G483" s="992"/>
      <c r="H483" s="992"/>
      <c r="I483" s="992"/>
      <c r="J483" s="992"/>
      <c r="K483" s="992"/>
      <c r="L483" s="992"/>
      <c r="M483" s="992"/>
      <c r="N483" s="992"/>
      <c r="O483" s="215"/>
      <c r="P483" s="215"/>
      <c r="Q483" s="215"/>
      <c r="R483" s="215"/>
      <c r="S483" s="215"/>
      <c r="T483" s="215"/>
      <c r="U483" s="215"/>
      <c r="V483" s="215"/>
      <c r="W483" s="80"/>
      <c r="X483" s="80"/>
      <c r="Y483" s="80"/>
      <c r="Z483" s="80"/>
      <c r="AA483" s="80"/>
      <c r="AB483" s="80"/>
      <c r="AC483" s="80"/>
      <c r="AD483" s="80"/>
      <c r="AE483" s="80"/>
      <c r="AF483" s="80"/>
    </row>
    <row r="484" spans="1:32">
      <c r="O484" s="215"/>
      <c r="P484" s="215"/>
      <c r="Q484" s="215"/>
      <c r="R484" s="215"/>
      <c r="S484" s="215"/>
      <c r="T484" s="215"/>
      <c r="U484" s="215"/>
      <c r="V484" s="215"/>
      <c r="W484" s="80"/>
      <c r="X484" s="80"/>
      <c r="Y484" s="80"/>
      <c r="Z484" s="80"/>
      <c r="AA484" s="80"/>
      <c r="AB484" s="80"/>
      <c r="AC484" s="80"/>
      <c r="AD484" s="80"/>
      <c r="AE484" s="80"/>
      <c r="AF484" s="80"/>
    </row>
    <row r="485" spans="1:32">
      <c r="A485" s="994" t="s">
        <v>20</v>
      </c>
      <c r="B485" s="994"/>
      <c r="C485" s="994"/>
      <c r="D485" s="994"/>
      <c r="O485" s="215"/>
      <c r="P485" s="215"/>
      <c r="Q485" s="215"/>
      <c r="R485" s="215"/>
      <c r="S485" s="215"/>
      <c r="T485" s="215"/>
      <c r="U485" s="215"/>
      <c r="V485" s="215"/>
      <c r="W485" s="80"/>
      <c r="X485" s="80"/>
      <c r="Y485" s="80"/>
      <c r="Z485" s="80"/>
      <c r="AA485" s="80"/>
      <c r="AB485" s="80"/>
      <c r="AC485" s="80"/>
      <c r="AD485" s="80"/>
      <c r="AE485" s="80"/>
      <c r="AF485" s="80"/>
    </row>
    <row r="486" spans="1:32">
      <c r="O486" s="215"/>
      <c r="P486" s="215"/>
      <c r="Q486" s="215"/>
      <c r="R486" s="215"/>
      <c r="S486" s="215"/>
      <c r="T486" s="215"/>
      <c r="U486" s="215"/>
      <c r="V486" s="215"/>
      <c r="W486" s="80"/>
      <c r="X486" s="80"/>
      <c r="Y486" s="80"/>
      <c r="Z486" s="80"/>
      <c r="AA486" s="80"/>
      <c r="AB486" s="80"/>
      <c r="AC486" s="80"/>
      <c r="AD486" s="80"/>
      <c r="AE486" s="80"/>
      <c r="AF486" s="80"/>
    </row>
    <row r="487" spans="1:32">
      <c r="A487" s="995" t="s">
        <v>183</v>
      </c>
      <c r="B487" s="995"/>
      <c r="C487" s="995"/>
      <c r="D487" s="995"/>
      <c r="E487" s="985" t="s">
        <v>184</v>
      </c>
      <c r="F487" s="985"/>
      <c r="G487" s="985"/>
      <c r="H487" s="985"/>
      <c r="I487" s="985"/>
      <c r="J487" s="985"/>
      <c r="K487" s="985"/>
      <c r="L487" s="985"/>
      <c r="M487" s="985"/>
      <c r="N487" s="985"/>
      <c r="O487" s="215"/>
      <c r="P487" s="215"/>
      <c r="Q487" s="215"/>
      <c r="R487" s="215"/>
      <c r="S487" s="215"/>
      <c r="T487" s="215"/>
      <c r="U487" s="215"/>
      <c r="V487" s="215"/>
      <c r="W487" s="80"/>
      <c r="X487" s="80"/>
      <c r="Y487" s="80"/>
      <c r="Z487" s="80"/>
      <c r="AA487" s="80"/>
      <c r="AB487" s="80"/>
      <c r="AC487" s="80"/>
      <c r="AD487" s="80"/>
      <c r="AE487" s="80"/>
      <c r="AF487" s="80"/>
    </row>
    <row r="488" spans="1:32">
      <c r="E488" s="985"/>
      <c r="F488" s="985"/>
      <c r="G488" s="985"/>
      <c r="H488" s="985"/>
      <c r="I488" s="985"/>
      <c r="J488" s="985"/>
      <c r="K488" s="985"/>
      <c r="L488" s="985"/>
      <c r="M488" s="985"/>
      <c r="N488" s="985"/>
      <c r="O488" s="215"/>
      <c r="P488" s="215"/>
      <c r="Q488" s="215"/>
      <c r="R488" s="215"/>
      <c r="S488" s="215"/>
      <c r="T488" s="215"/>
      <c r="U488" s="215"/>
      <c r="V488" s="215"/>
      <c r="W488" s="80"/>
      <c r="X488" s="80"/>
      <c r="Y488" s="80"/>
      <c r="Z488" s="80"/>
      <c r="AA488" s="80"/>
      <c r="AB488" s="80"/>
      <c r="AC488" s="80"/>
      <c r="AD488" s="80"/>
      <c r="AE488" s="80"/>
      <c r="AF488" s="80"/>
    </row>
    <row r="489" spans="1:32">
      <c r="E489" s="985"/>
      <c r="F489" s="985"/>
      <c r="G489" s="985"/>
      <c r="H489" s="985"/>
      <c r="I489" s="985"/>
      <c r="J489" s="985"/>
      <c r="K489" s="985"/>
      <c r="L489" s="985"/>
      <c r="M489" s="985"/>
      <c r="N489" s="985"/>
      <c r="O489" s="215"/>
      <c r="P489" s="215"/>
      <c r="Q489" s="215"/>
      <c r="R489" s="215"/>
      <c r="S489" s="215"/>
      <c r="T489" s="215"/>
      <c r="U489" s="215"/>
      <c r="V489" s="215"/>
      <c r="W489" s="80"/>
      <c r="X489" s="80"/>
      <c r="Y489" s="80"/>
      <c r="Z489" s="80"/>
      <c r="AA489" s="80"/>
      <c r="AB489" s="80"/>
      <c r="AC489" s="80"/>
      <c r="AD489" s="80"/>
      <c r="AE489" s="80"/>
      <c r="AF489" s="80"/>
    </row>
    <row r="490" spans="1:32">
      <c r="E490" s="985"/>
      <c r="F490" s="985"/>
      <c r="G490" s="985"/>
      <c r="H490" s="985"/>
      <c r="I490" s="985"/>
      <c r="J490" s="985"/>
      <c r="K490" s="985"/>
      <c r="L490" s="985"/>
      <c r="M490" s="985"/>
      <c r="N490" s="985"/>
      <c r="O490" s="215"/>
      <c r="P490" s="215"/>
      <c r="Q490" s="215"/>
      <c r="R490" s="215"/>
      <c r="S490" s="215"/>
      <c r="T490" s="215"/>
      <c r="U490" s="215"/>
      <c r="V490" s="215"/>
      <c r="W490" s="80"/>
      <c r="X490" s="80"/>
      <c r="Y490" s="80"/>
      <c r="Z490" s="80"/>
      <c r="AA490" s="80"/>
      <c r="AB490" s="80"/>
      <c r="AC490" s="80"/>
      <c r="AD490" s="80"/>
      <c r="AE490" s="80"/>
      <c r="AF490" s="80"/>
    </row>
    <row r="491" spans="1:32">
      <c r="E491" s="985"/>
      <c r="F491" s="985"/>
      <c r="G491" s="985"/>
      <c r="H491" s="985"/>
      <c r="I491" s="985"/>
      <c r="J491" s="985"/>
      <c r="K491" s="985"/>
      <c r="L491" s="985"/>
      <c r="M491" s="985"/>
      <c r="N491" s="985"/>
      <c r="O491" s="215"/>
      <c r="P491" s="215"/>
      <c r="Q491" s="215"/>
      <c r="R491" s="215"/>
      <c r="S491" s="215"/>
      <c r="T491" s="215"/>
      <c r="U491" s="215"/>
      <c r="V491" s="215"/>
      <c r="W491" s="80"/>
      <c r="X491" s="80"/>
      <c r="Y491" s="80"/>
      <c r="Z491" s="80"/>
      <c r="AA491" s="80"/>
      <c r="AB491" s="80"/>
      <c r="AC491" s="80"/>
      <c r="AD491" s="80"/>
      <c r="AE491" s="80"/>
      <c r="AF491" s="80"/>
    </row>
    <row r="492" spans="1:32">
      <c r="E492" s="985"/>
      <c r="F492" s="985"/>
      <c r="G492" s="985"/>
      <c r="H492" s="985"/>
      <c r="I492" s="985"/>
      <c r="J492" s="985"/>
      <c r="K492" s="985"/>
      <c r="L492" s="985"/>
      <c r="M492" s="985"/>
      <c r="N492" s="985"/>
      <c r="O492" s="215"/>
      <c r="P492" s="215"/>
      <c r="Q492" s="215"/>
      <c r="R492" s="215"/>
      <c r="S492" s="215"/>
      <c r="T492" s="215"/>
      <c r="U492" s="215"/>
      <c r="V492" s="215"/>
      <c r="W492" s="80"/>
      <c r="X492" s="80"/>
      <c r="Y492" s="80"/>
      <c r="Z492" s="80"/>
      <c r="AA492" s="80"/>
      <c r="AB492" s="80"/>
      <c r="AC492" s="80"/>
      <c r="AD492" s="80"/>
      <c r="AE492" s="80"/>
      <c r="AF492" s="80"/>
    </row>
    <row r="493" spans="1:32">
      <c r="O493" s="215"/>
      <c r="P493" s="215"/>
      <c r="Q493" s="215"/>
      <c r="R493" s="215"/>
      <c r="S493" s="215"/>
      <c r="T493" s="215"/>
      <c r="U493" s="215"/>
      <c r="V493" s="215"/>
      <c r="W493" s="80"/>
      <c r="X493" s="80"/>
      <c r="Y493" s="80"/>
      <c r="Z493" s="80"/>
      <c r="AA493" s="80"/>
      <c r="AB493" s="80"/>
      <c r="AC493" s="80"/>
      <c r="AD493" s="80"/>
      <c r="AE493" s="80"/>
      <c r="AF493" s="80"/>
    </row>
    <row r="494" spans="1:32">
      <c r="O494" s="215"/>
      <c r="P494" s="215"/>
      <c r="Q494" s="215"/>
      <c r="R494" s="215"/>
      <c r="S494" s="215"/>
      <c r="T494" s="215"/>
      <c r="U494" s="215"/>
      <c r="V494" s="215"/>
      <c r="W494" s="80"/>
      <c r="X494" s="80"/>
      <c r="Y494" s="80"/>
      <c r="Z494" s="80"/>
      <c r="AA494" s="80"/>
      <c r="AB494" s="80"/>
      <c r="AC494" s="80"/>
      <c r="AD494" s="80"/>
      <c r="AE494" s="80"/>
      <c r="AF494" s="80"/>
    </row>
    <row r="495" spans="1:32">
      <c r="A495" s="995" t="s">
        <v>185</v>
      </c>
      <c r="B495" s="995"/>
      <c r="C495" s="995"/>
      <c r="D495" s="995"/>
      <c r="E495" s="992" t="s">
        <v>186</v>
      </c>
      <c r="F495" s="992"/>
      <c r="G495" s="992"/>
      <c r="H495" s="992"/>
      <c r="I495" s="992"/>
      <c r="J495" s="992"/>
      <c r="K495" s="992"/>
      <c r="L495" s="992"/>
      <c r="M495" s="992"/>
      <c r="N495" s="992"/>
      <c r="O495" s="215"/>
      <c r="P495" s="215"/>
      <c r="Q495" s="215"/>
      <c r="R495" s="215"/>
      <c r="S495" s="215"/>
      <c r="T495" s="215"/>
      <c r="U495" s="215"/>
      <c r="V495" s="215"/>
      <c r="W495" s="80"/>
      <c r="X495" s="80"/>
      <c r="Y495" s="80"/>
      <c r="Z495" s="80"/>
      <c r="AA495" s="80"/>
      <c r="AB495" s="80"/>
      <c r="AC495" s="80"/>
      <c r="AD495" s="80"/>
      <c r="AE495" s="80"/>
      <c r="AF495" s="80"/>
    </row>
    <row r="496" spans="1:32">
      <c r="E496" s="992"/>
      <c r="F496" s="992"/>
      <c r="G496" s="992"/>
      <c r="H496" s="992"/>
      <c r="I496" s="992"/>
      <c r="J496" s="992"/>
      <c r="K496" s="992"/>
      <c r="L496" s="992"/>
      <c r="M496" s="992"/>
      <c r="N496" s="992"/>
      <c r="O496" s="215"/>
      <c r="P496" s="215"/>
      <c r="Q496" s="215"/>
      <c r="R496" s="215"/>
      <c r="S496" s="215"/>
      <c r="T496" s="215"/>
      <c r="U496" s="215"/>
      <c r="V496" s="215"/>
      <c r="W496" s="80"/>
      <c r="X496" s="80"/>
      <c r="Y496" s="80"/>
      <c r="Z496" s="80"/>
      <c r="AA496" s="80"/>
      <c r="AB496" s="80"/>
      <c r="AC496" s="80"/>
      <c r="AD496" s="80"/>
      <c r="AE496" s="80"/>
      <c r="AF496" s="80"/>
    </row>
    <row r="497" spans="1:32">
      <c r="E497" s="992"/>
      <c r="F497" s="992"/>
      <c r="G497" s="992"/>
      <c r="H497" s="992"/>
      <c r="I497" s="992"/>
      <c r="J497" s="992"/>
      <c r="K497" s="992"/>
      <c r="L497" s="992"/>
      <c r="M497" s="992"/>
      <c r="N497" s="992"/>
      <c r="O497" s="215"/>
      <c r="P497" s="215"/>
      <c r="Q497" s="215"/>
      <c r="R497" s="215"/>
      <c r="S497" s="215"/>
      <c r="T497" s="215"/>
      <c r="U497" s="215"/>
      <c r="V497" s="215"/>
      <c r="W497" s="80"/>
      <c r="X497" s="80"/>
      <c r="Y497" s="80"/>
      <c r="Z497" s="80"/>
      <c r="AA497" s="80"/>
      <c r="AB497" s="80"/>
      <c r="AC497" s="80"/>
      <c r="AD497" s="80"/>
      <c r="AE497" s="80"/>
      <c r="AF497" s="80"/>
    </row>
    <row r="498" spans="1:32">
      <c r="E498" s="992"/>
      <c r="F498" s="992"/>
      <c r="G498" s="992"/>
      <c r="H498" s="992"/>
      <c r="I498" s="992"/>
      <c r="J498" s="992"/>
      <c r="K498" s="992"/>
      <c r="L498" s="992"/>
      <c r="M498" s="992"/>
      <c r="N498" s="992"/>
      <c r="O498" s="215"/>
      <c r="P498" s="215"/>
      <c r="Q498" s="215"/>
      <c r="R498" s="215"/>
      <c r="S498" s="215"/>
      <c r="T498" s="215"/>
      <c r="U498" s="215"/>
      <c r="V498" s="215"/>
      <c r="W498" s="80"/>
      <c r="X498" s="80"/>
      <c r="Y498" s="80"/>
      <c r="Z498" s="80"/>
      <c r="AA498" s="80"/>
      <c r="AB498" s="80"/>
      <c r="AC498" s="80"/>
      <c r="AD498" s="80"/>
      <c r="AE498" s="80"/>
      <c r="AF498" s="80"/>
    </row>
    <row r="499" spans="1:32">
      <c r="E499" s="992"/>
      <c r="F499" s="992"/>
      <c r="G499" s="992"/>
      <c r="H499" s="992"/>
      <c r="I499" s="992"/>
      <c r="J499" s="992"/>
      <c r="K499" s="992"/>
      <c r="L499" s="992"/>
      <c r="M499" s="992"/>
      <c r="N499" s="992"/>
      <c r="O499" s="215"/>
      <c r="P499" s="215"/>
      <c r="Q499" s="215"/>
      <c r="R499" s="215"/>
      <c r="S499" s="215"/>
      <c r="T499" s="215"/>
      <c r="U499" s="215"/>
      <c r="V499" s="215"/>
      <c r="W499" s="80"/>
      <c r="X499" s="80"/>
      <c r="Y499" s="80"/>
      <c r="Z499" s="80"/>
      <c r="AA499" s="80"/>
      <c r="AB499" s="80"/>
      <c r="AC499" s="80"/>
      <c r="AD499" s="80"/>
      <c r="AE499" s="80"/>
      <c r="AF499" s="80"/>
    </row>
    <row r="500" spans="1:32">
      <c r="E500" s="992"/>
      <c r="F500" s="992"/>
      <c r="G500" s="992"/>
      <c r="H500" s="992"/>
      <c r="I500" s="992"/>
      <c r="J500" s="992"/>
      <c r="K500" s="992"/>
      <c r="L500" s="992"/>
      <c r="M500" s="992"/>
      <c r="N500" s="992"/>
      <c r="O500" s="215"/>
      <c r="P500" s="215"/>
      <c r="Q500" s="215"/>
      <c r="R500" s="215"/>
      <c r="S500" s="215"/>
      <c r="T500" s="215"/>
      <c r="U500" s="215"/>
      <c r="V500" s="215"/>
      <c r="W500" s="80"/>
      <c r="X500" s="80"/>
      <c r="Y500" s="80"/>
      <c r="Z500" s="80"/>
      <c r="AA500" s="80"/>
      <c r="AB500" s="80"/>
      <c r="AC500" s="80"/>
      <c r="AD500" s="80"/>
      <c r="AE500" s="80"/>
      <c r="AF500" s="80"/>
    </row>
    <row r="501" spans="1:32">
      <c r="E501" s="992"/>
      <c r="F501" s="992"/>
      <c r="G501" s="992"/>
      <c r="H501" s="992"/>
      <c r="I501" s="992"/>
      <c r="J501" s="992"/>
      <c r="K501" s="992"/>
      <c r="L501" s="992"/>
      <c r="M501" s="992"/>
      <c r="N501" s="992"/>
      <c r="O501" s="215"/>
      <c r="P501" s="215"/>
      <c r="Q501" s="215"/>
      <c r="R501" s="215"/>
      <c r="S501" s="215"/>
      <c r="T501" s="215"/>
      <c r="U501" s="215"/>
      <c r="V501" s="215"/>
      <c r="W501" s="80"/>
      <c r="X501" s="80"/>
      <c r="Y501" s="80"/>
      <c r="Z501" s="80"/>
      <c r="AA501" s="80"/>
      <c r="AB501" s="80"/>
      <c r="AC501" s="80"/>
      <c r="AD501" s="80"/>
      <c r="AE501" s="80"/>
      <c r="AF501" s="80"/>
    </row>
    <row r="502" spans="1:32">
      <c r="E502" s="992"/>
      <c r="F502" s="992"/>
      <c r="G502" s="992"/>
      <c r="H502" s="992"/>
      <c r="I502" s="992"/>
      <c r="J502" s="992"/>
      <c r="K502" s="992"/>
      <c r="L502" s="992"/>
      <c r="M502" s="992"/>
      <c r="N502" s="992"/>
      <c r="O502" s="215"/>
      <c r="P502" s="215"/>
      <c r="Q502" s="215"/>
      <c r="R502" s="215"/>
      <c r="S502" s="215"/>
      <c r="T502" s="215"/>
      <c r="U502" s="215"/>
      <c r="V502" s="215"/>
      <c r="W502" s="80"/>
      <c r="X502" s="80"/>
      <c r="Y502" s="80"/>
      <c r="Z502" s="80"/>
      <c r="AA502" s="80"/>
      <c r="AB502" s="80"/>
      <c r="AC502" s="80"/>
      <c r="AD502" s="80"/>
      <c r="AE502" s="80"/>
      <c r="AF502" s="80"/>
    </row>
    <row r="503" spans="1:32" ht="15.75" thickBot="1">
      <c r="O503" s="215"/>
      <c r="P503" s="215"/>
      <c r="Q503" s="215"/>
      <c r="R503" s="215"/>
      <c r="S503" s="215"/>
      <c r="T503" s="215"/>
      <c r="U503" s="215"/>
      <c r="V503" s="215"/>
      <c r="W503" s="80"/>
      <c r="X503" s="80"/>
      <c r="Y503" s="80"/>
      <c r="Z503" s="80"/>
      <c r="AA503" s="80"/>
      <c r="AB503" s="80"/>
      <c r="AC503" s="80"/>
      <c r="AD503" s="80"/>
      <c r="AE503" s="80"/>
      <c r="AF503" s="80"/>
    </row>
    <row r="504" spans="1:32" ht="15.75" thickBot="1">
      <c r="A504" s="986" t="s">
        <v>187</v>
      </c>
      <c r="B504" s="986"/>
      <c r="C504" s="986"/>
      <c r="D504" s="986"/>
      <c r="E504" s="990" t="s">
        <v>188</v>
      </c>
      <c r="F504" s="990"/>
      <c r="G504" s="990"/>
      <c r="H504" s="990"/>
      <c r="I504" s="990"/>
      <c r="J504" s="990"/>
      <c r="K504" s="990"/>
      <c r="L504" s="990"/>
      <c r="M504" s="990"/>
      <c r="N504" s="990"/>
      <c r="O504" s="215"/>
      <c r="P504" s="215"/>
      <c r="Q504" s="215"/>
      <c r="R504" s="215"/>
      <c r="S504" s="215"/>
      <c r="T504" s="215"/>
      <c r="U504" s="215"/>
      <c r="V504" s="215"/>
      <c r="W504" s="80"/>
      <c r="X504" s="80"/>
      <c r="Y504" s="80"/>
      <c r="Z504" s="80"/>
      <c r="AA504" s="80"/>
      <c r="AB504" s="80"/>
      <c r="AC504" s="80"/>
      <c r="AD504" s="80"/>
      <c r="AE504" s="80"/>
      <c r="AF504" s="80"/>
    </row>
    <row r="505" spans="1:32" ht="15.75" thickBot="1">
      <c r="E505" s="990"/>
      <c r="F505" s="990"/>
      <c r="G505" s="990"/>
      <c r="H505" s="990"/>
      <c r="I505" s="990"/>
      <c r="J505" s="990"/>
      <c r="K505" s="990"/>
      <c r="L505" s="990"/>
      <c r="M505" s="990"/>
      <c r="N505" s="990"/>
      <c r="O505" s="215"/>
      <c r="P505" s="215"/>
      <c r="Q505" s="215"/>
      <c r="R505" s="215"/>
      <c r="S505" s="215"/>
      <c r="T505" s="215"/>
      <c r="U505" s="215"/>
      <c r="V505" s="215"/>
      <c r="W505" s="80"/>
      <c r="X505" s="80"/>
      <c r="Y505" s="80"/>
      <c r="Z505" s="80"/>
      <c r="AA505" s="80"/>
      <c r="AB505" s="80"/>
      <c r="AC505" s="80"/>
      <c r="AD505" s="80"/>
      <c r="AE505" s="80"/>
      <c r="AF505" s="80"/>
    </row>
    <row r="506" spans="1:32" ht="15.75" thickBot="1">
      <c r="E506" s="990"/>
      <c r="F506" s="990"/>
      <c r="G506" s="990"/>
      <c r="H506" s="990"/>
      <c r="I506" s="990"/>
      <c r="J506" s="990"/>
      <c r="K506" s="990"/>
      <c r="L506" s="990"/>
      <c r="M506" s="990"/>
      <c r="N506" s="990"/>
      <c r="O506" s="215"/>
      <c r="P506" s="215"/>
      <c r="Q506" s="215"/>
      <c r="R506" s="215"/>
      <c r="S506" s="215"/>
      <c r="T506" s="215"/>
      <c r="U506" s="215"/>
      <c r="V506" s="215"/>
      <c r="W506" s="80"/>
      <c r="X506" s="80"/>
      <c r="Y506" s="80"/>
      <c r="Z506" s="80"/>
      <c r="AA506" s="80"/>
      <c r="AB506" s="80"/>
      <c r="AC506" s="80"/>
      <c r="AD506" s="80"/>
      <c r="AE506" s="80"/>
      <c r="AF506" s="80"/>
    </row>
    <row r="507" spans="1:32">
      <c r="E507" s="990"/>
      <c r="F507" s="990"/>
      <c r="G507" s="990"/>
      <c r="H507" s="990"/>
      <c r="I507" s="990"/>
      <c r="J507" s="990"/>
      <c r="K507" s="990"/>
      <c r="L507" s="990"/>
      <c r="M507" s="990"/>
      <c r="N507" s="990"/>
      <c r="O507" s="215"/>
      <c r="P507" s="215"/>
      <c r="Q507" s="215"/>
      <c r="R507" s="215"/>
      <c r="S507" s="215"/>
      <c r="T507" s="215"/>
      <c r="U507" s="215"/>
      <c r="V507" s="215"/>
      <c r="W507" s="80"/>
      <c r="X507" s="80"/>
      <c r="Y507" s="80"/>
      <c r="Z507" s="80"/>
      <c r="AA507" s="80"/>
      <c r="AB507" s="80"/>
      <c r="AC507" s="80"/>
      <c r="AD507" s="80"/>
      <c r="AE507" s="80"/>
      <c r="AF507" s="80"/>
    </row>
    <row r="508" spans="1:32">
      <c r="E508" s="32"/>
      <c r="F508" s="32"/>
      <c r="G508" s="32"/>
      <c r="H508" s="32"/>
      <c r="I508" s="32"/>
      <c r="J508" s="32"/>
      <c r="K508" s="32"/>
      <c r="L508" s="32"/>
      <c r="M508" s="32"/>
      <c r="N508" s="32"/>
      <c r="O508" s="215"/>
      <c r="P508" s="215"/>
      <c r="Q508" s="215"/>
      <c r="R508" s="215"/>
      <c r="S508" s="215"/>
      <c r="T508" s="215"/>
      <c r="U508" s="215"/>
      <c r="V508" s="215"/>
      <c r="W508" s="80"/>
      <c r="X508" s="80"/>
      <c r="Y508" s="80"/>
      <c r="Z508" s="80"/>
      <c r="AA508" s="80"/>
      <c r="AB508" s="80"/>
      <c r="AC508" s="80"/>
      <c r="AD508" s="80"/>
      <c r="AE508" s="80"/>
      <c r="AF508" s="80"/>
    </row>
    <row r="509" spans="1:32">
      <c r="A509" s="991" t="s">
        <v>189</v>
      </c>
      <c r="B509" s="991"/>
      <c r="C509" s="991"/>
      <c r="D509" s="991"/>
      <c r="E509" s="992" t="s">
        <v>190</v>
      </c>
      <c r="F509" s="992"/>
      <c r="G509" s="992"/>
      <c r="H509" s="992"/>
      <c r="I509" s="992"/>
      <c r="J509" s="992"/>
      <c r="K509" s="992"/>
      <c r="L509" s="992"/>
      <c r="M509" s="992"/>
      <c r="N509" s="992"/>
      <c r="O509" s="215"/>
      <c r="P509" s="215"/>
      <c r="Q509" s="215"/>
      <c r="R509" s="215"/>
      <c r="S509" s="215"/>
      <c r="T509" s="215"/>
      <c r="U509" s="215"/>
      <c r="V509" s="215"/>
      <c r="W509" s="80"/>
      <c r="X509" s="80"/>
      <c r="Y509" s="80"/>
      <c r="Z509" s="80"/>
      <c r="AA509" s="80"/>
      <c r="AB509" s="80"/>
      <c r="AC509" s="80"/>
      <c r="AD509" s="80"/>
      <c r="AE509" s="80"/>
      <c r="AF509" s="80"/>
    </row>
    <row r="510" spans="1:32">
      <c r="A510" s="33"/>
      <c r="B510" s="33"/>
      <c r="C510" s="33"/>
      <c r="D510" s="33"/>
      <c r="E510" s="992"/>
      <c r="F510" s="992"/>
      <c r="G510" s="992"/>
      <c r="H510" s="992"/>
      <c r="I510" s="992"/>
      <c r="J510" s="992"/>
      <c r="K510" s="992"/>
      <c r="L510" s="992"/>
      <c r="M510" s="992"/>
      <c r="N510" s="992"/>
      <c r="O510" s="215"/>
      <c r="P510" s="215"/>
      <c r="Q510" s="215"/>
      <c r="R510" s="215"/>
      <c r="S510" s="215"/>
      <c r="T510" s="215"/>
      <c r="U510" s="215"/>
      <c r="V510" s="215"/>
      <c r="W510" s="80"/>
      <c r="X510" s="80"/>
      <c r="Y510" s="80"/>
      <c r="Z510" s="80"/>
      <c r="AA510" s="80"/>
      <c r="AB510" s="80"/>
      <c r="AC510" s="80"/>
      <c r="AD510" s="80"/>
      <c r="AE510" s="80"/>
      <c r="AF510" s="80"/>
    </row>
    <row r="511" spans="1:32">
      <c r="E511" s="992"/>
      <c r="F511" s="992"/>
      <c r="G511" s="992"/>
      <c r="H511" s="992"/>
      <c r="I511" s="992"/>
      <c r="J511" s="992"/>
      <c r="K511" s="992"/>
      <c r="L511" s="992"/>
      <c r="M511" s="992"/>
      <c r="N511" s="992"/>
      <c r="O511" s="215"/>
      <c r="P511" s="215"/>
      <c r="Q511" s="215"/>
      <c r="R511" s="215"/>
      <c r="S511" s="215"/>
      <c r="T511" s="215"/>
      <c r="U511" s="215"/>
      <c r="V511" s="215"/>
      <c r="W511" s="80"/>
      <c r="X511" s="80"/>
      <c r="Y511" s="80"/>
      <c r="Z511" s="80"/>
      <c r="AA511" s="80"/>
      <c r="AB511" s="80"/>
      <c r="AC511" s="80"/>
      <c r="AD511" s="80"/>
      <c r="AE511" s="80"/>
      <c r="AF511" s="80"/>
    </row>
    <row r="512" spans="1:32">
      <c r="E512" s="992"/>
      <c r="F512" s="992"/>
      <c r="G512" s="992"/>
      <c r="H512" s="992"/>
      <c r="I512" s="992"/>
      <c r="J512" s="992"/>
      <c r="K512" s="992"/>
      <c r="L512" s="992"/>
      <c r="M512" s="992"/>
      <c r="N512" s="992"/>
      <c r="O512" s="215"/>
      <c r="P512" s="215"/>
      <c r="Q512" s="215"/>
      <c r="R512" s="215"/>
      <c r="S512" s="215"/>
      <c r="T512" s="215"/>
      <c r="U512" s="215"/>
      <c r="V512" s="215"/>
      <c r="W512" s="80"/>
      <c r="X512" s="80"/>
      <c r="Y512" s="80"/>
      <c r="Z512" s="80"/>
      <c r="AA512" s="80"/>
      <c r="AB512" s="80"/>
      <c r="AC512" s="80"/>
      <c r="AD512" s="80"/>
      <c r="AE512" s="80"/>
      <c r="AF512" s="80"/>
    </row>
    <row r="513" spans="1:32" ht="15.75" thickBot="1">
      <c r="O513" s="215"/>
      <c r="P513" s="215"/>
      <c r="Q513" s="215"/>
      <c r="R513" s="215"/>
      <c r="S513" s="215"/>
      <c r="T513" s="215"/>
      <c r="U513" s="215"/>
      <c r="V513" s="215"/>
      <c r="W513" s="80"/>
      <c r="X513" s="80"/>
      <c r="Y513" s="80"/>
      <c r="Z513" s="80"/>
      <c r="AA513" s="80"/>
      <c r="AB513" s="80"/>
      <c r="AC513" s="80"/>
      <c r="AD513" s="80"/>
      <c r="AE513" s="80"/>
      <c r="AF513" s="80"/>
    </row>
    <row r="514" spans="1:32" ht="15.75" thickBot="1">
      <c r="A514" s="986" t="s">
        <v>191</v>
      </c>
      <c r="B514" s="986"/>
      <c r="C514" s="986"/>
      <c r="D514" s="986"/>
      <c r="E514" s="993" t="s">
        <v>192</v>
      </c>
      <c r="F514" s="993"/>
      <c r="G514" s="993"/>
      <c r="H514" s="993"/>
      <c r="I514" s="993"/>
      <c r="J514" s="993"/>
      <c r="K514" s="993"/>
      <c r="L514" s="993"/>
      <c r="M514" s="993"/>
      <c r="N514" s="993"/>
      <c r="O514" s="215"/>
      <c r="P514" s="215"/>
      <c r="Q514" s="215"/>
      <c r="R514" s="215"/>
      <c r="S514" s="215"/>
      <c r="T514" s="215"/>
      <c r="U514" s="215"/>
      <c r="V514" s="215"/>
      <c r="W514" s="80"/>
      <c r="X514" s="80"/>
      <c r="Y514" s="80"/>
      <c r="Z514" s="80"/>
      <c r="AA514" s="80"/>
      <c r="AB514" s="80"/>
      <c r="AC514" s="80"/>
      <c r="AD514" s="80"/>
      <c r="AE514" s="80"/>
      <c r="AF514" s="80"/>
    </row>
    <row r="515" spans="1:32">
      <c r="O515" s="215"/>
      <c r="P515" s="215"/>
      <c r="Q515" s="215"/>
      <c r="R515" s="215"/>
      <c r="S515" s="215"/>
      <c r="T515" s="215"/>
      <c r="U515" s="215"/>
      <c r="V515" s="215"/>
      <c r="W515" s="80"/>
      <c r="X515" s="80"/>
      <c r="Y515" s="80"/>
      <c r="Z515" s="80"/>
      <c r="AA515" s="80"/>
      <c r="AB515" s="80"/>
      <c r="AC515" s="80"/>
      <c r="AD515" s="80"/>
      <c r="AE515" s="80"/>
      <c r="AF515" s="80"/>
    </row>
    <row r="516" spans="1:32">
      <c r="A516" s="981" t="s">
        <v>193</v>
      </c>
      <c r="B516" s="981"/>
      <c r="C516" s="981"/>
      <c r="D516" s="981"/>
      <c r="E516" s="985" t="s">
        <v>194</v>
      </c>
      <c r="F516" s="985"/>
      <c r="G516" s="985"/>
      <c r="H516" s="985"/>
      <c r="I516" s="985"/>
      <c r="J516" s="985"/>
      <c r="K516" s="985"/>
      <c r="L516" s="985"/>
      <c r="M516" s="985"/>
      <c r="N516" s="985"/>
      <c r="O516" s="215"/>
      <c r="P516" s="215"/>
      <c r="Q516" s="215"/>
      <c r="R516" s="215"/>
      <c r="S516" s="215"/>
      <c r="T516" s="215"/>
      <c r="U516" s="215"/>
      <c r="V516" s="215"/>
      <c r="W516" s="80"/>
      <c r="X516" s="80"/>
      <c r="Y516" s="80"/>
      <c r="Z516" s="80"/>
      <c r="AA516" s="80"/>
      <c r="AB516" s="80"/>
      <c r="AC516" s="80"/>
      <c r="AD516" s="80"/>
      <c r="AE516" s="80"/>
      <c r="AF516" s="80"/>
    </row>
    <row r="517" spans="1:32">
      <c r="E517" s="985"/>
      <c r="F517" s="985"/>
      <c r="G517" s="985"/>
      <c r="H517" s="985"/>
      <c r="I517" s="985"/>
      <c r="J517" s="985"/>
      <c r="K517" s="985"/>
      <c r="L517" s="985"/>
      <c r="M517" s="985"/>
      <c r="N517" s="985"/>
      <c r="O517" s="215"/>
      <c r="P517" s="215"/>
      <c r="Q517" s="215"/>
      <c r="R517" s="215"/>
      <c r="S517" s="215"/>
      <c r="T517" s="215"/>
      <c r="U517" s="215"/>
      <c r="V517" s="215"/>
      <c r="W517" s="80"/>
      <c r="X517" s="80"/>
      <c r="Y517" s="80"/>
      <c r="Z517" s="80"/>
      <c r="AA517" s="80"/>
      <c r="AB517" s="80"/>
      <c r="AC517" s="80"/>
      <c r="AD517" s="80"/>
      <c r="AE517" s="80"/>
      <c r="AF517" s="80"/>
    </row>
    <row r="518" spans="1:32">
      <c r="E518" s="985"/>
      <c r="F518" s="985"/>
      <c r="G518" s="985"/>
      <c r="H518" s="985"/>
      <c r="I518" s="985"/>
      <c r="J518" s="985"/>
      <c r="K518" s="985"/>
      <c r="L518" s="985"/>
      <c r="M518" s="985"/>
      <c r="N518" s="985"/>
      <c r="O518" s="215"/>
      <c r="P518" s="215"/>
      <c r="Q518" s="215"/>
      <c r="R518" s="215"/>
      <c r="S518" s="215"/>
      <c r="T518" s="215"/>
      <c r="U518" s="215"/>
      <c r="V518" s="215"/>
      <c r="W518" s="80"/>
      <c r="X518" s="80"/>
      <c r="Y518" s="80"/>
      <c r="Z518" s="80"/>
      <c r="AA518" s="80"/>
      <c r="AB518" s="80"/>
      <c r="AC518" s="80"/>
      <c r="AD518" s="80"/>
      <c r="AE518" s="80"/>
      <c r="AF518" s="80"/>
    </row>
    <row r="519" spans="1:32">
      <c r="E519" s="985"/>
      <c r="F519" s="985"/>
      <c r="G519" s="985"/>
      <c r="H519" s="985"/>
      <c r="I519" s="985"/>
      <c r="J519" s="985"/>
      <c r="K519" s="985"/>
      <c r="L519" s="985"/>
      <c r="M519" s="985"/>
      <c r="N519" s="985"/>
      <c r="O519" s="215"/>
      <c r="P519" s="215"/>
      <c r="Q519" s="215"/>
      <c r="R519" s="215"/>
      <c r="S519" s="215"/>
      <c r="T519" s="215"/>
      <c r="U519" s="215"/>
      <c r="V519" s="215"/>
      <c r="W519" s="80"/>
      <c r="X519" s="80"/>
      <c r="Y519" s="80"/>
      <c r="Z519" s="80"/>
      <c r="AA519" s="80"/>
      <c r="AB519" s="80"/>
      <c r="AC519" s="80"/>
      <c r="AD519" s="80"/>
      <c r="AE519" s="80"/>
      <c r="AF519" s="80"/>
    </row>
    <row r="520" spans="1:32">
      <c r="E520" s="985"/>
      <c r="F520" s="985"/>
      <c r="G520" s="985"/>
      <c r="H520" s="985"/>
      <c r="I520" s="985"/>
      <c r="J520" s="985"/>
      <c r="K520" s="985"/>
      <c r="L520" s="985"/>
      <c r="M520" s="985"/>
      <c r="N520" s="985"/>
      <c r="O520" s="215"/>
      <c r="P520" s="215"/>
      <c r="Q520" s="215"/>
      <c r="R520" s="215"/>
      <c r="S520" s="215"/>
      <c r="T520" s="215"/>
      <c r="U520" s="215"/>
      <c r="V520" s="215"/>
      <c r="W520" s="80"/>
      <c r="X520" s="80"/>
      <c r="Y520" s="80"/>
      <c r="Z520" s="80"/>
      <c r="AA520" s="80"/>
      <c r="AB520" s="80"/>
      <c r="AC520" s="80"/>
      <c r="AD520" s="80"/>
      <c r="AE520" s="80"/>
      <c r="AF520" s="80"/>
    </row>
    <row r="521" spans="1:32">
      <c r="E521" s="985"/>
      <c r="F521" s="985"/>
      <c r="G521" s="985"/>
      <c r="H521" s="985"/>
      <c r="I521" s="985"/>
      <c r="J521" s="985"/>
      <c r="K521" s="985"/>
      <c r="L521" s="985"/>
      <c r="M521" s="985"/>
      <c r="N521" s="985"/>
      <c r="O521" s="215"/>
      <c r="P521" s="215"/>
      <c r="Q521" s="215"/>
      <c r="R521" s="215"/>
      <c r="S521" s="215"/>
      <c r="T521" s="215"/>
      <c r="U521" s="215"/>
      <c r="V521" s="215"/>
      <c r="W521" s="80"/>
      <c r="X521" s="80"/>
      <c r="Y521" s="80"/>
      <c r="Z521" s="80"/>
      <c r="AA521" s="80"/>
      <c r="AB521" s="80"/>
      <c r="AC521" s="80"/>
      <c r="AD521" s="80"/>
      <c r="AE521" s="80"/>
      <c r="AF521" s="80"/>
    </row>
    <row r="522" spans="1:32">
      <c r="E522" s="985"/>
      <c r="F522" s="985"/>
      <c r="G522" s="985"/>
      <c r="H522" s="985"/>
      <c r="I522" s="985"/>
      <c r="J522" s="985"/>
      <c r="K522" s="985"/>
      <c r="L522" s="985"/>
      <c r="M522" s="985"/>
      <c r="N522" s="985"/>
      <c r="O522" s="215"/>
      <c r="P522" s="215"/>
      <c r="Q522" s="215"/>
      <c r="R522" s="215"/>
      <c r="S522" s="215"/>
      <c r="T522" s="215"/>
      <c r="U522" s="215"/>
      <c r="V522" s="215"/>
      <c r="W522" s="80"/>
      <c r="X522" s="80"/>
      <c r="Y522" s="80"/>
      <c r="Z522" s="80"/>
      <c r="AA522" s="80"/>
      <c r="AB522" s="80"/>
      <c r="AC522" s="80"/>
      <c r="AD522" s="80"/>
      <c r="AE522" s="80"/>
      <c r="AF522" s="80"/>
    </row>
    <row r="523" spans="1:32">
      <c r="C523" s="4"/>
      <c r="E523" s="985"/>
      <c r="F523" s="985"/>
      <c r="G523" s="985"/>
      <c r="H523" s="985"/>
      <c r="I523" s="985"/>
      <c r="J523" s="985"/>
      <c r="K523" s="985"/>
      <c r="L523" s="985"/>
      <c r="M523" s="985"/>
      <c r="N523" s="985"/>
      <c r="O523" s="215"/>
      <c r="P523" s="215"/>
      <c r="Q523" s="215"/>
      <c r="R523" s="215"/>
      <c r="S523" s="215"/>
      <c r="T523" s="215"/>
      <c r="U523" s="215"/>
      <c r="V523" s="215"/>
      <c r="W523" s="80"/>
      <c r="X523" s="80"/>
      <c r="Y523" s="80"/>
      <c r="Z523" s="80"/>
      <c r="AA523" s="80"/>
      <c r="AB523" s="80"/>
      <c r="AC523" s="80"/>
      <c r="AD523" s="80"/>
      <c r="AE523" s="80"/>
      <c r="AF523" s="80"/>
    </row>
    <row r="524" spans="1:32">
      <c r="E524" s="985"/>
      <c r="F524" s="985"/>
      <c r="G524" s="985"/>
      <c r="H524" s="985"/>
      <c r="I524" s="985"/>
      <c r="J524" s="985"/>
      <c r="K524" s="985"/>
      <c r="L524" s="985"/>
      <c r="M524" s="985"/>
      <c r="N524" s="985"/>
      <c r="O524" s="215"/>
      <c r="P524" s="215"/>
      <c r="Q524" s="215"/>
      <c r="R524" s="215"/>
      <c r="S524" s="215"/>
      <c r="T524" s="215"/>
      <c r="U524" s="215"/>
      <c r="V524" s="215"/>
      <c r="W524" s="80"/>
      <c r="X524" s="80"/>
      <c r="Y524" s="80"/>
      <c r="Z524" s="80"/>
      <c r="AA524" s="80"/>
      <c r="AB524" s="80"/>
      <c r="AC524" s="80"/>
      <c r="AD524" s="80"/>
      <c r="AE524" s="80"/>
      <c r="AF524" s="80"/>
    </row>
    <row r="525" spans="1:32" ht="15.75" thickBot="1">
      <c r="E525" s="32"/>
      <c r="F525" s="32"/>
      <c r="G525" s="32"/>
      <c r="H525" s="32"/>
      <c r="I525" s="32"/>
      <c r="J525" s="32"/>
      <c r="K525" s="32"/>
      <c r="L525" s="32"/>
      <c r="M525" s="32"/>
      <c r="N525" s="32"/>
      <c r="O525" s="215"/>
      <c r="P525" s="215"/>
      <c r="Q525" s="215"/>
      <c r="R525" s="215"/>
      <c r="S525" s="215"/>
      <c r="T525" s="215"/>
      <c r="U525" s="215"/>
      <c r="V525" s="215"/>
      <c r="W525" s="80"/>
      <c r="X525" s="80"/>
      <c r="Y525" s="80"/>
      <c r="Z525" s="80"/>
      <c r="AA525" s="80"/>
      <c r="AB525" s="80"/>
      <c r="AC525" s="80"/>
      <c r="AD525" s="80"/>
      <c r="AE525" s="80"/>
      <c r="AF525" s="80"/>
    </row>
    <row r="526" spans="1:32" ht="15.75" thickBot="1">
      <c r="A526" s="986" t="s">
        <v>195</v>
      </c>
      <c r="B526" s="986"/>
      <c r="C526" s="986"/>
      <c r="D526" s="986"/>
      <c r="E526" s="987" t="s">
        <v>196</v>
      </c>
      <c r="F526" s="987"/>
      <c r="G526" s="987"/>
      <c r="H526" s="987"/>
      <c r="I526" s="987"/>
      <c r="J526" s="987"/>
      <c r="K526" s="987"/>
      <c r="L526" s="987"/>
      <c r="M526" s="987"/>
      <c r="N526" s="987"/>
      <c r="O526" s="215"/>
      <c r="P526" s="215"/>
      <c r="Q526" s="215"/>
      <c r="R526" s="215"/>
      <c r="S526" s="215"/>
      <c r="T526" s="215"/>
      <c r="U526" s="215"/>
      <c r="V526" s="215"/>
      <c r="W526" s="80"/>
      <c r="X526" s="80"/>
      <c r="Y526" s="80"/>
      <c r="Z526" s="80"/>
      <c r="AA526" s="80"/>
      <c r="AB526" s="80"/>
      <c r="AC526" s="80"/>
      <c r="AD526" s="80"/>
      <c r="AE526" s="80"/>
      <c r="AF526" s="80"/>
    </row>
    <row r="527" spans="1:32">
      <c r="O527" s="215"/>
      <c r="P527" s="215"/>
      <c r="Q527" s="215"/>
      <c r="R527" s="215"/>
      <c r="S527" s="215"/>
      <c r="T527" s="215"/>
      <c r="U527" s="215"/>
      <c r="V527" s="215"/>
      <c r="W527" s="80"/>
      <c r="X527" s="80"/>
      <c r="Y527" s="80"/>
      <c r="Z527" s="80"/>
      <c r="AA527" s="80"/>
      <c r="AB527" s="80"/>
      <c r="AC527" s="80"/>
      <c r="AD527" s="80"/>
      <c r="AE527" s="80"/>
      <c r="AF527" s="80"/>
    </row>
    <row r="528" spans="1:32">
      <c r="O528" s="215"/>
      <c r="P528" s="215"/>
      <c r="Q528" s="215"/>
      <c r="R528" s="215"/>
      <c r="S528" s="215"/>
      <c r="T528" s="215"/>
      <c r="U528" s="215"/>
      <c r="V528" s="215"/>
      <c r="W528" s="80"/>
      <c r="X528" s="80"/>
      <c r="Y528" s="80"/>
      <c r="Z528" s="80"/>
      <c r="AA528" s="80"/>
      <c r="AB528" s="80"/>
      <c r="AC528" s="80"/>
      <c r="AD528" s="80"/>
      <c r="AE528" s="80"/>
      <c r="AF528" s="80"/>
    </row>
    <row r="529" spans="1:32">
      <c r="O529" s="215"/>
      <c r="P529" s="215"/>
      <c r="Q529" s="215"/>
      <c r="R529" s="215"/>
      <c r="S529" s="215"/>
      <c r="T529" s="215"/>
      <c r="U529" s="215"/>
      <c r="V529" s="215"/>
      <c r="W529" s="80"/>
      <c r="X529" s="80"/>
      <c r="Y529" s="80"/>
      <c r="Z529" s="80"/>
      <c r="AA529" s="80"/>
      <c r="AB529" s="80"/>
      <c r="AC529" s="80"/>
      <c r="AD529" s="80"/>
      <c r="AE529" s="80"/>
      <c r="AF529" s="80"/>
    </row>
    <row r="530" spans="1:32" ht="15.75">
      <c r="A530" s="988" t="s">
        <v>29</v>
      </c>
      <c r="B530" s="988"/>
      <c r="O530" s="215"/>
      <c r="P530" s="215"/>
      <c r="Q530" s="215"/>
      <c r="R530" s="215"/>
      <c r="S530" s="215"/>
      <c r="T530" s="215"/>
      <c r="U530" s="215"/>
      <c r="V530" s="215"/>
      <c r="W530" s="80"/>
      <c r="X530" s="80"/>
      <c r="Y530" s="80"/>
      <c r="Z530" s="80"/>
      <c r="AA530" s="80"/>
      <c r="AB530" s="80"/>
      <c r="AC530" s="80"/>
      <c r="AD530" s="80"/>
      <c r="AE530" s="80"/>
      <c r="AF530" s="80"/>
    </row>
    <row r="531" spans="1:32" ht="15.75" thickBot="1">
      <c r="O531" s="215"/>
      <c r="P531" s="215"/>
      <c r="Q531" s="215"/>
      <c r="R531" s="215"/>
      <c r="S531" s="215"/>
      <c r="T531" s="215"/>
      <c r="U531" s="215"/>
      <c r="V531" s="215"/>
      <c r="W531" s="80"/>
      <c r="X531" s="80"/>
      <c r="Y531" s="80"/>
      <c r="Z531" s="80"/>
      <c r="AA531" s="80"/>
      <c r="AB531" s="80"/>
      <c r="AC531" s="80"/>
      <c r="AD531" s="80"/>
      <c r="AE531" s="80"/>
      <c r="AF531" s="80"/>
    </row>
    <row r="532" spans="1:32" ht="15.75" thickBot="1">
      <c r="A532" s="989" t="s">
        <v>197</v>
      </c>
      <c r="B532" s="989"/>
      <c r="C532" s="989"/>
      <c r="D532" s="989"/>
      <c r="E532" s="989"/>
      <c r="F532" s="34" t="s">
        <v>198</v>
      </c>
      <c r="G532" s="35"/>
      <c r="H532" s="35"/>
      <c r="I532" s="35"/>
      <c r="J532" s="35"/>
      <c r="K532" s="35"/>
      <c r="L532" s="35"/>
      <c r="M532" s="35"/>
      <c r="N532" s="35"/>
      <c r="O532" s="215"/>
      <c r="P532" s="215"/>
      <c r="Q532" s="215"/>
      <c r="R532" s="215"/>
      <c r="S532" s="215"/>
      <c r="T532" s="215"/>
      <c r="U532" s="215"/>
      <c r="V532" s="215"/>
      <c r="W532" s="80"/>
      <c r="X532" s="80"/>
      <c r="Y532" s="80"/>
      <c r="Z532" s="80"/>
      <c r="AA532" s="80"/>
      <c r="AB532" s="80"/>
      <c r="AC532" s="80"/>
      <c r="AD532" s="80"/>
      <c r="AE532" s="80"/>
      <c r="AF532" s="80"/>
    </row>
    <row r="533" spans="1:32">
      <c r="O533" s="215"/>
      <c r="P533" s="215"/>
      <c r="Q533" s="215"/>
      <c r="R533" s="215"/>
      <c r="S533" s="215"/>
      <c r="T533" s="215"/>
      <c r="U533" s="215"/>
      <c r="V533" s="215"/>
      <c r="W533" s="80"/>
      <c r="X533" s="80"/>
      <c r="Y533" s="80"/>
      <c r="Z533" s="80"/>
      <c r="AA533" s="80"/>
      <c r="AB533" s="80"/>
      <c r="AC533" s="80"/>
      <c r="AD533" s="80"/>
      <c r="AE533" s="80"/>
      <c r="AF533" s="80"/>
    </row>
    <row r="534" spans="1:32">
      <c r="A534" s="981" t="s">
        <v>199</v>
      </c>
      <c r="B534" s="981"/>
      <c r="C534" s="981"/>
      <c r="D534" s="981"/>
      <c r="E534" s="981"/>
      <c r="F534" s="982" t="s">
        <v>200</v>
      </c>
      <c r="G534" s="982"/>
      <c r="H534" s="982"/>
      <c r="I534" s="982"/>
      <c r="J534" s="982"/>
      <c r="K534" s="982"/>
      <c r="L534" s="982"/>
      <c r="M534" s="982"/>
      <c r="N534" s="982"/>
      <c r="O534" s="215"/>
      <c r="P534" s="215"/>
      <c r="Q534" s="215"/>
      <c r="R534" s="215"/>
      <c r="S534" s="215"/>
      <c r="T534" s="215"/>
      <c r="U534" s="215"/>
      <c r="V534" s="215"/>
      <c r="W534" s="80"/>
      <c r="X534" s="80"/>
      <c r="Y534" s="80"/>
      <c r="Z534" s="80"/>
      <c r="AA534" s="80"/>
      <c r="AB534" s="80"/>
      <c r="AC534" s="80"/>
      <c r="AD534" s="80"/>
      <c r="AE534" s="80"/>
      <c r="AF534" s="80"/>
    </row>
    <row r="535" spans="1:32">
      <c r="F535" s="982"/>
      <c r="G535" s="982"/>
      <c r="H535" s="982"/>
      <c r="I535" s="982"/>
      <c r="J535" s="982"/>
      <c r="K535" s="982"/>
      <c r="L535" s="982"/>
      <c r="M535" s="982"/>
      <c r="N535" s="982"/>
      <c r="O535" s="215"/>
      <c r="P535" s="215"/>
      <c r="Q535" s="215"/>
      <c r="R535" s="215"/>
      <c r="S535" s="215"/>
      <c r="T535" s="215"/>
      <c r="U535" s="215"/>
      <c r="V535" s="215"/>
      <c r="W535" s="80"/>
      <c r="X535" s="80"/>
      <c r="Y535" s="80"/>
      <c r="Z535" s="80"/>
      <c r="AA535" s="80"/>
      <c r="AB535" s="80"/>
      <c r="AC535" s="80"/>
      <c r="AD535" s="80"/>
      <c r="AE535" s="80"/>
      <c r="AF535" s="80"/>
    </row>
    <row r="536" spans="1:32">
      <c r="F536" s="982"/>
      <c r="G536" s="982"/>
      <c r="H536" s="982"/>
      <c r="I536" s="982"/>
      <c r="J536" s="982"/>
      <c r="K536" s="982"/>
      <c r="L536" s="982"/>
      <c r="M536" s="982"/>
      <c r="N536" s="982"/>
      <c r="O536" s="215"/>
      <c r="P536" s="215"/>
      <c r="Q536" s="215"/>
      <c r="R536" s="215"/>
      <c r="S536" s="215"/>
      <c r="T536" s="215"/>
      <c r="U536" s="215"/>
      <c r="V536" s="215"/>
      <c r="W536" s="80"/>
      <c r="X536" s="80"/>
      <c r="Y536" s="80"/>
      <c r="Z536" s="80"/>
      <c r="AA536" s="80"/>
      <c r="AB536" s="80"/>
      <c r="AC536" s="80"/>
      <c r="AD536" s="80"/>
      <c r="AE536" s="80"/>
      <c r="AF536" s="80"/>
    </row>
    <row r="537" spans="1:32">
      <c r="O537" s="215"/>
      <c r="P537" s="215"/>
      <c r="Q537" s="215"/>
      <c r="R537" s="215"/>
      <c r="S537" s="215"/>
      <c r="T537" s="215"/>
      <c r="U537" s="215"/>
      <c r="V537" s="215"/>
      <c r="W537" s="80"/>
      <c r="X537" s="80"/>
      <c r="Y537" s="80"/>
      <c r="Z537" s="80"/>
      <c r="AA537" s="80"/>
      <c r="AB537" s="80"/>
      <c r="AC537" s="80"/>
      <c r="AD537" s="80"/>
      <c r="AE537" s="80"/>
      <c r="AF537" s="80"/>
    </row>
    <row r="538" spans="1:32">
      <c r="A538" s="983" t="s">
        <v>31</v>
      </c>
      <c r="B538" s="983"/>
      <c r="O538" s="215"/>
      <c r="P538" s="215"/>
      <c r="Q538" s="215"/>
      <c r="R538" s="215"/>
      <c r="S538" s="215"/>
      <c r="T538" s="215"/>
      <c r="U538" s="215"/>
      <c r="V538" s="215"/>
      <c r="W538" s="80"/>
      <c r="X538" s="80"/>
      <c r="Y538" s="80"/>
      <c r="Z538" s="80"/>
      <c r="AA538" s="80"/>
      <c r="AB538" s="80"/>
      <c r="AC538" s="80"/>
      <c r="AD538" s="80"/>
      <c r="AE538" s="80"/>
      <c r="AF538" s="80"/>
    </row>
    <row r="539" spans="1:32">
      <c r="O539" s="215"/>
      <c r="P539" s="215"/>
      <c r="Q539" s="215"/>
      <c r="R539" s="215"/>
      <c r="S539" s="215"/>
      <c r="T539" s="215"/>
      <c r="U539" s="215"/>
      <c r="V539" s="215"/>
      <c r="W539" s="80"/>
      <c r="X539" s="80"/>
      <c r="Y539" s="80"/>
      <c r="Z539" s="80"/>
      <c r="AA539" s="80"/>
      <c r="AB539" s="80"/>
      <c r="AC539" s="80"/>
      <c r="AD539" s="80"/>
      <c r="AE539" s="80"/>
      <c r="AF539" s="80"/>
    </row>
    <row r="540" spans="1:32">
      <c r="O540" s="215"/>
      <c r="P540" s="215"/>
      <c r="Q540" s="215"/>
      <c r="R540" s="215"/>
      <c r="S540" s="215"/>
      <c r="T540" s="215"/>
      <c r="U540" s="215"/>
      <c r="V540" s="215"/>
      <c r="W540" s="80"/>
      <c r="X540" s="80"/>
      <c r="Y540" s="80"/>
      <c r="Z540" s="80"/>
      <c r="AA540" s="80"/>
      <c r="AB540" s="80"/>
      <c r="AC540" s="80"/>
      <c r="AD540" s="80"/>
      <c r="AE540" s="80"/>
      <c r="AF540" s="80"/>
    </row>
    <row r="541" spans="1:32">
      <c r="O541" s="215"/>
      <c r="P541" s="215"/>
      <c r="Q541" s="215"/>
      <c r="R541" s="215"/>
      <c r="S541" s="215"/>
      <c r="T541" s="215"/>
      <c r="U541" s="215"/>
      <c r="V541" s="215"/>
      <c r="W541" s="80"/>
      <c r="X541" s="80"/>
      <c r="Y541" s="80"/>
      <c r="Z541" s="80"/>
      <c r="AA541" s="80"/>
      <c r="AB541" s="80"/>
      <c r="AC541" s="80"/>
      <c r="AD541" s="80"/>
      <c r="AE541" s="80"/>
      <c r="AF541" s="80"/>
    </row>
    <row r="542" spans="1:32">
      <c r="A542" s="984" t="s">
        <v>32</v>
      </c>
      <c r="B542" s="984"/>
      <c r="C542" s="984"/>
      <c r="D542" s="984"/>
      <c r="E542" s="984"/>
      <c r="O542" s="215"/>
      <c r="P542" s="215"/>
      <c r="Q542" s="215"/>
      <c r="R542" s="215"/>
      <c r="S542" s="215"/>
      <c r="T542" s="215"/>
      <c r="U542" s="215"/>
      <c r="V542" s="215"/>
      <c r="W542" s="80"/>
      <c r="X542" s="80"/>
      <c r="Y542" s="80"/>
      <c r="Z542" s="80"/>
      <c r="AA542" s="80"/>
      <c r="AB542" s="80"/>
      <c r="AC542" s="80"/>
      <c r="AD542" s="80"/>
      <c r="AE542" s="80"/>
      <c r="AF542" s="80"/>
    </row>
    <row r="543" spans="1:32">
      <c r="I543" s="4"/>
      <c r="O543" s="215"/>
      <c r="P543" s="215"/>
      <c r="Q543" s="215"/>
      <c r="R543" s="215"/>
      <c r="S543" s="215"/>
      <c r="T543" s="215"/>
      <c r="U543" s="215"/>
      <c r="V543" s="215"/>
      <c r="W543" s="80"/>
      <c r="X543" s="80"/>
      <c r="Y543" s="80"/>
      <c r="Z543" s="80"/>
      <c r="AA543" s="80"/>
      <c r="AB543" s="80"/>
      <c r="AC543" s="80"/>
      <c r="AD543" s="80"/>
      <c r="AE543" s="80"/>
      <c r="AF543" s="80"/>
    </row>
    <row r="544" spans="1:32">
      <c r="O544" s="215"/>
      <c r="P544" s="215"/>
      <c r="Q544" s="215"/>
      <c r="R544" s="215"/>
      <c r="S544" s="215"/>
      <c r="T544" s="215"/>
      <c r="U544" s="215"/>
      <c r="V544" s="215"/>
      <c r="W544" s="80"/>
      <c r="X544" s="80"/>
      <c r="Y544" s="80"/>
      <c r="Z544" s="80"/>
      <c r="AA544" s="80"/>
      <c r="AB544" s="80"/>
      <c r="AC544" s="80"/>
      <c r="AD544" s="80"/>
      <c r="AE544" s="80"/>
      <c r="AF544" s="80"/>
    </row>
    <row r="545" spans="1:32">
      <c r="A545" s="981" t="s">
        <v>201</v>
      </c>
      <c r="B545" s="981"/>
      <c r="C545" s="981"/>
      <c r="D545" s="981"/>
      <c r="E545" s="981"/>
      <c r="F545" s="985" t="s">
        <v>202</v>
      </c>
      <c r="G545" s="985"/>
      <c r="H545" s="985"/>
      <c r="I545" s="985"/>
      <c r="J545" s="985"/>
      <c r="K545" s="985"/>
      <c r="L545" s="985"/>
      <c r="M545" s="985"/>
      <c r="N545" s="985"/>
      <c r="O545" s="215"/>
      <c r="P545" s="215"/>
      <c r="Q545" s="215"/>
      <c r="R545" s="215"/>
      <c r="S545" s="215"/>
      <c r="T545" s="215"/>
      <c r="U545" s="215"/>
      <c r="V545" s="215"/>
      <c r="W545" s="80"/>
      <c r="X545" s="80"/>
      <c r="Y545" s="80"/>
      <c r="Z545" s="80"/>
      <c r="AA545" s="80"/>
      <c r="AB545" s="80"/>
      <c r="AC545" s="80"/>
      <c r="AD545" s="80"/>
      <c r="AE545" s="80"/>
      <c r="AF545" s="80"/>
    </row>
    <row r="546" spans="1:32">
      <c r="F546" s="985"/>
      <c r="G546" s="985"/>
      <c r="H546" s="985"/>
      <c r="I546" s="985"/>
      <c r="J546" s="985"/>
      <c r="K546" s="985"/>
      <c r="L546" s="985"/>
      <c r="M546" s="985"/>
      <c r="N546" s="985"/>
      <c r="O546" s="215"/>
      <c r="P546" s="215"/>
      <c r="Q546" s="215"/>
      <c r="R546" s="215"/>
      <c r="S546" s="215"/>
      <c r="T546" s="215"/>
      <c r="U546" s="215"/>
      <c r="V546" s="215"/>
      <c r="W546" s="80"/>
      <c r="X546" s="80"/>
      <c r="Y546" s="80"/>
      <c r="Z546" s="80"/>
      <c r="AA546" s="80"/>
      <c r="AB546" s="80"/>
      <c r="AC546" s="80"/>
      <c r="AD546" s="80"/>
      <c r="AE546" s="80"/>
      <c r="AF546" s="80"/>
    </row>
    <row r="547" spans="1:32">
      <c r="F547" s="985"/>
      <c r="G547" s="985"/>
      <c r="H547" s="985"/>
      <c r="I547" s="985"/>
      <c r="J547" s="985"/>
      <c r="K547" s="985"/>
      <c r="L547" s="985"/>
      <c r="M547" s="985"/>
      <c r="N547" s="985"/>
      <c r="O547" s="215"/>
      <c r="P547" s="215"/>
      <c r="Q547" s="215"/>
      <c r="R547" s="215"/>
      <c r="S547" s="215"/>
      <c r="T547" s="215"/>
      <c r="U547" s="215"/>
      <c r="V547" s="215"/>
      <c r="W547" s="80"/>
      <c r="X547" s="80"/>
      <c r="Y547" s="80"/>
      <c r="Z547" s="80"/>
      <c r="AA547" s="80"/>
      <c r="AB547" s="80"/>
      <c r="AC547" s="80"/>
      <c r="AD547" s="80"/>
      <c r="AE547" s="80"/>
      <c r="AF547" s="80"/>
    </row>
    <row r="548" spans="1:32">
      <c r="F548" s="985"/>
      <c r="G548" s="985"/>
      <c r="H548" s="985"/>
      <c r="I548" s="985"/>
      <c r="J548" s="985"/>
      <c r="K548" s="985"/>
      <c r="L548" s="985"/>
      <c r="M548" s="985"/>
      <c r="N548" s="985"/>
      <c r="O548" s="215"/>
      <c r="P548" s="215"/>
      <c r="Q548" s="215"/>
      <c r="R548" s="215"/>
      <c r="S548" s="215"/>
      <c r="T548" s="215"/>
      <c r="U548" s="215"/>
      <c r="V548" s="215"/>
      <c r="W548" s="80"/>
      <c r="X548" s="80"/>
      <c r="Y548" s="80"/>
      <c r="Z548" s="80"/>
      <c r="AA548" s="80"/>
      <c r="AB548" s="80"/>
      <c r="AC548" s="80"/>
      <c r="AD548" s="80"/>
      <c r="AE548" s="80"/>
      <c r="AF548" s="80"/>
    </row>
    <row r="549" spans="1:32">
      <c r="F549" s="985"/>
      <c r="G549" s="985"/>
      <c r="H549" s="985"/>
      <c r="I549" s="985"/>
      <c r="J549" s="985"/>
      <c r="K549" s="985"/>
      <c r="L549" s="985"/>
      <c r="M549" s="985"/>
      <c r="N549" s="985"/>
      <c r="O549" s="215"/>
      <c r="P549" s="215"/>
      <c r="Q549" s="215"/>
      <c r="R549" s="215"/>
      <c r="S549" s="215"/>
      <c r="T549" s="215"/>
      <c r="U549" s="215"/>
      <c r="V549" s="215"/>
      <c r="W549" s="80"/>
      <c r="X549" s="80"/>
      <c r="Y549" s="80"/>
      <c r="Z549" s="80"/>
      <c r="AA549" s="80"/>
      <c r="AB549" s="80"/>
      <c r="AC549" s="80"/>
      <c r="AD549" s="80"/>
      <c r="AE549" s="80"/>
      <c r="AF549" s="80"/>
    </row>
    <row r="550" spans="1:32">
      <c r="F550" s="985"/>
      <c r="G550" s="985"/>
      <c r="H550" s="985"/>
      <c r="I550" s="985"/>
      <c r="J550" s="985"/>
      <c r="K550" s="985"/>
      <c r="L550" s="985"/>
      <c r="M550" s="985"/>
      <c r="N550" s="985"/>
      <c r="O550" s="215"/>
      <c r="P550" s="215"/>
      <c r="Q550" s="215"/>
      <c r="R550" s="215"/>
      <c r="S550" s="215"/>
      <c r="T550" s="215"/>
      <c r="U550" s="215"/>
      <c r="V550" s="215"/>
      <c r="W550" s="80"/>
      <c r="X550" s="80"/>
      <c r="Y550" s="80"/>
      <c r="Z550" s="80"/>
      <c r="AA550" s="80"/>
      <c r="AB550" s="80"/>
      <c r="AC550" s="80"/>
      <c r="AD550" s="80"/>
      <c r="AE550" s="80"/>
      <c r="AF550" s="80"/>
    </row>
    <row r="551" spans="1:32">
      <c r="F551" s="985"/>
      <c r="G551" s="985"/>
      <c r="H551" s="985"/>
      <c r="I551" s="985"/>
      <c r="J551" s="985"/>
      <c r="K551" s="985"/>
      <c r="L551" s="985"/>
      <c r="M551" s="985"/>
      <c r="N551" s="985"/>
      <c r="O551" s="215"/>
      <c r="P551" s="215"/>
      <c r="Q551" s="215"/>
      <c r="R551" s="215"/>
      <c r="S551" s="215"/>
      <c r="T551" s="215"/>
      <c r="U551" s="215"/>
      <c r="V551" s="215"/>
      <c r="W551" s="80"/>
      <c r="X551" s="80"/>
      <c r="Y551" s="80"/>
      <c r="Z551" s="80"/>
      <c r="AA551" s="80"/>
      <c r="AB551" s="80"/>
      <c r="AC551" s="80"/>
      <c r="AD551" s="80"/>
      <c r="AE551" s="80"/>
      <c r="AF551" s="80"/>
    </row>
    <row r="552" spans="1:32">
      <c r="F552" s="985"/>
      <c r="G552" s="985"/>
      <c r="H552" s="985"/>
      <c r="I552" s="985"/>
      <c r="J552" s="985"/>
      <c r="K552" s="985"/>
      <c r="L552" s="985"/>
      <c r="M552" s="985"/>
      <c r="N552" s="985"/>
      <c r="O552" s="215"/>
      <c r="P552" s="215"/>
      <c r="Q552" s="215"/>
      <c r="R552" s="215"/>
      <c r="S552" s="215"/>
      <c r="T552" s="215"/>
      <c r="U552" s="215"/>
      <c r="V552" s="215"/>
      <c r="W552" s="80"/>
      <c r="X552" s="80"/>
      <c r="Y552" s="80"/>
      <c r="Z552" s="80"/>
      <c r="AA552" s="80"/>
      <c r="AB552" s="80"/>
      <c r="AC552" s="80"/>
      <c r="AD552" s="80"/>
      <c r="AE552" s="80"/>
      <c r="AF552" s="80"/>
    </row>
    <row r="553" spans="1:32">
      <c r="F553" s="32"/>
      <c r="G553" s="32"/>
      <c r="H553" s="32"/>
      <c r="I553" s="32"/>
      <c r="J553" s="32"/>
      <c r="K553" s="32"/>
      <c r="L553" s="32"/>
      <c r="M553" s="32"/>
      <c r="N553" s="32"/>
      <c r="O553" s="215"/>
      <c r="P553" s="215"/>
      <c r="Q553" s="215"/>
      <c r="R553" s="215"/>
      <c r="S553" s="215"/>
      <c r="T553" s="215"/>
      <c r="U553" s="215"/>
      <c r="V553" s="215"/>
      <c r="W553" s="80"/>
      <c r="X553" s="80"/>
      <c r="Y553" s="80"/>
      <c r="Z553" s="80"/>
      <c r="AA553" s="80"/>
      <c r="AB553" s="80"/>
      <c r="AC553" s="80"/>
      <c r="AD553" s="80"/>
      <c r="AE553" s="80"/>
      <c r="AF553" s="80"/>
    </row>
    <row r="554" spans="1:32">
      <c r="A554" s="981" t="s">
        <v>203</v>
      </c>
      <c r="B554" s="981"/>
      <c r="C554" s="981"/>
      <c r="D554" s="981"/>
      <c r="E554" s="981"/>
      <c r="F554" s="982" t="s">
        <v>204</v>
      </c>
      <c r="G554" s="982"/>
      <c r="H554" s="982"/>
      <c r="I554" s="982"/>
      <c r="J554" s="982"/>
      <c r="K554" s="982"/>
      <c r="L554" s="982"/>
      <c r="M554" s="982"/>
      <c r="N554" s="982"/>
      <c r="O554" s="215"/>
      <c r="P554" s="215"/>
      <c r="Q554" s="215"/>
      <c r="R554" s="215"/>
      <c r="S554" s="215"/>
      <c r="T554" s="215"/>
      <c r="U554" s="215"/>
      <c r="V554" s="215"/>
      <c r="W554" s="80"/>
      <c r="X554" s="80"/>
      <c r="Y554" s="80"/>
      <c r="Z554" s="80"/>
      <c r="AA554" s="80"/>
      <c r="AB554" s="80"/>
      <c r="AC554" s="80"/>
      <c r="AD554" s="80"/>
      <c r="AE554" s="80"/>
      <c r="AF554" s="80"/>
    </row>
    <row r="555" spans="1:32">
      <c r="F555" s="982"/>
      <c r="G555" s="982"/>
      <c r="H555" s="982"/>
      <c r="I555" s="982"/>
      <c r="J555" s="982"/>
      <c r="K555" s="982"/>
      <c r="L555" s="982"/>
      <c r="M555" s="982"/>
      <c r="N555" s="982"/>
      <c r="O555" s="215"/>
      <c r="P555" s="215"/>
      <c r="Q555" s="215"/>
      <c r="R555" s="215"/>
      <c r="S555" s="215"/>
      <c r="T555" s="215"/>
      <c r="U555" s="215"/>
      <c r="V555" s="215"/>
      <c r="W555" s="80"/>
      <c r="X555" s="80"/>
      <c r="Y555" s="80"/>
      <c r="Z555" s="80"/>
      <c r="AA555" s="80"/>
      <c r="AB555" s="80"/>
      <c r="AC555" s="80"/>
      <c r="AD555" s="80"/>
      <c r="AE555" s="80"/>
      <c r="AF555" s="80"/>
    </row>
    <row r="556" spans="1:32">
      <c r="F556" s="982"/>
      <c r="G556" s="982"/>
      <c r="H556" s="982"/>
      <c r="I556" s="982"/>
      <c r="J556" s="982"/>
      <c r="K556" s="982"/>
      <c r="L556" s="982"/>
      <c r="M556" s="982"/>
      <c r="N556" s="982"/>
      <c r="O556" s="215"/>
      <c r="P556" s="215"/>
      <c r="Q556" s="215"/>
      <c r="R556" s="215"/>
      <c r="S556" s="215"/>
      <c r="T556" s="215"/>
      <c r="U556" s="215"/>
      <c r="V556" s="215"/>
      <c r="W556" s="80"/>
      <c r="X556" s="80"/>
      <c r="Y556" s="80"/>
      <c r="Z556" s="80"/>
      <c r="AA556" s="80"/>
      <c r="AB556" s="80"/>
      <c r="AC556" s="80"/>
      <c r="AD556" s="80"/>
      <c r="AE556" s="80"/>
      <c r="AF556" s="80"/>
    </row>
    <row r="557" spans="1:32">
      <c r="F557" s="982"/>
      <c r="G557" s="982"/>
      <c r="H557" s="982"/>
      <c r="I557" s="982"/>
      <c r="J557" s="982"/>
      <c r="K557" s="982"/>
      <c r="L557" s="982"/>
      <c r="M557" s="982"/>
      <c r="N557" s="982"/>
      <c r="O557" s="215"/>
      <c r="P557" s="215"/>
      <c r="Q557" s="215"/>
      <c r="R557" s="215"/>
      <c r="S557" s="215"/>
      <c r="T557" s="215"/>
      <c r="U557" s="215"/>
      <c r="V557" s="215"/>
      <c r="W557" s="80"/>
      <c r="X557" s="80"/>
      <c r="Y557" s="80"/>
      <c r="Z557" s="80"/>
      <c r="AA557" s="80"/>
      <c r="AB557" s="80"/>
      <c r="AC557" s="80"/>
      <c r="AD557" s="80"/>
      <c r="AE557" s="80"/>
      <c r="AF557" s="80"/>
    </row>
    <row r="558" spans="1:32">
      <c r="F558" s="982"/>
      <c r="G558" s="982"/>
      <c r="H558" s="982"/>
      <c r="I558" s="982"/>
      <c r="J558" s="982"/>
      <c r="K558" s="982"/>
      <c r="L558" s="982"/>
      <c r="M558" s="982"/>
      <c r="N558" s="982"/>
      <c r="Q558" s="80"/>
      <c r="R558" s="80"/>
      <c r="S558" s="80"/>
      <c r="T558" s="80"/>
      <c r="U558" s="80"/>
      <c r="V558" s="80"/>
      <c r="W558" s="80"/>
      <c r="X558" s="80"/>
      <c r="Y558" s="80"/>
      <c r="Z558" s="80"/>
      <c r="AA558" s="80"/>
      <c r="AB558" s="80"/>
      <c r="AC558" s="80"/>
      <c r="AD558" s="80"/>
      <c r="AE558" s="80"/>
      <c r="AF558" s="80"/>
    </row>
    <row r="559" spans="1:32">
      <c r="Q559" s="80"/>
      <c r="R559" s="80"/>
      <c r="S559" s="80"/>
      <c r="T559" s="80"/>
      <c r="U559" s="80"/>
      <c r="V559" s="80"/>
      <c r="W559" s="80"/>
      <c r="X559" s="80"/>
      <c r="Y559" s="80"/>
      <c r="Z559" s="80"/>
      <c r="AA559" s="80"/>
      <c r="AB559" s="80"/>
      <c r="AC559" s="80"/>
      <c r="AD559" s="80"/>
      <c r="AE559" s="80"/>
      <c r="AF559" s="80"/>
    </row>
    <row r="560" spans="1:32">
      <c r="A560" s="981" t="s">
        <v>205</v>
      </c>
      <c r="B560" s="981"/>
      <c r="C560" s="981"/>
      <c r="D560" s="981"/>
      <c r="E560" s="981"/>
      <c r="F560" s="982" t="s">
        <v>206</v>
      </c>
      <c r="G560" s="982"/>
      <c r="H560" s="982"/>
      <c r="I560" s="982"/>
      <c r="J560" s="982"/>
      <c r="K560" s="982"/>
      <c r="L560" s="982"/>
      <c r="M560" s="982"/>
      <c r="N560" s="982"/>
      <c r="Q560" s="80"/>
      <c r="R560" s="80"/>
      <c r="S560" s="80"/>
      <c r="T560" s="80"/>
      <c r="U560" s="80"/>
      <c r="V560" s="80"/>
      <c r="W560" s="80"/>
      <c r="X560" s="80"/>
      <c r="Y560" s="80"/>
      <c r="Z560" s="80"/>
      <c r="AA560" s="80"/>
      <c r="AB560" s="80"/>
      <c r="AC560" s="80"/>
      <c r="AD560" s="80"/>
      <c r="AE560" s="80"/>
      <c r="AF560" s="80"/>
    </row>
    <row r="561" spans="6:32">
      <c r="F561" s="982"/>
      <c r="G561" s="982"/>
      <c r="H561" s="982"/>
      <c r="I561" s="982"/>
      <c r="J561" s="982"/>
      <c r="K561" s="982"/>
      <c r="L561" s="982"/>
      <c r="M561" s="982"/>
      <c r="N561" s="982"/>
      <c r="Q561" s="80"/>
      <c r="R561" s="80"/>
      <c r="S561" s="80"/>
      <c r="T561" s="80"/>
      <c r="U561" s="80"/>
      <c r="V561" s="80"/>
      <c r="W561" s="80"/>
      <c r="X561" s="80"/>
      <c r="Y561" s="80"/>
      <c r="Z561" s="80"/>
      <c r="AA561" s="80"/>
      <c r="AB561" s="80"/>
      <c r="AC561" s="80"/>
      <c r="AD561" s="80"/>
      <c r="AE561" s="80"/>
      <c r="AF561" s="80"/>
    </row>
    <row r="562" spans="6:32">
      <c r="F562" s="982"/>
      <c r="G562" s="982"/>
      <c r="H562" s="982"/>
      <c r="I562" s="982"/>
      <c r="J562" s="982"/>
      <c r="K562" s="982"/>
      <c r="L562" s="982"/>
      <c r="M562" s="982"/>
      <c r="N562" s="982"/>
      <c r="Q562" s="80"/>
      <c r="R562" s="80"/>
      <c r="S562" s="80"/>
      <c r="T562" s="80"/>
      <c r="U562" s="80"/>
      <c r="V562" s="80"/>
      <c r="W562" s="80"/>
      <c r="X562" s="80"/>
      <c r="Y562" s="80"/>
      <c r="Z562" s="80"/>
      <c r="AA562" s="80"/>
      <c r="AB562" s="80"/>
      <c r="AC562" s="80"/>
      <c r="AD562" s="80"/>
      <c r="AE562" s="80"/>
      <c r="AF562" s="80"/>
    </row>
    <row r="563" spans="6:32">
      <c r="F563" s="982"/>
      <c r="G563" s="982"/>
      <c r="H563" s="982"/>
      <c r="I563" s="982"/>
      <c r="J563" s="982"/>
      <c r="K563" s="982"/>
      <c r="L563" s="982"/>
      <c r="M563" s="982"/>
      <c r="N563" s="982"/>
      <c r="Q563" s="80"/>
      <c r="R563" s="80"/>
      <c r="S563" s="80"/>
      <c r="T563" s="80"/>
      <c r="U563" s="80"/>
      <c r="V563" s="80"/>
      <c r="W563" s="80"/>
      <c r="X563" s="80"/>
      <c r="Y563" s="80"/>
      <c r="Z563" s="80"/>
      <c r="AA563" s="80"/>
      <c r="AB563" s="80"/>
      <c r="AC563" s="80"/>
      <c r="AD563" s="80"/>
      <c r="AE563" s="80"/>
      <c r="AF563" s="80"/>
    </row>
    <row r="564" spans="6:32">
      <c r="F564" s="982"/>
      <c r="G564" s="982"/>
      <c r="H564" s="982"/>
      <c r="I564" s="982"/>
      <c r="J564" s="982"/>
      <c r="K564" s="982"/>
      <c r="L564" s="982"/>
      <c r="M564" s="982"/>
      <c r="N564" s="982"/>
      <c r="Q564" s="80"/>
      <c r="R564" s="80"/>
      <c r="S564" s="80"/>
      <c r="T564" s="80"/>
      <c r="U564" s="80"/>
      <c r="V564" s="80"/>
      <c r="W564" s="80"/>
      <c r="X564" s="80"/>
      <c r="Y564" s="80"/>
      <c r="Z564" s="80"/>
      <c r="AA564" s="80"/>
      <c r="AB564" s="80"/>
      <c r="AC564" s="80"/>
      <c r="AD564" s="80"/>
      <c r="AE564" s="80"/>
      <c r="AF564" s="80"/>
    </row>
    <row r="565" spans="6:32">
      <c r="F565" s="982"/>
      <c r="G565" s="982"/>
      <c r="H565" s="982"/>
      <c r="I565" s="982"/>
      <c r="J565" s="982"/>
      <c r="K565" s="982"/>
      <c r="L565" s="982"/>
      <c r="M565" s="982"/>
      <c r="N565" s="982"/>
      <c r="Q565" s="80"/>
      <c r="R565" s="80"/>
      <c r="S565" s="80"/>
      <c r="T565" s="80"/>
      <c r="U565" s="80"/>
      <c r="V565" s="80"/>
      <c r="W565" s="80"/>
      <c r="X565" s="80"/>
      <c r="Y565" s="80"/>
      <c r="Z565" s="80"/>
      <c r="AA565" s="80"/>
      <c r="AB565" s="80"/>
      <c r="AC565" s="80"/>
      <c r="AD565" s="80"/>
      <c r="AE565" s="80"/>
      <c r="AF565" s="80"/>
    </row>
  </sheetData>
  <mergeCells count="272">
    <mergeCell ref="B4:I4"/>
    <mergeCell ref="K4:L4"/>
    <mergeCell ref="M4:N4"/>
    <mergeCell ref="B5:C5"/>
    <mergeCell ref="D6:E6"/>
    <mergeCell ref="G6:K6"/>
    <mergeCell ref="A14:C14"/>
    <mergeCell ref="H14:I14"/>
    <mergeCell ref="C18:D18"/>
    <mergeCell ref="A19:C19"/>
    <mergeCell ref="F19:M19"/>
    <mergeCell ref="E20:F20"/>
    <mergeCell ref="G20:L20"/>
    <mergeCell ref="D8:E8"/>
    <mergeCell ref="H8:I8"/>
    <mergeCell ref="H11:I11"/>
    <mergeCell ref="H12:I12"/>
    <mergeCell ref="A13:C13"/>
    <mergeCell ref="H13:I13"/>
    <mergeCell ref="A35:B35"/>
    <mergeCell ref="A36:B36"/>
    <mergeCell ref="H36:J36"/>
    <mergeCell ref="L36:M36"/>
    <mergeCell ref="A37:B37"/>
    <mergeCell ref="A38:B38"/>
    <mergeCell ref="E21:F21"/>
    <mergeCell ref="A23:L23"/>
    <mergeCell ref="A25:C25"/>
    <mergeCell ref="A26:C26"/>
    <mergeCell ref="A27:C27"/>
    <mergeCell ref="A28:C28"/>
    <mergeCell ref="A58:D58"/>
    <mergeCell ref="A59:C59"/>
    <mergeCell ref="A60:B60"/>
    <mergeCell ref="A62:B62"/>
    <mergeCell ref="A64:B64"/>
    <mergeCell ref="A65:C65"/>
    <mergeCell ref="A39:B39"/>
    <mergeCell ref="L39:M39"/>
    <mergeCell ref="A40:B40"/>
    <mergeCell ref="L40:M40"/>
    <mergeCell ref="A43:B43"/>
    <mergeCell ref="A44:E44"/>
    <mergeCell ref="F44:N46"/>
    <mergeCell ref="A75:C75"/>
    <mergeCell ref="A78:B78"/>
    <mergeCell ref="A80:C80"/>
    <mergeCell ref="A83:B83"/>
    <mergeCell ref="C84:F84"/>
    <mergeCell ref="A85:C85"/>
    <mergeCell ref="A66:C66"/>
    <mergeCell ref="A67:B67"/>
    <mergeCell ref="A69:B69"/>
    <mergeCell ref="A71:B71"/>
    <mergeCell ref="A73:B73"/>
    <mergeCell ref="A74:C74"/>
    <mergeCell ref="D108:E108"/>
    <mergeCell ref="A109:F109"/>
    <mergeCell ref="D121:E121"/>
    <mergeCell ref="D122:E122"/>
    <mergeCell ref="D123:E123"/>
    <mergeCell ref="A124:F124"/>
    <mergeCell ref="A88:B88"/>
    <mergeCell ref="A93:C93"/>
    <mergeCell ref="F93:J93"/>
    <mergeCell ref="A94:F94"/>
    <mergeCell ref="D106:E106"/>
    <mergeCell ref="D107:E107"/>
    <mergeCell ref="A160:D160"/>
    <mergeCell ref="A161:D161"/>
    <mergeCell ref="A162:D162"/>
    <mergeCell ref="A181:C181"/>
    <mergeCell ref="A183:N183"/>
    <mergeCell ref="A184:N184"/>
    <mergeCell ref="D136:E136"/>
    <mergeCell ref="D137:E137"/>
    <mergeCell ref="D138:E138"/>
    <mergeCell ref="A140:F140"/>
    <mergeCell ref="A158:D158"/>
    <mergeCell ref="A159:D159"/>
    <mergeCell ref="A189:B189"/>
    <mergeCell ref="C189:H189"/>
    <mergeCell ref="I189:K189"/>
    <mergeCell ref="A191:B191"/>
    <mergeCell ref="C191:D191"/>
    <mergeCell ref="E191:F191"/>
    <mergeCell ref="G191:H191"/>
    <mergeCell ref="I191:K191"/>
    <mergeCell ref="A185:N185"/>
    <mergeCell ref="B186:G186"/>
    <mergeCell ref="M186:N186"/>
    <mergeCell ref="B187:C187"/>
    <mergeCell ref="K187:L187"/>
    <mergeCell ref="A188:B188"/>
    <mergeCell ref="E188:F188"/>
    <mergeCell ref="I188:J188"/>
    <mergeCell ref="J195:K195"/>
    <mergeCell ref="A196:B196"/>
    <mergeCell ref="J196:K196"/>
    <mergeCell ref="A197:B197"/>
    <mergeCell ref="J197:K197"/>
    <mergeCell ref="A198:B198"/>
    <mergeCell ref="J198:K198"/>
    <mergeCell ref="L191:M191"/>
    <mergeCell ref="A192:B192"/>
    <mergeCell ref="J192:K192"/>
    <mergeCell ref="A193:B193"/>
    <mergeCell ref="J193:K193"/>
    <mergeCell ref="A194:B194"/>
    <mergeCell ref="J194:K194"/>
    <mergeCell ref="A210:B210"/>
    <mergeCell ref="A211:B211"/>
    <mergeCell ref="A212:B212"/>
    <mergeCell ref="A213:C213"/>
    <mergeCell ref="A214:B214"/>
    <mergeCell ref="E220:F220"/>
    <mergeCell ref="A199:B199"/>
    <mergeCell ref="J199:K199"/>
    <mergeCell ref="I201:J201"/>
    <mergeCell ref="A206:B206"/>
    <mergeCell ref="A207:B207"/>
    <mergeCell ref="A209:B209"/>
    <mergeCell ref="E227:F227"/>
    <mergeCell ref="E228:F228"/>
    <mergeCell ref="I228:K228"/>
    <mergeCell ref="E229:F229"/>
    <mergeCell ref="I229:K229"/>
    <mergeCell ref="E230:F230"/>
    <mergeCell ref="E221:F221"/>
    <mergeCell ref="E222:F222"/>
    <mergeCell ref="E223:F223"/>
    <mergeCell ref="E224:F224"/>
    <mergeCell ref="E225:F225"/>
    <mergeCell ref="E226:F226"/>
    <mergeCell ref="E238:F238"/>
    <mergeCell ref="E239:F239"/>
    <mergeCell ref="E240:F240"/>
    <mergeCell ref="E241:F241"/>
    <mergeCell ref="E242:F242"/>
    <mergeCell ref="J242:K242"/>
    <mergeCell ref="E231:F231"/>
    <mergeCell ref="E232:F232"/>
    <mergeCell ref="E233:F233"/>
    <mergeCell ref="E234:F234"/>
    <mergeCell ref="E235:G235"/>
    <mergeCell ref="E237:F237"/>
    <mergeCell ref="D262:F262"/>
    <mergeCell ref="A272:N272"/>
    <mergeCell ref="A277:N277"/>
    <mergeCell ref="A278:N278"/>
    <mergeCell ref="A279:N279"/>
    <mergeCell ref="B280:G280"/>
    <mergeCell ref="I280:J280"/>
    <mergeCell ref="M280:N280"/>
    <mergeCell ref="J243:K243"/>
    <mergeCell ref="I251:L251"/>
    <mergeCell ref="I252:L252"/>
    <mergeCell ref="I253:L253"/>
    <mergeCell ref="I254:L254"/>
    <mergeCell ref="I255:L255"/>
    <mergeCell ref="A287:B287"/>
    <mergeCell ref="A289:B289"/>
    <mergeCell ref="A290:B290"/>
    <mergeCell ref="H290:J290"/>
    <mergeCell ref="L290:M290"/>
    <mergeCell ref="A291:B291"/>
    <mergeCell ref="A281:F281"/>
    <mergeCell ref="D282:E282"/>
    <mergeCell ref="F282:G282"/>
    <mergeCell ref="I282:J282"/>
    <mergeCell ref="K282:M282"/>
    <mergeCell ref="E283:F283"/>
    <mergeCell ref="A305:D305"/>
    <mergeCell ref="K305:L305"/>
    <mergeCell ref="A306:D306"/>
    <mergeCell ref="K306:L306"/>
    <mergeCell ref="A307:D307"/>
    <mergeCell ref="K307:L307"/>
    <mergeCell ref="A292:B292"/>
    <mergeCell ref="A293:B293"/>
    <mergeCell ref="L293:M293"/>
    <mergeCell ref="A294:B294"/>
    <mergeCell ref="L294:M294"/>
    <mergeCell ref="A304:D304"/>
    <mergeCell ref="E304:F304"/>
    <mergeCell ref="H304:I304"/>
    <mergeCell ref="K304:M304"/>
    <mergeCell ref="A326:C326"/>
    <mergeCell ref="A327:C327"/>
    <mergeCell ref="A328:C328"/>
    <mergeCell ref="A329:C329"/>
    <mergeCell ref="A330:C330"/>
    <mergeCell ref="A331:C331"/>
    <mergeCell ref="A308:D308"/>
    <mergeCell ref="K308:L308"/>
    <mergeCell ref="A309:F309"/>
    <mergeCell ref="C310:D310"/>
    <mergeCell ref="F310:N310"/>
    <mergeCell ref="E325:F325"/>
    <mergeCell ref="A338:C338"/>
    <mergeCell ref="A339:C339"/>
    <mergeCell ref="A340:C340"/>
    <mergeCell ref="A342:D342"/>
    <mergeCell ref="E342:N342"/>
    <mergeCell ref="A347:N347"/>
    <mergeCell ref="A332:C332"/>
    <mergeCell ref="A333:C333"/>
    <mergeCell ref="A334:C334"/>
    <mergeCell ref="A335:C335"/>
    <mergeCell ref="A336:C336"/>
    <mergeCell ref="A337:C337"/>
    <mergeCell ref="A354:N354"/>
    <mergeCell ref="A355:N355"/>
    <mergeCell ref="A356:N356"/>
    <mergeCell ref="A358:E358"/>
    <mergeCell ref="F363:I363"/>
    <mergeCell ref="A366:B366"/>
    <mergeCell ref="A348:N348"/>
    <mergeCell ref="A349:N349"/>
    <mergeCell ref="A350:N350"/>
    <mergeCell ref="A351:N351"/>
    <mergeCell ref="A352:N352"/>
    <mergeCell ref="A353:N353"/>
    <mergeCell ref="A415:E415"/>
    <mergeCell ref="A445:E445"/>
    <mergeCell ref="F445:N450"/>
    <mergeCell ref="A469:D469"/>
    <mergeCell ref="E469:N469"/>
    <mergeCell ref="A471:D471"/>
    <mergeCell ref="E471:N472"/>
    <mergeCell ref="A368:E368"/>
    <mergeCell ref="A369:B369"/>
    <mergeCell ref="A371:N371"/>
    <mergeCell ref="A372:N372"/>
    <mergeCell ref="A373:N373"/>
    <mergeCell ref="B374:I374"/>
    <mergeCell ref="L374:N374"/>
    <mergeCell ref="A482:D482"/>
    <mergeCell ref="E482:N483"/>
    <mergeCell ref="A485:D485"/>
    <mergeCell ref="A487:D487"/>
    <mergeCell ref="E487:N492"/>
    <mergeCell ref="A495:D495"/>
    <mergeCell ref="E495:N502"/>
    <mergeCell ref="A474:D474"/>
    <mergeCell ref="E474:N474"/>
    <mergeCell ref="A476:D476"/>
    <mergeCell ref="E476:N477"/>
    <mergeCell ref="A479:D479"/>
    <mergeCell ref="E479:N480"/>
    <mergeCell ref="A516:D516"/>
    <mergeCell ref="E516:N524"/>
    <mergeCell ref="A526:D526"/>
    <mergeCell ref="E526:N526"/>
    <mergeCell ref="A530:B530"/>
    <mergeCell ref="A532:E532"/>
    <mergeCell ref="A504:D504"/>
    <mergeCell ref="E504:N507"/>
    <mergeCell ref="A509:D509"/>
    <mergeCell ref="E509:N512"/>
    <mergeCell ref="A514:D514"/>
    <mergeCell ref="E514:N514"/>
    <mergeCell ref="A554:E554"/>
    <mergeCell ref="F554:N558"/>
    <mergeCell ref="A560:E560"/>
    <mergeCell ref="F560:N565"/>
    <mergeCell ref="A534:E534"/>
    <mergeCell ref="F534:N536"/>
    <mergeCell ref="A538:B538"/>
    <mergeCell ref="A542:E542"/>
    <mergeCell ref="A545:E545"/>
    <mergeCell ref="F545:N552"/>
  </mergeCells>
  <dataValidations count="13">
    <dataValidation type="list" allowBlank="1" showInputMessage="1" showErrorMessage="1" sqref="C43">
      <formula1>$O$33:$O$36</formula1>
    </dataValidation>
    <dataValidation type="list" allowBlank="1" showInputMessage="1" showErrorMessage="1" sqref="C369:C370">
      <formula1>$O$363:$O$364</formula1>
    </dataValidation>
    <dataValidation type="list" allowBlank="1" showInputMessage="1" showErrorMessage="1" sqref="L294:M294 L40:M41">
      <formula1>$R$279:$R$280</formula1>
    </dataValidation>
    <dataValidation type="list" allowBlank="1" showInputMessage="1" showErrorMessage="1" sqref="C287 C28:C33 C343:C346">
      <formula1>$P$279:$P$280</formula1>
    </dataValidation>
    <dataValidation type="list" allowBlank="1" showInputMessage="1" showErrorMessage="1" sqref="G283">
      <formula1>$U$269:$U$279</formula1>
    </dataValidation>
    <dataValidation type="list" allowBlank="1" showInputMessage="1" showErrorMessage="1" sqref="D283 D26">
      <formula1>$T$269:$T$279</formula1>
    </dataValidation>
    <dataValidation type="list" allowBlank="1" showInputMessage="1" showErrorMessage="1" sqref="K282:M282 K25">
      <formula1>$R$269:$R$277</formula1>
    </dataValidation>
    <dataValidation type="list" allowBlank="1" showInputMessage="1" showErrorMessage="1" sqref="F282:G282 F25">
      <formula1>$P$269:$P$277</formula1>
    </dataValidation>
    <dataValidation type="list" showDropDown="1" showInputMessage="1" showErrorMessage="1" sqref="G26">
      <formula1>$U$269:$U$279</formula1>
    </dataValidation>
    <dataValidation type="list" allowBlank="1" showInputMessage="1" showErrorMessage="1" sqref="D15">
      <formula1>$O$6:$O$14</formula1>
    </dataValidation>
    <dataValidation type="list" allowBlank="1" showInputMessage="1" showErrorMessage="1" sqref="D16">
      <formula1>$O$6:$O$15</formula1>
    </dataValidation>
    <dataValidation type="list" allowBlank="1" showInputMessage="1" showErrorMessage="1" sqref="D17">
      <formula1>$O$6:$O$10</formula1>
    </dataValidation>
    <dataValidation type="list" allowBlank="1" showInputMessage="1" showErrorMessage="1" sqref="C18:D18">
      <formula1>$O$16:$O$19</formula1>
    </dataValidation>
  </dataValidations>
  <pageMargins left="0.23622047244094491" right="0.23622047244094491" top="0.74803149606299213" bottom="0.74803149606299213" header="0.31496062992125984" footer="0.31496062992125984"/>
  <pageSetup firstPageNumber="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63"/>
  <sheetViews>
    <sheetView showGridLines="0" showRowColHeaders="0" zoomScaleNormal="100" zoomScalePageLayoutView="60" workbookViewId="0">
      <selection activeCell="J25" sqref="J25"/>
    </sheetView>
  </sheetViews>
  <sheetFormatPr baseColWidth="10" defaultRowHeight="15" outlineLevelRow="7"/>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6384" width="11.42578125" style="1"/>
  </cols>
  <sheetData>
    <row r="1" spans="1:25">
      <c r="A1" s="357" t="s">
        <v>539</v>
      </c>
      <c r="B1" s="1086" t="s">
        <v>71</v>
      </c>
      <c r="C1" s="1086"/>
      <c r="D1" s="1086"/>
      <c r="E1" s="1086"/>
      <c r="F1" s="1086"/>
      <c r="G1" s="1086"/>
      <c r="H1" s="1086"/>
      <c r="I1" s="357"/>
      <c r="J1" s="357"/>
      <c r="K1" s="357"/>
      <c r="L1" s="357"/>
      <c r="M1" s="357"/>
      <c r="N1" s="357"/>
      <c r="O1" s="541"/>
      <c r="P1" s="541"/>
      <c r="Q1" s="541"/>
      <c r="R1" s="541"/>
      <c r="S1" s="541"/>
      <c r="T1" s="542"/>
      <c r="U1" s="542"/>
      <c r="V1" s="542"/>
      <c r="W1" s="535"/>
      <c r="X1" s="535"/>
      <c r="Y1" s="535"/>
    </row>
    <row r="2" spans="1:25">
      <c r="A2" s="357" t="s">
        <v>540</v>
      </c>
      <c r="B2" s="1086" t="s">
        <v>547</v>
      </c>
      <c r="C2" s="1086"/>
      <c r="D2" s="1086"/>
      <c r="E2" s="1086"/>
      <c r="F2" s="1086"/>
      <c r="G2" s="1086"/>
      <c r="H2" s="1086"/>
      <c r="I2" s="357"/>
      <c r="J2" s="357"/>
      <c r="K2" s="357"/>
      <c r="L2" s="357"/>
      <c r="M2" s="357"/>
      <c r="N2" s="357"/>
      <c r="O2" s="541"/>
      <c r="P2" s="541"/>
      <c r="Q2" s="541"/>
      <c r="R2" s="541"/>
      <c r="S2" s="541"/>
      <c r="T2" s="542"/>
      <c r="U2" s="542"/>
      <c r="V2" s="542"/>
      <c r="W2" s="535"/>
      <c r="X2" s="535"/>
      <c r="Y2" s="535"/>
    </row>
    <row r="3" spans="1:25">
      <c r="A3" s="500"/>
      <c r="B3" s="1087" t="s">
        <v>1</v>
      </c>
      <c r="C3" s="1087"/>
      <c r="D3" s="1087"/>
      <c r="E3" s="1087"/>
      <c r="F3" s="1087"/>
      <c r="G3" s="1087"/>
      <c r="H3" s="1087"/>
      <c r="I3" s="1087"/>
      <c r="J3" s="1087"/>
      <c r="K3" s="500"/>
      <c r="L3" s="500"/>
      <c r="M3" s="500"/>
      <c r="N3" s="500"/>
      <c r="O3" s="541"/>
      <c r="P3" s="541"/>
      <c r="Q3" s="541"/>
      <c r="R3" s="541"/>
      <c r="S3" s="541"/>
      <c r="T3" s="542"/>
      <c r="U3" s="542"/>
      <c r="V3" s="542"/>
      <c r="W3" s="535"/>
      <c r="X3" s="535"/>
      <c r="Y3" s="535"/>
    </row>
    <row r="4" spans="1:25">
      <c r="A4" s="379" t="s">
        <v>2</v>
      </c>
      <c r="B4" s="1170"/>
      <c r="C4" s="1171"/>
      <c r="D4" s="1171"/>
      <c r="E4" s="1171"/>
      <c r="F4" s="1171"/>
      <c r="G4" s="1171"/>
      <c r="H4" s="1171"/>
      <c r="I4" s="1171"/>
      <c r="J4" s="358"/>
      <c r="K4" s="1172" t="s">
        <v>291</v>
      </c>
      <c r="L4" s="1172"/>
      <c r="M4" s="1175" t="s">
        <v>585</v>
      </c>
      <c r="N4" s="1176"/>
      <c r="O4" s="541"/>
      <c r="P4" s="541"/>
      <c r="Q4" s="541"/>
      <c r="R4" s="541"/>
      <c r="S4" s="541"/>
      <c r="T4" s="542"/>
      <c r="U4" s="542"/>
      <c r="V4" s="542"/>
      <c r="W4" s="535"/>
      <c r="X4" s="535"/>
      <c r="Y4" s="535"/>
    </row>
    <row r="5" spans="1:25">
      <c r="A5" s="380" t="s">
        <v>3</v>
      </c>
      <c r="B5" s="1183">
        <f ca="1">TODAY()</f>
        <v>43208</v>
      </c>
      <c r="C5" s="1183"/>
      <c r="D5" s="457"/>
      <c r="E5" s="457"/>
      <c r="F5" s="457"/>
      <c r="G5" s="457"/>
      <c r="H5" s="457"/>
      <c r="I5" s="457"/>
      <c r="J5" s="79"/>
      <c r="K5" s="457"/>
      <c r="L5" s="457"/>
      <c r="M5" s="78"/>
      <c r="N5" s="359"/>
      <c r="O5" s="541"/>
      <c r="P5" s="541"/>
      <c r="Q5" s="541"/>
      <c r="R5" s="541"/>
      <c r="S5" s="541"/>
      <c r="T5" s="542"/>
      <c r="U5" s="542"/>
      <c r="V5" s="542"/>
      <c r="W5" s="535"/>
      <c r="X5" s="535"/>
      <c r="Y5" s="535"/>
    </row>
    <row r="6" spans="1:25">
      <c r="A6" s="380" t="s">
        <v>234</v>
      </c>
      <c r="B6" s="457"/>
      <c r="C6" s="457"/>
      <c r="D6" s="1184"/>
      <c r="E6" s="1183"/>
      <c r="F6" s="457"/>
      <c r="G6" s="1118" t="str">
        <f ca="1">DATEDIF(D6,TODAY(),"y")&amp;"_años_"&amp;DATEDIF(D6,TODAY(),"ym")&amp;"_meses_"&amp;DATEDIF(D6,TODAY(),"md")&amp;"_dias_"</f>
        <v>118_años_3_meses_18_dias_</v>
      </c>
      <c r="H6" s="1118"/>
      <c r="I6" s="1118"/>
      <c r="J6" s="1118"/>
      <c r="K6" s="1118"/>
      <c r="L6" s="457"/>
      <c r="M6" s="457"/>
      <c r="N6" s="360"/>
      <c r="O6" s="543"/>
      <c r="P6" s="541"/>
      <c r="Q6" s="541"/>
      <c r="R6" s="541"/>
      <c r="S6" s="541"/>
      <c r="T6" s="542"/>
      <c r="U6" s="542"/>
      <c r="V6" s="542"/>
      <c r="W6" s="535"/>
      <c r="X6" s="535"/>
      <c r="Y6" s="535"/>
    </row>
    <row r="7" spans="1:25">
      <c r="A7" s="380"/>
      <c r="B7" s="457"/>
      <c r="C7" s="457"/>
      <c r="D7" s="457"/>
      <c r="E7" s="457"/>
      <c r="F7" s="457"/>
      <c r="G7" s="457"/>
      <c r="H7" s="457"/>
      <c r="I7" s="457"/>
      <c r="J7" s="79"/>
      <c r="K7" s="457"/>
      <c r="L7" s="457"/>
      <c r="M7" s="78"/>
      <c r="N7" s="359"/>
      <c r="O7" s="541"/>
      <c r="P7" s="541"/>
      <c r="Q7" s="541"/>
      <c r="R7" s="541"/>
      <c r="S7" s="541"/>
      <c r="T7" s="542"/>
      <c r="U7" s="542"/>
      <c r="V7" s="542"/>
      <c r="W7" s="535"/>
      <c r="X7" s="535"/>
      <c r="Y7" s="535"/>
    </row>
    <row r="8" spans="1:25" ht="16.5" customHeight="1">
      <c r="A8" s="380" t="s">
        <v>73</v>
      </c>
      <c r="B8" s="79"/>
      <c r="C8" s="79"/>
      <c r="D8" s="1173" t="s">
        <v>550</v>
      </c>
      <c r="E8" s="1173"/>
      <c r="F8" s="169"/>
      <c r="G8" s="79"/>
      <c r="H8" s="1292" t="s">
        <v>396</v>
      </c>
      <c r="I8" s="1292"/>
      <c r="J8" s="950"/>
      <c r="K8" s="951" t="s">
        <v>402</v>
      </c>
      <c r="L8" s="949"/>
      <c r="M8" s="952"/>
      <c r="N8" s="953"/>
      <c r="O8" s="541"/>
      <c r="P8" s="541"/>
      <c r="Q8" s="541"/>
      <c r="R8" s="541"/>
      <c r="S8" s="541"/>
      <c r="T8" s="542"/>
      <c r="U8" s="542"/>
      <c r="V8" s="542"/>
      <c r="W8" s="535"/>
      <c r="X8" s="535"/>
      <c r="Y8" s="535"/>
    </row>
    <row r="9" spans="1:25" ht="15.75">
      <c r="A9" s="380" t="s">
        <v>4</v>
      </c>
      <c r="B9" s="79"/>
      <c r="C9" s="79"/>
      <c r="D9" s="139">
        <v>37</v>
      </c>
      <c r="E9" s="79" t="s">
        <v>5</v>
      </c>
      <c r="F9" s="169"/>
      <c r="G9" s="79"/>
      <c r="H9" s="1295">
        <f ca="1">B5</f>
        <v>43208</v>
      </c>
      <c r="I9" s="1295"/>
      <c r="J9" s="480">
        <v>1</v>
      </c>
      <c r="K9" s="956">
        <f>D10</f>
        <v>74</v>
      </c>
      <c r="L9" s="480"/>
      <c r="M9" s="491"/>
      <c r="N9" s="953"/>
      <c r="O9" s="541"/>
      <c r="P9" s="541"/>
      <c r="Q9" s="541"/>
      <c r="R9" s="541"/>
      <c r="S9" s="541"/>
      <c r="T9" s="542"/>
      <c r="U9" s="542"/>
      <c r="V9" s="542"/>
      <c r="W9" s="535"/>
      <c r="X9" s="535"/>
      <c r="Y9" s="535"/>
    </row>
    <row r="10" spans="1:25" ht="15.75">
      <c r="A10" s="380" t="s">
        <v>6</v>
      </c>
      <c r="B10" s="79"/>
      <c r="C10" s="79"/>
      <c r="D10" s="139">
        <v>74</v>
      </c>
      <c r="E10" s="79" t="s">
        <v>7</v>
      </c>
      <c r="F10" s="79"/>
      <c r="G10" s="79"/>
      <c r="H10" s="1292"/>
      <c r="I10" s="1292"/>
      <c r="J10" s="480">
        <v>2</v>
      </c>
      <c r="K10" s="956">
        <v>86</v>
      </c>
      <c r="L10" s="1292"/>
      <c r="M10" s="1292"/>
      <c r="N10" s="1293"/>
      <c r="O10" s="541"/>
      <c r="P10" s="541"/>
      <c r="Q10" s="541"/>
      <c r="R10" s="541"/>
      <c r="S10" s="541"/>
      <c r="T10" s="542"/>
      <c r="U10" s="542"/>
      <c r="V10" s="542"/>
      <c r="W10" s="535"/>
      <c r="X10" s="535"/>
      <c r="Y10" s="535"/>
    </row>
    <row r="11" spans="1:25" ht="15.75">
      <c r="A11" s="380" t="s">
        <v>568</v>
      </c>
      <c r="B11" s="79"/>
      <c r="C11" s="79"/>
      <c r="D11" s="139">
        <v>77</v>
      </c>
      <c r="E11" s="79" t="s">
        <v>7</v>
      </c>
      <c r="F11" s="79"/>
      <c r="G11" s="79"/>
      <c r="H11" s="480"/>
      <c r="I11" s="480"/>
      <c r="J11" s="480">
        <v>3</v>
      </c>
      <c r="K11" s="956">
        <v>77</v>
      </c>
      <c r="L11" s="480"/>
      <c r="M11" s="480"/>
      <c r="N11" s="954"/>
      <c r="O11" s="541"/>
      <c r="P11" s="541"/>
      <c r="Q11" s="541"/>
      <c r="R11" s="541"/>
      <c r="S11" s="541"/>
      <c r="T11" s="542"/>
      <c r="U11" s="542"/>
      <c r="V11" s="542"/>
      <c r="W11" s="535"/>
      <c r="X11" s="535"/>
      <c r="Y11" s="535"/>
    </row>
    <row r="12" spans="1:25" ht="15.75">
      <c r="A12" s="1177" t="s">
        <v>541</v>
      </c>
      <c r="B12" s="1178"/>
      <c r="C12" s="1178"/>
      <c r="D12" s="604">
        <f>21.5*(D17*D17)</f>
        <v>60.681599999999989</v>
      </c>
      <c r="E12" s="79" t="s">
        <v>7</v>
      </c>
      <c r="F12" s="79"/>
      <c r="G12" s="79"/>
      <c r="H12" s="1292"/>
      <c r="I12" s="1292"/>
      <c r="J12" s="480">
        <v>4</v>
      </c>
      <c r="K12" s="957">
        <v>44</v>
      </c>
      <c r="L12" s="491"/>
      <c r="M12" s="952"/>
      <c r="N12" s="955"/>
      <c r="O12" s="541"/>
      <c r="P12" s="541"/>
      <c r="Q12" s="541"/>
      <c r="R12" s="544"/>
      <c r="S12" s="541"/>
      <c r="T12" s="542"/>
      <c r="U12" s="542"/>
      <c r="V12" s="542"/>
      <c r="W12" s="535"/>
      <c r="X12" s="535"/>
      <c r="Y12" s="535"/>
    </row>
    <row r="13" spans="1:25" ht="15.75" outlineLevel="7">
      <c r="A13" s="380" t="s">
        <v>9</v>
      </c>
      <c r="B13" s="79"/>
      <c r="C13" s="79"/>
      <c r="D13" s="604">
        <f>18.5*(D17*D17)</f>
        <v>52.214399999999991</v>
      </c>
      <c r="E13" s="79" t="s">
        <v>7</v>
      </c>
      <c r="F13" s="79"/>
      <c r="G13" s="79"/>
      <c r="H13" s="1292"/>
      <c r="I13" s="1292"/>
      <c r="J13" s="480">
        <v>5</v>
      </c>
      <c r="K13" s="956">
        <v>0</v>
      </c>
      <c r="L13" s="491"/>
      <c r="M13" s="491"/>
      <c r="N13" s="953"/>
      <c r="O13" s="541"/>
      <c r="P13" s="541"/>
      <c r="Q13" s="541"/>
      <c r="R13" s="541"/>
      <c r="S13" s="541"/>
      <c r="T13" s="542"/>
      <c r="U13" s="542"/>
      <c r="V13" s="542"/>
      <c r="W13" s="535"/>
      <c r="X13" s="535"/>
      <c r="Y13" s="535"/>
    </row>
    <row r="14" spans="1:25" ht="15.75" outlineLevel="7">
      <c r="A14" s="380" t="s">
        <v>10</v>
      </c>
      <c r="B14" s="79"/>
      <c r="C14" s="79"/>
      <c r="D14" s="604">
        <f>24.9*(D17*D17)</f>
        <v>70.277759999999986</v>
      </c>
      <c r="E14" s="79" t="s">
        <v>7</v>
      </c>
      <c r="F14" s="79"/>
      <c r="G14" s="79"/>
      <c r="H14" s="1292"/>
      <c r="I14" s="1292"/>
      <c r="J14" s="480">
        <v>6</v>
      </c>
      <c r="K14" s="956">
        <v>0</v>
      </c>
      <c r="L14" s="491"/>
      <c r="M14" s="491"/>
      <c r="N14" s="953"/>
      <c r="O14" s="541"/>
      <c r="P14" s="541"/>
      <c r="Q14" s="541"/>
      <c r="R14" s="541"/>
      <c r="S14" s="541"/>
      <c r="T14" s="542"/>
      <c r="U14" s="542"/>
      <c r="V14" s="542"/>
      <c r="W14" s="535"/>
      <c r="X14" s="535"/>
      <c r="Y14" s="535"/>
    </row>
    <row r="15" spans="1:25" ht="15.75" outlineLevel="7">
      <c r="A15" s="380" t="s">
        <v>566</v>
      </c>
      <c r="B15" s="79"/>
      <c r="C15" s="79"/>
      <c r="D15" s="604">
        <f>(D10/D12)*100</f>
        <v>121.9480040078047</v>
      </c>
      <c r="E15" s="79" t="s">
        <v>52</v>
      </c>
      <c r="F15" s="1179" t="str">
        <f>IF(D15&lt;=89.9,"BAJO PESO",IF(D15=90,"PESO ACEPTABLE",IF(D15&lt;120,"PESO ACEPTABLE",IF(D15&gt;120.1,"EXCESO O SOBREPESO"))))</f>
        <v>EXCESO O SOBREPESO</v>
      </c>
      <c r="G15" s="1179"/>
      <c r="H15" s="1179"/>
      <c r="I15" s="1179"/>
      <c r="J15" s="598"/>
      <c r="K15" s="608"/>
      <c r="L15" s="79"/>
      <c r="M15" s="79"/>
      <c r="N15" s="360"/>
      <c r="O15" s="541"/>
      <c r="P15" s="541"/>
      <c r="Q15" s="541"/>
      <c r="R15" s="541"/>
      <c r="S15" s="541"/>
      <c r="T15" s="542"/>
      <c r="U15" s="542"/>
      <c r="V15" s="542"/>
      <c r="W15" s="535"/>
      <c r="X15" s="535"/>
      <c r="Y15" s="535"/>
    </row>
    <row r="16" spans="1:25" ht="15.75" outlineLevel="7">
      <c r="A16" s="380" t="s">
        <v>567</v>
      </c>
      <c r="B16" s="79"/>
      <c r="C16" s="79"/>
      <c r="D16" s="604">
        <f>(D10/D11)*100</f>
        <v>96.103896103896105</v>
      </c>
      <c r="E16" s="79" t="s">
        <v>52</v>
      </c>
      <c r="F16" s="607" t="str">
        <f>IF(D16&lt;=48,"PESO MINIMO DE SOBREVIVENCIA",IF(D16&lt;54.9,"PESO MINIMO DE SOBREVIVENCIA",IF(D16=75,"DESNUTRICION SEVERA 3er GRADO",IF(D16&lt;=84.9,"DESNUTRICION MODERADA 2do GRADO",IF(D16=85,"DESNUTRICION LEVE 1er GRADO",IF(D16&lt;=90,"DESNUTRICION LEVE 1er GRAD0",IF(D16&gt;90.1,"SIN PROBLEMAS DE DESNUTRICION")))))))</f>
        <v>SIN PROBLEMAS DE DESNUTRICION</v>
      </c>
      <c r="G16" s="607"/>
      <c r="H16" s="607"/>
      <c r="I16" s="607"/>
      <c r="J16" s="598"/>
      <c r="K16" s="609"/>
      <c r="L16" s="79"/>
      <c r="M16" s="79"/>
      <c r="N16" s="360"/>
      <c r="O16" s="541"/>
      <c r="P16" s="541"/>
      <c r="Q16" s="541"/>
      <c r="R16" s="541"/>
      <c r="S16" s="541"/>
      <c r="T16" s="542"/>
      <c r="U16" s="542"/>
      <c r="V16" s="542"/>
      <c r="W16" s="535"/>
      <c r="X16" s="535"/>
      <c r="Y16" s="535"/>
    </row>
    <row r="17" spans="1:25" ht="15.75">
      <c r="A17" s="1177" t="s">
        <v>76</v>
      </c>
      <c r="B17" s="1178"/>
      <c r="C17" s="1178"/>
      <c r="D17" s="139">
        <v>1.68</v>
      </c>
      <c r="E17" s="79" t="s">
        <v>12</v>
      </c>
      <c r="F17" s="79"/>
      <c r="G17" s="491">
        <f>D17*100</f>
        <v>168</v>
      </c>
      <c r="H17" s="1173"/>
      <c r="I17" s="1173"/>
      <c r="J17" s="438"/>
      <c r="K17" s="608"/>
      <c r="L17" s="79"/>
      <c r="M17" s="79"/>
      <c r="N17" s="360"/>
      <c r="O17" s="541"/>
      <c r="P17" s="541"/>
      <c r="Q17" s="541"/>
      <c r="R17" s="541"/>
      <c r="S17" s="541"/>
      <c r="T17" s="542"/>
      <c r="U17" s="542"/>
      <c r="V17" s="542"/>
      <c r="W17" s="535"/>
      <c r="X17" s="535"/>
      <c r="Y17" s="535"/>
    </row>
    <row r="18" spans="1:25" ht="15.75">
      <c r="A18" s="1177" t="s">
        <v>13</v>
      </c>
      <c r="B18" s="1178"/>
      <c r="C18" s="1178"/>
      <c r="D18" s="605">
        <f>D10/(D17*D17)</f>
        <v>26.218820861678008</v>
      </c>
      <c r="E18" s="364" t="s">
        <v>14</v>
      </c>
      <c r="F18" s="79"/>
      <c r="G18" s="79"/>
      <c r="H18" s="1173"/>
      <c r="I18" s="1173"/>
      <c r="J18" s="438"/>
      <c r="K18" s="608"/>
      <c r="L18" s="79"/>
      <c r="M18" s="79"/>
      <c r="N18" s="360"/>
      <c r="O18" s="541"/>
      <c r="P18" s="541"/>
      <c r="Q18" s="541"/>
      <c r="R18" s="541"/>
      <c r="S18" s="541"/>
      <c r="T18" s="542"/>
      <c r="U18" s="542"/>
      <c r="V18" s="542"/>
      <c r="W18" s="535"/>
      <c r="X18" s="535"/>
      <c r="Y18" s="535"/>
    </row>
    <row r="19" spans="1:25" s="81" customFormat="1" ht="18.75">
      <c r="A19" s="1180" t="s">
        <v>210</v>
      </c>
      <c r="B19" s="1181"/>
      <c r="C19" s="1181"/>
      <c r="D19" s="606">
        <f>(D10/D12)*100</f>
        <v>121.9480040078047</v>
      </c>
      <c r="E19" s="478" t="s">
        <v>52</v>
      </c>
      <c r="F19" s="1296" t="str">
        <f>IF(D19&lt;70,"SUGIERE DEPLECION SEVERA",IF(D19=70,"SUGIERE DEPLECION MODERADA",IF(D19&lt;80,"SUGIERE DEPLECION MODERADA",IF(D19=80,"SUGIERE DEPLECION LEVE",IF(D19&lt;=90,"SUGIERE DEPLECION LEVE",IF(D19&gt;=91,"SIN DEPLECION"))))))</f>
        <v>SIN DEPLECION</v>
      </c>
      <c r="G19" s="1296"/>
      <c r="H19" s="1296"/>
      <c r="I19" s="1296"/>
      <c r="J19" s="1296"/>
      <c r="K19" s="1296"/>
      <c r="L19" s="1296"/>
      <c r="M19" s="1296"/>
      <c r="N19" s="367"/>
      <c r="O19" s="541"/>
      <c r="P19" s="541"/>
      <c r="Q19" s="541"/>
      <c r="R19" s="541"/>
      <c r="S19" s="541"/>
      <c r="T19" s="542"/>
      <c r="U19" s="542"/>
      <c r="V19" s="542"/>
      <c r="W19" s="535"/>
      <c r="X19" s="535"/>
      <c r="Y19" s="535"/>
    </row>
    <row r="20" spans="1:25" ht="18.75">
      <c r="A20" s="380" t="s">
        <v>15</v>
      </c>
      <c r="B20" s="79"/>
      <c r="C20" s="1203" t="str">
        <f>IF(D18&gt;=40, "OBESIDAD TERCER GRADO", IF(D18&gt;=30, "OBESIDAD SEGUNDO GRADO", IF(D18&gt;=25.1, "OBESIDAD PRIMER GRADO", IF(D18&gt;=18.5, "PESO NORMAL", IF(D18&gt;=17, "DESNUTRICION PRIMER GRADO", IF(D18&gt;=16, "DESNUTRICION SEGUNDO GRADO", IF(D18&lt;16, "DESNUTRICION TERCER GRADO")))))))</f>
        <v>OBESIDAD PRIMER GRADO</v>
      </c>
      <c r="D20" s="1203"/>
      <c r="E20" s="1203"/>
      <c r="F20" s="1203"/>
      <c r="G20" s="1203"/>
      <c r="H20" s="1203"/>
      <c r="I20" s="1203"/>
      <c r="J20" s="1203"/>
      <c r="K20" s="1203"/>
      <c r="L20" s="79"/>
      <c r="M20" s="79"/>
      <c r="N20" s="360"/>
      <c r="O20" s="541"/>
      <c r="P20" s="541"/>
      <c r="Q20" s="541"/>
      <c r="R20" s="541"/>
      <c r="S20" s="541"/>
      <c r="T20" s="542"/>
      <c r="U20" s="542"/>
      <c r="V20" s="542"/>
      <c r="W20" s="535"/>
      <c r="X20" s="535"/>
      <c r="Y20" s="535"/>
    </row>
    <row r="21" spans="1:25" ht="15.75">
      <c r="A21" s="1177" t="s">
        <v>16</v>
      </c>
      <c r="B21" s="1178"/>
      <c r="C21" s="1178"/>
      <c r="D21" s="139">
        <v>99</v>
      </c>
      <c r="E21" s="79" t="s">
        <v>17</v>
      </c>
      <c r="F21" s="79"/>
      <c r="G21" s="79"/>
      <c r="H21" s="79"/>
      <c r="I21" s="79"/>
      <c r="J21" s="79"/>
      <c r="K21" s="79"/>
      <c r="L21" s="79"/>
      <c r="M21" s="79"/>
      <c r="N21" s="360"/>
      <c r="O21" s="541"/>
      <c r="P21" s="541"/>
      <c r="Q21" s="541"/>
      <c r="R21" s="541"/>
      <c r="S21" s="541"/>
      <c r="T21" s="542"/>
      <c r="U21" s="542"/>
      <c r="V21" s="542"/>
      <c r="W21" s="535"/>
      <c r="X21" s="535"/>
      <c r="Y21" s="535"/>
    </row>
    <row r="22" spans="1:25" ht="15.75">
      <c r="A22" s="1177" t="s">
        <v>18</v>
      </c>
      <c r="B22" s="1178"/>
      <c r="C22" s="1178"/>
      <c r="D22" s="139">
        <v>109</v>
      </c>
      <c r="E22" s="79" t="s">
        <v>17</v>
      </c>
      <c r="F22" s="79"/>
      <c r="G22" s="79"/>
      <c r="H22" s="79"/>
      <c r="I22" s="79"/>
      <c r="J22" s="79"/>
      <c r="K22" s="79"/>
      <c r="L22" s="79"/>
      <c r="M22" s="79"/>
      <c r="N22" s="360"/>
      <c r="O22" s="541"/>
      <c r="P22" s="541"/>
      <c r="Q22" s="541"/>
      <c r="R22" s="541"/>
      <c r="S22" s="541"/>
      <c r="T22" s="542"/>
      <c r="U22" s="542"/>
      <c r="V22" s="542"/>
      <c r="W22" s="535"/>
      <c r="X22" s="535"/>
      <c r="Y22" s="535"/>
    </row>
    <row r="23" spans="1:25" s="80" customFormat="1" ht="15.75">
      <c r="A23" s="1180" t="s">
        <v>19</v>
      </c>
      <c r="B23" s="1181"/>
      <c r="C23" s="1181"/>
      <c r="D23" s="368">
        <f>D21/D22</f>
        <v>0.90825688073394495</v>
      </c>
      <c r="E23" s="1291" t="str">
        <f>IF(D23&gt;=1,"HOMBRE  CON DISTRIBUCION DE GRASA ANDROIDE",IF(D23&lt;=0.99,"HOMBRE CON DISTRIBUCION DE GRASA GINECOIDE"))</f>
        <v>HOMBRE CON DISTRIBUCION DE GRASA GINECOIDE</v>
      </c>
      <c r="F23" s="1291"/>
      <c r="G23" s="1291"/>
      <c r="H23" s="1291"/>
      <c r="I23" s="1291"/>
      <c r="J23" s="1291"/>
      <c r="K23" s="1291"/>
      <c r="L23" s="1291"/>
      <c r="M23" s="1291"/>
      <c r="N23" s="369"/>
      <c r="O23" s="541"/>
      <c r="P23" s="541"/>
      <c r="Q23" s="541"/>
      <c r="R23" s="541"/>
      <c r="S23" s="541"/>
      <c r="T23" s="542"/>
      <c r="U23" s="542"/>
      <c r="V23" s="542"/>
      <c r="W23" s="535"/>
      <c r="X23" s="535"/>
      <c r="Y23" s="535"/>
    </row>
    <row r="24" spans="1:25" ht="15.75">
      <c r="A24" s="1150" t="s">
        <v>542</v>
      </c>
      <c r="B24" s="1151"/>
      <c r="C24" s="1151"/>
      <c r="D24" s="139">
        <v>120</v>
      </c>
      <c r="E24" s="1287" t="str">
        <f>IF(D24&gt;=102,"MEDICION DE RIESGO SUSTANCIALMENTE INCREMENTADO",IF(D24&lt;=101.9," MEDICION DE RIESGO INCREMENTADO",IF(D24&gt;=94," MEDICION DE RIESGO  INCREMENTADO")))</f>
        <v>MEDICION DE RIESGO SUSTANCIALMENTE INCREMENTADO</v>
      </c>
      <c r="F24" s="1287"/>
      <c r="G24" s="1287"/>
      <c r="H24" s="1287"/>
      <c r="I24" s="1287"/>
      <c r="J24" s="1287"/>
      <c r="K24" s="1287"/>
      <c r="L24" s="1287"/>
      <c r="M24" s="1287"/>
      <c r="N24" s="1288"/>
      <c r="O24" s="541"/>
      <c r="P24" s="541"/>
      <c r="Q24" s="541"/>
      <c r="R24" s="541"/>
      <c r="S24" s="541"/>
      <c r="T24" s="542"/>
      <c r="U24" s="542"/>
      <c r="V24" s="542"/>
      <c r="W24" s="535"/>
      <c r="X24" s="535"/>
      <c r="Y24" s="535"/>
    </row>
    <row r="25" spans="1:25" ht="15.75">
      <c r="A25" s="1152" t="s">
        <v>543</v>
      </c>
      <c r="B25" s="1153"/>
      <c r="C25" s="1153"/>
      <c r="D25" s="139">
        <v>12</v>
      </c>
      <c r="E25" s="491">
        <f>(D17*100)/D25</f>
        <v>14</v>
      </c>
      <c r="F25" s="1287" t="str">
        <f>IF(E25&gt;=10.4,"COMPLEXION PEQUEÑA",IF(E25&gt;=9.6,"COMPLEXION MEDIANA",IF(E25&lt;=9.5,"COMPLEXION GRANDE")))</f>
        <v>COMPLEXION PEQUEÑA</v>
      </c>
      <c r="G25" s="1287"/>
      <c r="H25" s="1287"/>
      <c r="I25" s="1287"/>
      <c r="J25" s="79"/>
      <c r="K25" s="79"/>
      <c r="L25" s="79"/>
      <c r="M25" s="79"/>
      <c r="N25" s="360"/>
      <c r="O25" s="541"/>
      <c r="P25" s="541"/>
      <c r="Q25" s="541"/>
      <c r="R25" s="541"/>
      <c r="S25" s="541"/>
      <c r="T25" s="542"/>
      <c r="U25" s="542"/>
      <c r="V25" s="542"/>
      <c r="W25" s="535"/>
      <c r="X25" s="535"/>
      <c r="Y25" s="535"/>
    </row>
    <row r="26" spans="1:25" ht="15.75">
      <c r="A26" s="454"/>
      <c r="B26" s="455"/>
      <c r="C26" s="455"/>
      <c r="D26" s="362"/>
      <c r="E26" s="79"/>
      <c r="F26" s="79"/>
      <c r="G26" s="79"/>
      <c r="H26" s="79"/>
      <c r="I26" s="79"/>
      <c r="J26" s="79"/>
      <c r="K26" s="79"/>
      <c r="L26" s="79"/>
      <c r="M26" s="79"/>
      <c r="N26" s="360"/>
      <c r="O26" s="541"/>
      <c r="P26" s="541"/>
      <c r="Q26" s="541"/>
      <c r="R26" s="541"/>
      <c r="S26" s="541"/>
      <c r="T26" s="542"/>
      <c r="U26" s="542"/>
      <c r="V26" s="542"/>
      <c r="W26" s="535"/>
      <c r="X26" s="535"/>
      <c r="Y26" s="535"/>
    </row>
    <row r="27" spans="1:25" ht="15.75">
      <c r="A27" s="454"/>
      <c r="B27" s="455"/>
      <c r="C27" s="455"/>
      <c r="D27" s="362"/>
      <c r="E27" s="79"/>
      <c r="F27" s="79"/>
      <c r="G27" s="79"/>
      <c r="H27" s="79"/>
      <c r="I27" s="79"/>
      <c r="J27" s="79"/>
      <c r="K27" s="79"/>
      <c r="L27" s="79"/>
      <c r="M27" s="79"/>
      <c r="N27" s="360"/>
      <c r="O27" s="541"/>
      <c r="P27" s="541"/>
      <c r="Q27" s="541"/>
      <c r="R27" s="541"/>
      <c r="S27" s="541"/>
      <c r="T27" s="542"/>
      <c r="U27" s="542"/>
      <c r="V27" s="542"/>
      <c r="W27" s="535"/>
      <c r="X27" s="535"/>
      <c r="Y27" s="535"/>
    </row>
    <row r="28" spans="1:25">
      <c r="A28" s="381"/>
      <c r="B28" s="370"/>
      <c r="C28" s="370"/>
      <c r="D28" s="447" t="s">
        <v>323</v>
      </c>
      <c r="E28" s="447"/>
      <c r="F28" s="1289" t="s">
        <v>324</v>
      </c>
      <c r="G28" s="1289"/>
      <c r="H28" s="370"/>
      <c r="I28" s="447" t="s">
        <v>328</v>
      </c>
      <c r="J28" s="447"/>
      <c r="K28" s="1290" t="s">
        <v>332</v>
      </c>
      <c r="L28" s="1290"/>
      <c r="M28" s="1290"/>
      <c r="N28" s="371"/>
      <c r="O28" s="541"/>
      <c r="P28" s="541"/>
      <c r="Q28" s="541"/>
      <c r="R28" s="541"/>
      <c r="S28" s="541"/>
      <c r="T28" s="542"/>
      <c r="U28" s="542"/>
      <c r="V28" s="542"/>
      <c r="W28" s="535"/>
      <c r="X28" s="535"/>
      <c r="Y28" s="535"/>
    </row>
    <row r="29" spans="1:25">
      <c r="A29" s="381" t="s">
        <v>335</v>
      </c>
      <c r="B29" s="370"/>
      <c r="C29" s="372" t="s">
        <v>400</v>
      </c>
      <c r="D29" s="492">
        <v>4</v>
      </c>
      <c r="E29" s="1079" t="s">
        <v>401</v>
      </c>
      <c r="F29" s="1079"/>
      <c r="G29" s="493">
        <v>3</v>
      </c>
      <c r="H29" s="370"/>
      <c r="I29" s="370"/>
      <c r="J29" s="370"/>
      <c r="K29" s="370"/>
      <c r="L29" s="370"/>
      <c r="M29" s="370"/>
      <c r="N29" s="371"/>
      <c r="O29" s="541"/>
      <c r="P29" s="541"/>
      <c r="Q29" s="541"/>
      <c r="R29" s="541"/>
      <c r="S29" s="541"/>
      <c r="T29" s="542"/>
      <c r="U29" s="542"/>
      <c r="V29" s="542"/>
      <c r="W29" s="535"/>
      <c r="X29" s="535"/>
      <c r="Y29" s="535"/>
    </row>
    <row r="30" spans="1:25">
      <c r="A30" s="381"/>
      <c r="B30" s="370"/>
      <c r="C30" s="370"/>
      <c r="D30" s="370"/>
      <c r="E30" s="370"/>
      <c r="F30" s="370"/>
      <c r="G30" s="370"/>
      <c r="H30" s="370"/>
      <c r="I30" s="370"/>
      <c r="J30" s="370"/>
      <c r="K30" s="370"/>
      <c r="L30" s="370"/>
      <c r="M30" s="370"/>
      <c r="N30" s="371"/>
      <c r="O30" s="541"/>
      <c r="P30" s="541"/>
      <c r="Q30" s="541"/>
      <c r="R30" s="541"/>
      <c r="S30" s="541"/>
      <c r="T30" s="542"/>
      <c r="U30" s="542"/>
      <c r="V30" s="542"/>
      <c r="W30" s="535"/>
      <c r="X30" s="535"/>
      <c r="Y30" s="535"/>
    </row>
    <row r="31" spans="1:25">
      <c r="A31" s="381"/>
      <c r="B31" s="370"/>
      <c r="C31" s="370"/>
      <c r="D31" s="370"/>
      <c r="E31" s="370"/>
      <c r="F31" s="370"/>
      <c r="G31" s="370"/>
      <c r="H31" s="370"/>
      <c r="I31" s="370"/>
      <c r="J31" s="370"/>
      <c r="K31" s="370"/>
      <c r="L31" s="370"/>
      <c r="M31" s="370"/>
      <c r="N31" s="371"/>
      <c r="O31" s="541"/>
      <c r="P31" s="541"/>
      <c r="Q31" s="541"/>
      <c r="R31" s="541"/>
      <c r="S31" s="541"/>
      <c r="T31" s="542"/>
      <c r="U31" s="542"/>
      <c r="V31" s="542"/>
      <c r="W31" s="535"/>
      <c r="X31" s="535"/>
      <c r="Y31" s="535"/>
    </row>
    <row r="32" spans="1:25">
      <c r="A32" s="381" t="s">
        <v>338</v>
      </c>
      <c r="B32" s="370"/>
      <c r="C32" s="370"/>
      <c r="D32" s="370"/>
      <c r="E32" s="370"/>
      <c r="F32" s="374"/>
      <c r="G32" s="370"/>
      <c r="H32" s="370"/>
      <c r="I32" s="370"/>
      <c r="J32" s="370"/>
      <c r="K32" s="370"/>
      <c r="L32" s="370"/>
      <c r="M32" s="370"/>
      <c r="N32" s="371"/>
      <c r="O32" s="541"/>
      <c r="P32" s="541"/>
      <c r="Q32" s="541"/>
      <c r="R32" s="541"/>
      <c r="S32" s="541"/>
      <c r="T32" s="542"/>
      <c r="U32" s="542"/>
      <c r="V32" s="542"/>
      <c r="W32" s="535"/>
      <c r="X32" s="535"/>
      <c r="Y32" s="535"/>
    </row>
    <row r="33" spans="1:25">
      <c r="A33" s="1084" t="s">
        <v>339</v>
      </c>
      <c r="B33" s="1147"/>
      <c r="C33" s="496" t="s">
        <v>341</v>
      </c>
      <c r="D33" s="370"/>
      <c r="E33" s="370"/>
      <c r="F33" s="370"/>
      <c r="G33" s="370"/>
      <c r="H33" s="370"/>
      <c r="I33" s="370"/>
      <c r="J33" s="370"/>
      <c r="K33" s="370"/>
      <c r="L33" s="370"/>
      <c r="M33" s="370"/>
      <c r="N33" s="371"/>
      <c r="O33" s="541"/>
      <c r="P33" s="541"/>
      <c r="Q33" s="541"/>
      <c r="R33" s="541"/>
      <c r="S33" s="541"/>
      <c r="T33" s="542"/>
      <c r="U33" s="542"/>
      <c r="V33" s="542"/>
      <c r="W33" s="535"/>
      <c r="X33" s="535"/>
      <c r="Y33" s="535"/>
    </row>
    <row r="34" spans="1:25">
      <c r="A34" s="381"/>
      <c r="B34" s="370"/>
      <c r="C34" s="370"/>
      <c r="D34" s="370"/>
      <c r="E34" s="370"/>
      <c r="F34" s="370"/>
      <c r="G34" s="370"/>
      <c r="H34" s="370"/>
      <c r="I34" s="370"/>
      <c r="J34" s="370"/>
      <c r="K34" s="370"/>
      <c r="L34" s="370"/>
      <c r="M34" s="370"/>
      <c r="N34" s="371"/>
      <c r="O34" s="541"/>
      <c r="P34" s="541"/>
      <c r="Q34" s="541"/>
      <c r="R34" s="541"/>
      <c r="S34" s="541"/>
      <c r="T34" s="542"/>
      <c r="U34" s="542"/>
      <c r="V34" s="542"/>
      <c r="W34" s="535"/>
      <c r="X34" s="535"/>
      <c r="Y34" s="535"/>
    </row>
    <row r="35" spans="1:25">
      <c r="A35" s="1078" t="s">
        <v>342</v>
      </c>
      <c r="B35" s="1079"/>
      <c r="C35" s="370"/>
      <c r="D35" s="370"/>
      <c r="E35" s="370"/>
      <c r="F35" s="370"/>
      <c r="G35" s="370"/>
      <c r="H35" s="370"/>
      <c r="I35" s="370"/>
      <c r="J35" s="370"/>
      <c r="K35" s="370"/>
      <c r="L35" s="370"/>
      <c r="M35" s="370"/>
      <c r="N35" s="371"/>
      <c r="O35" s="541"/>
      <c r="P35" s="541"/>
      <c r="Q35" s="541"/>
      <c r="R35" s="541"/>
      <c r="S35" s="541"/>
      <c r="T35" s="542"/>
      <c r="U35" s="542"/>
      <c r="V35" s="542"/>
      <c r="W35" s="535"/>
      <c r="X35" s="535"/>
      <c r="Y35" s="535"/>
    </row>
    <row r="36" spans="1:25">
      <c r="A36" s="1080" t="s">
        <v>343</v>
      </c>
      <c r="B36" s="1081"/>
      <c r="C36" s="370"/>
      <c r="D36" s="375" t="s">
        <v>348</v>
      </c>
      <c r="E36" s="375"/>
      <c r="F36" s="375"/>
      <c r="G36" s="376"/>
      <c r="H36" s="1076" t="s">
        <v>353</v>
      </c>
      <c r="I36" s="1076"/>
      <c r="J36" s="1076"/>
      <c r="K36" s="370"/>
      <c r="L36" s="1076" t="s">
        <v>357</v>
      </c>
      <c r="M36" s="1076"/>
      <c r="N36" s="371"/>
      <c r="O36" s="541"/>
      <c r="P36" s="541"/>
      <c r="Q36" s="541"/>
      <c r="R36" s="541"/>
      <c r="S36" s="541"/>
      <c r="T36" s="542"/>
      <c r="U36" s="542"/>
      <c r="V36" s="542"/>
      <c r="W36" s="535"/>
      <c r="X36" s="535"/>
      <c r="Y36" s="535"/>
    </row>
    <row r="37" spans="1:25">
      <c r="A37" s="1074" t="s">
        <v>344</v>
      </c>
      <c r="B37" s="1075"/>
      <c r="C37" s="494"/>
      <c r="D37" s="370" t="s">
        <v>349</v>
      </c>
      <c r="E37" s="370"/>
      <c r="F37" s="370"/>
      <c r="G37" s="494"/>
      <c r="H37" s="370" t="s">
        <v>354</v>
      </c>
      <c r="I37" s="370"/>
      <c r="J37" s="494"/>
      <c r="K37" s="370"/>
      <c r="L37" s="370" t="s">
        <v>358</v>
      </c>
      <c r="M37" s="370"/>
      <c r="N37" s="494"/>
      <c r="O37" s="541"/>
      <c r="P37" s="541"/>
      <c r="Q37" s="541"/>
      <c r="R37" s="541"/>
      <c r="S37" s="541"/>
      <c r="T37" s="542"/>
      <c r="U37" s="542"/>
      <c r="V37" s="542"/>
      <c r="W37" s="535"/>
      <c r="X37" s="535"/>
      <c r="Y37" s="535"/>
    </row>
    <row r="38" spans="1:25">
      <c r="A38" s="1074" t="s">
        <v>345</v>
      </c>
      <c r="B38" s="1075"/>
      <c r="C38" s="494"/>
      <c r="D38" s="370" t="s">
        <v>350</v>
      </c>
      <c r="E38" s="370"/>
      <c r="F38" s="370"/>
      <c r="G38" s="494" t="s">
        <v>405</v>
      </c>
      <c r="H38" s="370" t="s">
        <v>355</v>
      </c>
      <c r="I38" s="370"/>
      <c r="J38" s="494"/>
      <c r="K38" s="370"/>
      <c r="L38" s="370" t="s">
        <v>359</v>
      </c>
      <c r="M38" s="370"/>
      <c r="N38" s="494"/>
      <c r="O38" s="541"/>
      <c r="P38" s="541"/>
      <c r="Q38" s="541"/>
      <c r="R38" s="541"/>
      <c r="S38" s="541"/>
      <c r="T38" s="542"/>
      <c r="U38" s="542"/>
      <c r="V38" s="542"/>
      <c r="W38" s="535"/>
      <c r="X38" s="535"/>
      <c r="Y38" s="535"/>
    </row>
    <row r="39" spans="1:25">
      <c r="A39" s="1074" t="s">
        <v>346</v>
      </c>
      <c r="B39" s="1075"/>
      <c r="C39" s="494"/>
      <c r="D39" s="370" t="s">
        <v>351</v>
      </c>
      <c r="E39" s="370"/>
      <c r="F39" s="370"/>
      <c r="G39" s="494"/>
      <c r="H39" s="370" t="s">
        <v>356</v>
      </c>
      <c r="I39" s="370"/>
      <c r="J39" s="494"/>
      <c r="K39" s="370"/>
      <c r="L39" s="1076" t="s">
        <v>360</v>
      </c>
      <c r="M39" s="1076"/>
      <c r="N39" s="377"/>
      <c r="O39" s="541"/>
      <c r="P39" s="541"/>
      <c r="Q39" s="541"/>
      <c r="R39" s="541"/>
      <c r="S39" s="541"/>
      <c r="T39" s="542"/>
      <c r="U39" s="542"/>
      <c r="V39" s="542"/>
      <c r="W39" s="535"/>
      <c r="X39" s="535"/>
      <c r="Y39" s="535"/>
    </row>
    <row r="40" spans="1:25">
      <c r="A40" s="1074" t="s">
        <v>347</v>
      </c>
      <c r="B40" s="1075"/>
      <c r="C40" s="494"/>
      <c r="D40" s="370" t="s">
        <v>352</v>
      </c>
      <c r="E40" s="370"/>
      <c r="F40" s="370"/>
      <c r="G40" s="494" t="s">
        <v>405</v>
      </c>
      <c r="H40" s="370"/>
      <c r="I40" s="370"/>
      <c r="J40" s="495"/>
      <c r="K40" s="370"/>
      <c r="L40" s="1075" t="s">
        <v>362</v>
      </c>
      <c r="M40" s="1075"/>
      <c r="N40" s="494"/>
      <c r="O40" s="541"/>
      <c r="P40" s="541"/>
      <c r="Q40" s="541"/>
      <c r="R40" s="541"/>
      <c r="S40" s="541"/>
      <c r="T40" s="542"/>
      <c r="U40" s="542"/>
      <c r="V40" s="542"/>
      <c r="W40" s="535"/>
      <c r="X40" s="535"/>
      <c r="Y40" s="535"/>
    </row>
    <row r="41" spans="1:25" ht="16.5" thickBot="1">
      <c r="A41" s="382"/>
      <c r="B41" s="212"/>
      <c r="C41" s="212"/>
      <c r="D41" s="378"/>
      <c r="E41" s="86"/>
      <c r="F41" s="86"/>
      <c r="G41" s="86"/>
      <c r="H41" s="86"/>
      <c r="I41" s="86"/>
      <c r="J41" s="86"/>
      <c r="K41" s="86"/>
      <c r="L41" s="86"/>
      <c r="M41" s="86"/>
      <c r="N41" s="325"/>
      <c r="O41" s="541"/>
      <c r="P41" s="541"/>
      <c r="Q41" s="541"/>
      <c r="R41" s="541"/>
      <c r="S41" s="541"/>
      <c r="T41" s="542"/>
      <c r="U41" s="542"/>
      <c r="V41" s="542"/>
      <c r="W41" s="535"/>
      <c r="X41" s="535"/>
      <c r="Y41" s="535"/>
    </row>
    <row r="42" spans="1:25" ht="15.75" thickBot="1">
      <c r="A42" s="1048" t="s">
        <v>404</v>
      </c>
      <c r="B42" s="1030"/>
      <c r="C42" s="1144" t="s">
        <v>555</v>
      </c>
      <c r="D42" s="1145"/>
      <c r="E42" s="1145"/>
      <c r="F42" s="1145"/>
      <c r="G42" s="1145"/>
      <c r="H42" s="1145"/>
      <c r="I42" s="1145"/>
      <c r="J42" s="1145"/>
      <c r="K42" s="1145"/>
      <c r="L42" s="1145"/>
      <c r="M42" s="1145"/>
      <c r="N42" s="1146"/>
      <c r="O42" s="1141" t="s">
        <v>555</v>
      </c>
      <c r="P42" s="1142"/>
      <c r="Q42" s="1142"/>
      <c r="R42" s="1142"/>
      <c r="S42" s="1142"/>
      <c r="T42" s="1142"/>
      <c r="U42" s="542"/>
      <c r="V42" s="542"/>
      <c r="W42" s="535"/>
      <c r="X42" s="535"/>
      <c r="Y42" s="535"/>
    </row>
    <row r="43" spans="1:25" ht="15.75">
      <c r="A43" s="382"/>
      <c r="B43" s="212"/>
      <c r="C43" s="212"/>
      <c r="D43" s="378"/>
      <c r="E43" s="86"/>
      <c r="F43" s="86"/>
      <c r="G43" s="86"/>
      <c r="H43" s="86"/>
      <c r="I43" s="86"/>
      <c r="J43" s="86"/>
      <c r="K43" s="86"/>
      <c r="L43" s="86"/>
      <c r="M43" s="86"/>
      <c r="N43" s="325"/>
      <c r="O43" s="541"/>
      <c r="P43" s="541"/>
      <c r="Q43" s="541"/>
      <c r="R43" s="541"/>
      <c r="S43" s="541"/>
      <c r="T43" s="542"/>
      <c r="U43" s="542"/>
      <c r="V43" s="542"/>
      <c r="W43" s="535"/>
      <c r="X43" s="535"/>
      <c r="Y43" s="535"/>
    </row>
    <row r="44" spans="1:25" ht="15.75">
      <c r="A44" s="382"/>
      <c r="B44" s="212"/>
      <c r="C44" s="212"/>
      <c r="D44" s="378"/>
      <c r="E44" s="86"/>
      <c r="F44" s="86"/>
      <c r="G44" s="86"/>
      <c r="H44" s="86"/>
      <c r="I44" s="86"/>
      <c r="J44" s="86"/>
      <c r="K44" s="86"/>
      <c r="L44" s="86"/>
      <c r="M44" s="86"/>
      <c r="N44" s="325"/>
      <c r="O44" s="541"/>
      <c r="P44" s="541"/>
      <c r="Q44" s="541"/>
      <c r="R44" s="541"/>
      <c r="S44" s="541"/>
      <c r="T44" s="542"/>
      <c r="U44" s="542"/>
      <c r="V44" s="542"/>
      <c r="W44" s="535"/>
      <c r="X44" s="535"/>
      <c r="Y44" s="535"/>
    </row>
    <row r="45" spans="1:25" ht="15.75">
      <c r="A45" s="383"/>
      <c r="B45" s="384"/>
      <c r="C45" s="384"/>
      <c r="D45" s="385"/>
      <c r="E45" s="335"/>
      <c r="F45" s="335"/>
      <c r="G45" s="335"/>
      <c r="H45" s="335"/>
      <c r="I45" s="335"/>
      <c r="J45" s="335"/>
      <c r="K45" s="335"/>
      <c r="L45" s="335"/>
      <c r="M45" s="335"/>
      <c r="N45" s="352"/>
      <c r="O45" s="541"/>
      <c r="P45" s="541"/>
      <c r="Q45" s="541"/>
      <c r="R45" s="541"/>
      <c r="S45" s="541"/>
      <c r="T45" s="542"/>
      <c r="U45" s="542"/>
      <c r="V45" s="542"/>
      <c r="W45" s="535"/>
      <c r="X45" s="535"/>
      <c r="Y45" s="535"/>
    </row>
    <row r="46" spans="1:25" ht="15.75">
      <c r="A46" s="456"/>
      <c r="B46" s="456"/>
      <c r="C46" s="456"/>
      <c r="D46" s="3"/>
      <c r="O46" s="541"/>
      <c r="P46" s="541"/>
      <c r="Q46" s="541"/>
      <c r="R46" s="541"/>
      <c r="S46" s="541"/>
      <c r="T46" s="542"/>
      <c r="U46" s="542"/>
      <c r="V46" s="542"/>
      <c r="W46" s="535"/>
      <c r="X46" s="535"/>
      <c r="Y46" s="535"/>
    </row>
    <row r="47" spans="1:25" ht="15.75">
      <c r="A47" s="456"/>
      <c r="B47" s="456"/>
      <c r="C47" s="456"/>
      <c r="D47" s="3"/>
      <c r="O47" s="541"/>
      <c r="P47" s="541"/>
      <c r="Q47" s="541"/>
      <c r="R47" s="541"/>
      <c r="S47" s="541"/>
      <c r="T47" s="542"/>
      <c r="U47" s="542"/>
      <c r="V47" s="542"/>
      <c r="W47" s="535"/>
      <c r="X47" s="535"/>
      <c r="Y47" s="535"/>
    </row>
    <row r="48" spans="1:25">
      <c r="C48" s="453" t="s">
        <v>211</v>
      </c>
      <c r="D48" s="453" t="s">
        <v>217</v>
      </c>
      <c r="E48" s="36"/>
      <c r="F48" s="36"/>
      <c r="G48" s="36"/>
      <c r="H48" s="36"/>
      <c r="O48" s="541"/>
      <c r="P48" s="541"/>
      <c r="Q48" s="541"/>
      <c r="R48" s="541"/>
      <c r="S48" s="541"/>
      <c r="T48" s="542"/>
      <c r="U48" s="542"/>
      <c r="V48" s="542"/>
      <c r="W48" s="535"/>
      <c r="X48" s="535"/>
      <c r="Y48" s="535"/>
    </row>
    <row r="49" spans="1:25">
      <c r="A49" s="43" t="s">
        <v>213</v>
      </c>
      <c r="B49" s="43"/>
      <c r="C49" s="41"/>
      <c r="D49" s="41" t="s">
        <v>218</v>
      </c>
      <c r="E49" s="140"/>
      <c r="G49" s="141"/>
      <c r="I49" s="141"/>
      <c r="K49" s="141"/>
      <c r="M49" s="142"/>
      <c r="O49" s="541"/>
      <c r="P49" s="541"/>
      <c r="Q49" s="541"/>
      <c r="R49" s="541"/>
      <c r="S49" s="541"/>
      <c r="T49" s="542"/>
      <c r="U49" s="542"/>
      <c r="V49" s="542"/>
      <c r="W49" s="535"/>
      <c r="X49" s="535"/>
      <c r="Y49" s="535"/>
    </row>
    <row r="50" spans="1:25">
      <c r="A50" s="43" t="s">
        <v>214</v>
      </c>
      <c r="B50" s="43"/>
      <c r="C50" s="41"/>
      <c r="D50" s="41" t="s">
        <v>218</v>
      </c>
      <c r="E50" s="140"/>
      <c r="G50" s="141"/>
      <c r="I50" s="141"/>
      <c r="K50" s="141"/>
      <c r="M50" s="142"/>
      <c r="O50" s="541"/>
      <c r="P50" s="541"/>
      <c r="Q50" s="541"/>
      <c r="R50" s="541"/>
      <c r="S50" s="541"/>
      <c r="T50" s="542"/>
      <c r="U50" s="542"/>
      <c r="V50" s="542"/>
      <c r="W50" s="535"/>
      <c r="X50" s="535"/>
      <c r="Y50" s="535"/>
    </row>
    <row r="51" spans="1:25">
      <c r="A51" s="43" t="s">
        <v>215</v>
      </c>
      <c r="B51" s="43"/>
      <c r="C51" s="41"/>
      <c r="D51" s="41" t="s">
        <v>218</v>
      </c>
      <c r="E51" s="140"/>
      <c r="G51" s="141"/>
      <c r="I51" s="141"/>
      <c r="K51" s="141"/>
      <c r="M51" s="142"/>
      <c r="O51" s="541"/>
      <c r="P51" s="541"/>
      <c r="Q51" s="541"/>
      <c r="R51" s="541"/>
      <c r="S51" s="541"/>
      <c r="T51" s="542"/>
      <c r="U51" s="542"/>
      <c r="V51" s="542"/>
      <c r="W51" s="535"/>
      <c r="X51" s="535"/>
      <c r="Y51" s="535"/>
    </row>
    <row r="52" spans="1:25">
      <c r="A52" s="43" t="s">
        <v>216</v>
      </c>
      <c r="B52" s="43"/>
      <c r="C52" s="41"/>
      <c r="D52" s="41" t="s">
        <v>218</v>
      </c>
      <c r="E52" s="140"/>
      <c r="G52" s="141"/>
      <c r="I52" s="141"/>
      <c r="K52" s="141"/>
      <c r="M52" s="142"/>
      <c r="O52" s="541"/>
      <c r="P52" s="541"/>
      <c r="Q52" s="541"/>
      <c r="R52" s="541"/>
      <c r="S52" s="541"/>
      <c r="T52" s="542"/>
      <c r="U52" s="542"/>
      <c r="V52" s="542"/>
      <c r="W52" s="535"/>
      <c r="X52" s="535"/>
      <c r="Y52" s="535"/>
    </row>
    <row r="53" spans="1:25">
      <c r="A53" s="1148" t="s">
        <v>20</v>
      </c>
      <c r="B53" s="1148"/>
      <c r="C53" s="1148"/>
      <c r="D53" s="1148"/>
      <c r="E53" s="31"/>
      <c r="O53" s="541"/>
      <c r="P53" s="541"/>
      <c r="Q53" s="541"/>
      <c r="R53" s="541"/>
      <c r="S53" s="541"/>
      <c r="T53" s="542"/>
      <c r="U53" s="542"/>
      <c r="V53" s="542"/>
      <c r="W53" s="535"/>
      <c r="X53" s="535"/>
      <c r="Y53" s="535"/>
    </row>
    <row r="54" spans="1:25">
      <c r="A54" s="1149" t="s">
        <v>21</v>
      </c>
      <c r="B54" s="1149"/>
      <c r="C54" s="1149"/>
      <c r="D54" s="4"/>
      <c r="O54" s="541"/>
      <c r="P54" s="541"/>
      <c r="Q54" s="541"/>
      <c r="R54" s="541"/>
      <c r="S54" s="541"/>
      <c r="T54" s="542"/>
      <c r="U54" s="542"/>
      <c r="V54" s="542"/>
      <c r="W54" s="535"/>
      <c r="X54" s="535"/>
      <c r="Y54" s="535"/>
    </row>
    <row r="55" spans="1:25">
      <c r="A55" s="1135" t="s">
        <v>22</v>
      </c>
      <c r="B55" s="1135"/>
      <c r="C55" s="48" t="s">
        <v>226</v>
      </c>
      <c r="D55" s="44" t="s">
        <v>219</v>
      </c>
      <c r="E55" s="141">
        <v>6</v>
      </c>
      <c r="F55" s="1" t="str">
        <f>IF(E55=0,"ND",IF(E55&lt;12,"BAJO",IF(E55=11.9,"BAJO",IF(E55=12,"NORMAL",IF(E55&lt;=16,"NORMAL",IF(E55&gt;=16.1,"ALTO"))))))</f>
        <v>BAJO</v>
      </c>
      <c r="G55" s="141">
        <v>0</v>
      </c>
      <c r="H55" s="1" t="str">
        <f>IF(G55=0,"ND",IF(G55&lt;12,"BAJO",IF(G55=11.9,"BAJO",IF(G55=12,"NORMAL",IF(G55&lt;=16,"NORMAL",IF(G55&gt;=16.1,"ALTO"))))))</f>
        <v>ND</v>
      </c>
      <c r="I55" s="141">
        <v>0</v>
      </c>
      <c r="J55" s="1" t="str">
        <f>IF(I55=0,"ND",IF(I55&lt;12,"BAJO",IF(I55=11.9,"BAJO",IF(I55=12,"NORMAL",IF(I55&lt;=16,"NORMAL",IF(I55&gt;=16.1,"ALTO"))))))</f>
        <v>ND</v>
      </c>
      <c r="K55" s="141">
        <v>0</v>
      </c>
      <c r="L55" s="1" t="str">
        <f>IF(K55=0,"ND",IF(K55&lt;12,"BAJO",IF(K55=11.9,"BAJO",IF(K55=12,"NORMAL",IF(K55&lt;=16,"NORMAL",IF(K55&gt;=16.1,"ALTO"))))))</f>
        <v>ND</v>
      </c>
      <c r="M55" s="141">
        <v>0</v>
      </c>
      <c r="N55" s="1" t="str">
        <f>IF(M55=0,"ND",IF(M55&lt;12,"BAJO",IF(M55=11.9,"BAJO",IF(M55=12,"NORMAL",IF(M55&lt;=16,"NORMAL",IF(M55&gt;=16.1,"ALTO"))))))</f>
        <v>ND</v>
      </c>
      <c r="O55" s="541"/>
      <c r="P55" s="541"/>
      <c r="Q55" s="541"/>
      <c r="R55" s="541"/>
      <c r="S55" s="541"/>
      <c r="T55" s="542"/>
      <c r="U55" s="542"/>
      <c r="V55" s="542"/>
      <c r="W55" s="535"/>
      <c r="X55" s="535"/>
      <c r="Y55" s="535"/>
    </row>
    <row r="56" spans="1:25" s="62" customFormat="1">
      <c r="A56" s="59"/>
      <c r="B56" s="59"/>
      <c r="C56" s="66"/>
      <c r="D56" s="67"/>
      <c r="O56" s="540"/>
      <c r="P56" s="540"/>
      <c r="Q56" s="540"/>
      <c r="R56" s="540"/>
      <c r="S56" s="540"/>
      <c r="T56" s="540"/>
      <c r="U56" s="540"/>
      <c r="V56" s="540"/>
      <c r="W56" s="536"/>
      <c r="X56" s="536"/>
      <c r="Y56" s="536"/>
    </row>
    <row r="57" spans="1:25">
      <c r="A57" s="1135" t="s">
        <v>23</v>
      </c>
      <c r="B57" s="1135"/>
      <c r="C57" s="46" t="s">
        <v>227</v>
      </c>
      <c r="D57" s="42" t="s">
        <v>52</v>
      </c>
      <c r="E57" s="141">
        <v>0</v>
      </c>
      <c r="F57" s="1" t="str">
        <f>IF(E57=0,"ND",IF(E57&lt;36,"BAJO",IF(E57=35.9,"BAJO",IF(E57=36,"NORMAL",IF(E57&lt;=47,"NORMAL",IF(E57&gt;=47.1,"ALTO"))))))</f>
        <v>ND</v>
      </c>
      <c r="G57" s="141">
        <v>0</v>
      </c>
      <c r="H57" s="1" t="str">
        <f>IF(G57=0,"ND",IF(G57&lt;36,"BAJO",IF(G57=35.9,"BAJO",IF(G57=36,"NORMAL",IF(G57&lt;=47,"NORMAL",IF(G57&gt;=47.1,"ALTO"))))))</f>
        <v>ND</v>
      </c>
      <c r="I57" s="141">
        <v>0</v>
      </c>
      <c r="J57" s="1" t="str">
        <f>IF(I57=0,"ND",IF(I57&lt;36,"BAJO",IF(I57=35.9,"BAJO",IF(I57=36,"NORMAL",IF(I57&lt;=47,"NORMAL",IF(I57&gt;=47.1,"ALTO"))))))</f>
        <v>ND</v>
      </c>
      <c r="K57" s="141">
        <v>0</v>
      </c>
      <c r="L57" s="1" t="str">
        <f>IF(K57=0,"ND",IF(K57&lt;36,"BAJO",IF(K57=35.9,"BAJO",IF(K57=36,"NORMAL",IF(K57&lt;=47,"NORMAL",IF(K57&gt;=47.1,"ALTO"))))))</f>
        <v>ND</v>
      </c>
      <c r="M57" s="141">
        <v>0</v>
      </c>
      <c r="N57" s="1" t="str">
        <f>IF(M57=0,"ND",IF(M57&lt;36,"BAJO",IF(M57=35.9,"BAJO",IF(M57=36,"NORMAL",IF(M57&lt;=47,"NORMAL",IF(M57&gt;=47.1,"ALTO"))))))</f>
        <v>ND</v>
      </c>
      <c r="O57" s="542"/>
      <c r="P57" s="542"/>
      <c r="Q57" s="542"/>
      <c r="R57" s="542"/>
      <c r="S57" s="542"/>
      <c r="T57" s="542"/>
      <c r="U57" s="542"/>
      <c r="V57" s="542"/>
      <c r="W57" s="535"/>
      <c r="X57" s="535"/>
      <c r="Y57" s="535"/>
    </row>
    <row r="58" spans="1:25" s="62" customFormat="1">
      <c r="A58" s="59"/>
      <c r="B58" s="59"/>
      <c r="C58" s="60"/>
      <c r="D58" s="61"/>
      <c r="O58" s="540"/>
      <c r="P58" s="540"/>
      <c r="Q58" s="540"/>
      <c r="R58" s="540"/>
      <c r="S58" s="540"/>
      <c r="T58" s="540"/>
      <c r="U58" s="540"/>
      <c r="V58" s="540"/>
      <c r="W58" s="536"/>
      <c r="X58" s="536"/>
      <c r="Y58" s="536"/>
    </row>
    <row r="59" spans="1:25">
      <c r="A59" s="1135" t="s">
        <v>24</v>
      </c>
      <c r="B59" s="1135"/>
      <c r="C59" s="46" t="s">
        <v>228</v>
      </c>
      <c r="D59" s="42" t="s">
        <v>220</v>
      </c>
      <c r="E59" s="141">
        <v>0</v>
      </c>
      <c r="F59" s="1" t="str">
        <f>IF(E59=0,"ND",IF(E59&lt;4000,"BAJO",IF(E59=4000,"NORMAL",IF(E59&lt;=11000,"NORMAL",IF(E59&gt;=11001,"ALTO")))))</f>
        <v>ND</v>
      </c>
      <c r="G59" s="141"/>
      <c r="H59" s="1" t="str">
        <f>IF(G59=0,"ND",IF(G59&lt;4000,"BAJO",IF(G59=4000,"NORMAL",IF(G59&lt;=11000,"NORMAL",IF(G59&gt;=11001,"ALTO")))))</f>
        <v>ND</v>
      </c>
      <c r="I59" s="143"/>
      <c r="J59" s="1" t="str">
        <f>IF(I59=0,"ND",IF(I59&lt;4000,"BAJO",IF(I59=4000,"NORMAL",IF(I59&lt;=11000,"NORMAL",IF(I59&gt;=11001,"ALTO")))))</f>
        <v>ND</v>
      </c>
      <c r="K59" s="143"/>
      <c r="L59" s="1" t="str">
        <f>IF(K59=0,"ND",IF(K59&lt;4000,"BAJO",IF(K59=4000,"NORMAL",IF(K59&lt;=11000,"NORMAL",IF(K59&gt;=11001,"ALTO")))))</f>
        <v>ND</v>
      </c>
      <c r="M59" s="143">
        <v>0</v>
      </c>
      <c r="N59" s="1" t="str">
        <f>IF(M59=0,"ND",IF(M59&lt;4000,"BAJO",IF(M59=4000,"NORMAL",IF(M59&lt;=11000,"NORMAL",IF(M59&gt;=11001,"ALTO")))))</f>
        <v>ND</v>
      </c>
      <c r="O59" s="542"/>
      <c r="P59" s="542"/>
      <c r="Q59" s="542"/>
      <c r="R59" s="542"/>
      <c r="S59" s="542"/>
      <c r="T59" s="542"/>
      <c r="U59" s="542"/>
      <c r="V59" s="542"/>
      <c r="W59" s="535"/>
      <c r="X59" s="535"/>
      <c r="Y59" s="535"/>
    </row>
    <row r="60" spans="1:25">
      <c r="A60" s="984"/>
      <c r="B60" s="984"/>
      <c r="C60" s="984"/>
      <c r="D60" s="4"/>
      <c r="O60" s="542"/>
      <c r="P60" s="542"/>
      <c r="Q60" s="542"/>
      <c r="R60" s="542"/>
      <c r="S60" s="542"/>
      <c r="T60" s="542"/>
      <c r="U60" s="542"/>
      <c r="V60" s="542"/>
      <c r="W60" s="535"/>
      <c r="X60" s="535"/>
      <c r="Y60" s="535"/>
    </row>
    <row r="61" spans="1:25">
      <c r="A61" s="1138" t="s">
        <v>20</v>
      </c>
      <c r="B61" s="1138"/>
      <c r="C61" s="1138"/>
      <c r="D61" s="4"/>
      <c r="O61" s="542"/>
      <c r="P61" s="542"/>
      <c r="Q61" s="542"/>
      <c r="R61" s="542"/>
      <c r="S61" s="542"/>
      <c r="T61" s="542"/>
      <c r="U61" s="542"/>
      <c r="V61" s="542"/>
      <c r="W61" s="535"/>
      <c r="X61" s="535"/>
      <c r="Y61" s="535"/>
    </row>
    <row r="62" spans="1:25">
      <c r="A62" s="1135" t="s">
        <v>25</v>
      </c>
      <c r="B62" s="1135"/>
      <c r="C62" s="56" t="s">
        <v>229</v>
      </c>
      <c r="D62" s="57" t="s">
        <v>221</v>
      </c>
      <c r="E62" s="144">
        <v>107</v>
      </c>
      <c r="F62" s="1" t="str">
        <f>IF(E62=0,"ND",IF(E62&lt;65,"BAJO",IF(E62=64.9,"BAJO",IF(E62=65,"NORMAL",IF(E62&lt;=110,"NORMAL",IF(E62&gt;=110.1,"ALTO"))))))</f>
        <v>NORMAL</v>
      </c>
      <c r="G62" s="144"/>
      <c r="H62" s="1" t="str">
        <f>IF(G62=0,"ND",IF(G62&lt;65,"BAJO",IF(G62=64.9,"BAJO",IF(G62=65,"NORMAL",IF(G62&lt;=110,"NORMAL",IF(G62&gt;=110.1,"ALTO"))))))</f>
        <v>ND</v>
      </c>
      <c r="I62" s="144"/>
      <c r="J62" s="1" t="str">
        <f>IF(I62=0,"ND",IF(I62&lt;65,"BAJO",IF(I62=64.9,"BAJO",IF(I62=65,"NORMAL",IF(I62&lt;=110,"NORMAL",IF(I62&gt;=110.1,"ALTO"))))))</f>
        <v>ND</v>
      </c>
      <c r="K62" s="144"/>
      <c r="L62" s="1" t="str">
        <f>IF(K62=0,"ND",IF(K62&lt;65,"BAJO",IF(K62=64.9,"BAJO",IF(K62=65,"NORMAL",IF(K62&lt;=110,"NORMAL",IF(K62&gt;=110.1,"ALTO"))))))</f>
        <v>ND</v>
      </c>
      <c r="M62" s="144">
        <v>99</v>
      </c>
      <c r="N62" s="1" t="str">
        <f>IF(M62=0,"ND",IF(M62&lt;65,"BAJO",IF(M62=64.9,"BAJO",IF(M62=65,"NORMAL",IF(M62&lt;=110,"NORMAL",IF(M62&gt;=110.1,"ALTO"))))))</f>
        <v>NORMAL</v>
      </c>
      <c r="O62" s="542"/>
      <c r="P62" s="542"/>
      <c r="Q62" s="542"/>
      <c r="R62" s="542"/>
      <c r="S62" s="542"/>
      <c r="T62" s="542"/>
      <c r="U62" s="542"/>
      <c r="V62" s="542"/>
      <c r="W62" s="535"/>
      <c r="X62" s="535"/>
      <c r="Y62" s="535"/>
    </row>
    <row r="63" spans="1:25" s="62" customFormat="1">
      <c r="A63" s="59"/>
      <c r="B63" s="59"/>
      <c r="C63" s="60"/>
      <c r="D63" s="61"/>
      <c r="O63" s="540"/>
      <c r="P63" s="540"/>
      <c r="Q63" s="540"/>
      <c r="R63" s="540"/>
      <c r="S63" s="540"/>
      <c r="T63" s="540"/>
      <c r="U63" s="540"/>
      <c r="V63" s="540"/>
      <c r="W63" s="536"/>
      <c r="X63" s="536"/>
      <c r="Y63" s="536"/>
    </row>
    <row r="64" spans="1:25">
      <c r="A64" s="1135" t="s">
        <v>26</v>
      </c>
      <c r="B64" s="1135"/>
      <c r="C64" s="70" t="s">
        <v>230</v>
      </c>
      <c r="D64" s="69" t="s">
        <v>221</v>
      </c>
      <c r="E64" s="145">
        <v>21</v>
      </c>
      <c r="F64" s="1" t="str">
        <f>IF(E64=0,"ND",IF(E64&lt;14,"BAJO",IF(E64=13.9,"BAJO",IF(E64=14,"NORMAL",IF(E64&lt;=44,"NORMAL",IF(E64&gt;=44.1,"ALTO"))))))</f>
        <v>NORMAL</v>
      </c>
      <c r="G64" s="145"/>
      <c r="H64" s="1" t="str">
        <f>IF(G64=0,"ND",IF(G64&lt;14,"BAJO",IF(G64=13.9,"BAJO",IF(G64=14,"NORMAL",IF(G64&lt;=44,"NORMAL",IF(G64&gt;=44.1,"ALTO"))))))</f>
        <v>ND</v>
      </c>
      <c r="I64" s="145"/>
      <c r="J64" s="1" t="str">
        <f>IF(I64=0,"ND",IF(I64&lt;14,"BAJO",IF(I64=13.9,"BAJO",IF(I64=14,"NORMAL",IF(I64&lt;=44,"NORMAL",IF(I64&gt;=44.1,"ALTO"))))))</f>
        <v>ND</v>
      </c>
      <c r="K64" s="145"/>
      <c r="L64" s="1" t="str">
        <f>IF(K64=0,"ND",IF(K64&lt;14,"BAJO",IF(K64=13.9,"BAJO",IF(K64=14,"NORMAL",IF(K64&lt;=44,"NORMAL",IF(K64&gt;=44.1,"ALTO"))))))</f>
        <v>ND</v>
      </c>
      <c r="M64" s="145"/>
      <c r="N64" s="1" t="str">
        <f>IF(M64=0,"ND",IF(M64&lt;14,"BAJO",IF(M64=13.9,"BAJO",IF(M64=14,"NORMAL",IF(M64&lt;=44,"NORMAL",IF(M64&gt;=44.1,"ALTO"))))))</f>
        <v>ND</v>
      </c>
      <c r="O64" s="542"/>
      <c r="P64" s="542"/>
      <c r="Q64" s="542"/>
      <c r="R64" s="542"/>
      <c r="S64" s="542"/>
      <c r="T64" s="542"/>
      <c r="U64" s="542"/>
      <c r="V64" s="542"/>
      <c r="W64" s="535"/>
      <c r="X64" s="535"/>
      <c r="Y64" s="535"/>
    </row>
    <row r="65" spans="1:25" s="62" customFormat="1">
      <c r="A65" s="59"/>
      <c r="B65" s="59"/>
      <c r="C65" s="71"/>
      <c r="D65" s="61"/>
      <c r="O65" s="540"/>
      <c r="P65" s="540"/>
      <c r="Q65" s="540"/>
      <c r="R65" s="540"/>
      <c r="S65" s="540"/>
      <c r="T65" s="540"/>
      <c r="U65" s="540"/>
      <c r="V65" s="540"/>
      <c r="W65" s="536"/>
      <c r="X65" s="536"/>
      <c r="Y65" s="536"/>
    </row>
    <row r="66" spans="1:25">
      <c r="A66" s="1135" t="s">
        <v>27</v>
      </c>
      <c r="B66" s="1135"/>
      <c r="C66" s="68" t="s">
        <v>225</v>
      </c>
      <c r="D66" s="69" t="s">
        <v>221</v>
      </c>
      <c r="E66" s="145">
        <v>0</v>
      </c>
      <c r="F66" s="1" t="str">
        <f>IF(E66=0,"ND",IF(E66&lt;3.4,"BAJO",IF(E66&lt;=3.39,"BAJO",IF(E66=3.4,"NORMAL",IF(E66&lt;=7,"NORMAL",IF(E66&gt;=7.1,"ALTO"))))))</f>
        <v>ND</v>
      </c>
      <c r="G66" s="145"/>
      <c r="H66" s="1" t="str">
        <f>IF(G66=0,"ND",IF(G66&lt;3.4,"BAJO",IF(G66&lt;=3.39,"BAJO",IF(G66=3.4,"NORMAL",IF(G66&lt;=7,"NORMAL",IF(G66&gt;=7.1,"ALTO"))))))</f>
        <v>ND</v>
      </c>
      <c r="I66" s="145"/>
      <c r="J66" s="1" t="str">
        <f>IF(I66=0,"ND",IF(I66&lt;3.4,"BAJO",IF(I66&lt;=3.39,"BAJO",IF(I66=3.4,"NORMAL",IF(I66&lt;=7,"NORMAL",IF(I66&gt;=7.1,"ALTO"))))))</f>
        <v>ND</v>
      </c>
      <c r="K66" s="145"/>
      <c r="L66" s="1" t="str">
        <f>IF(K66=0,"ND",IF(K66&lt;3.4,"BAJO",IF(K66&lt;=3.39,"BAJO",IF(K66=3.4,"NORMAL",IF(K66&lt;=7,"NORMAL",IF(K66&gt;=7.1,"ALTO"))))))</f>
        <v>ND</v>
      </c>
      <c r="M66" s="145"/>
      <c r="N66" s="1" t="str">
        <f>IF(M66=0,"ND",IF(M66&lt;3.4,"BAJO",IF(M66&lt;=3.39,"BAJO",IF(M66=3.4,"NORMAL",IF(M66&lt;=7,"NORMAL",IF(M66&gt;=7.1,"ALTO"))))))</f>
        <v>ND</v>
      </c>
      <c r="O66" s="542"/>
      <c r="P66" s="542"/>
      <c r="Q66" s="542"/>
      <c r="R66" s="542"/>
      <c r="S66" s="542"/>
      <c r="T66" s="542"/>
      <c r="U66" s="542"/>
      <c r="V66" s="542"/>
      <c r="W66" s="535"/>
      <c r="X66" s="535"/>
      <c r="Y66" s="535"/>
    </row>
    <row r="67" spans="1:25" s="62" customFormat="1">
      <c r="A67" s="59"/>
      <c r="B67" s="59"/>
      <c r="C67" s="60"/>
      <c r="D67" s="61"/>
      <c r="O67" s="540"/>
      <c r="P67" s="540"/>
      <c r="Q67" s="540"/>
      <c r="R67" s="540"/>
      <c r="S67" s="540"/>
      <c r="T67" s="540"/>
      <c r="U67" s="540"/>
      <c r="V67" s="540"/>
      <c r="W67" s="536"/>
      <c r="X67" s="536"/>
      <c r="Y67" s="536"/>
    </row>
    <row r="68" spans="1:25">
      <c r="A68" s="1135" t="s">
        <v>28</v>
      </c>
      <c r="B68" s="1135"/>
      <c r="C68" s="64" t="s">
        <v>231</v>
      </c>
      <c r="D68" s="58" t="s">
        <v>221</v>
      </c>
      <c r="E68" s="143">
        <v>0.6</v>
      </c>
      <c r="F68" s="1" t="str">
        <f>IF(E68=0,"ND",IF(E68&lt;0.5,"BAJO",IF(E68=0.49,"BAJO",IF(E68=0.5,"NORMAL",IF(E68&lt;=1.6,"NORMAL",IF(E68&gt;=1.61,"ALTO"))))))</f>
        <v>NORMAL</v>
      </c>
      <c r="G68" s="143"/>
      <c r="H68" s="1" t="str">
        <f>IF(G68=0,"ND",IF(G68&lt;0.5,"BAJO",IF(G68=0.49,"BAJO",IF(G68=0.5,"NORMAL",IF(G68&lt;=1.6,"NORMAL",IF(G68&gt;=1.61,"ALTO"))))))</f>
        <v>ND</v>
      </c>
      <c r="I68" s="143"/>
      <c r="J68" s="1" t="str">
        <f>IF(I68=0,"ND",IF(I68&lt;0.5,"BAJO",IF(I68=0.49,"BAJO",IF(I68=0.5,"NORMAL",IF(I68&lt;=1.6,"NORMAL",IF(I68&gt;=1.61,"ALTO"))))))</f>
        <v>ND</v>
      </c>
      <c r="K68" s="143"/>
      <c r="L68" s="1" t="str">
        <f>IF(K68=0,"ND",IF(K68&lt;0.5,"BAJO",IF(K68=0.49,"BAJO",IF(K68=0.5,"NORMAL",IF(K68&lt;=1.6,"NORMAL",IF(K68&gt;=1.61,"ALTO"))))))</f>
        <v>ND</v>
      </c>
      <c r="M68" s="143"/>
      <c r="N68" s="1" t="str">
        <f>IF(M68=0,"ND",IF(M68&lt;0.5,"BAJO",IF(M68=0.49,"BAJO",IF(M68=0.5,"NORMAL",IF(M68&lt;=1.6,"NORMAL",IF(M68&gt;=1.61,"ALTO"))))))</f>
        <v>ND</v>
      </c>
      <c r="O68" s="542"/>
      <c r="P68" s="542"/>
      <c r="Q68" s="542"/>
      <c r="R68" s="542"/>
      <c r="S68" s="542"/>
      <c r="T68" s="542"/>
      <c r="U68" s="542"/>
      <c r="V68" s="542"/>
      <c r="W68" s="535"/>
      <c r="X68" s="535"/>
      <c r="Y68" s="535"/>
    </row>
    <row r="69" spans="1:25">
      <c r="A69" s="984"/>
      <c r="B69" s="984"/>
      <c r="C69" s="984"/>
      <c r="D69" s="4"/>
      <c r="O69" s="542"/>
      <c r="P69" s="542"/>
      <c r="Q69" s="542"/>
      <c r="R69" s="542"/>
      <c r="S69" s="542"/>
      <c r="T69" s="542"/>
      <c r="U69" s="542"/>
      <c r="V69" s="542"/>
      <c r="W69" s="535"/>
      <c r="X69" s="535"/>
      <c r="Y69" s="535"/>
    </row>
    <row r="70" spans="1:25">
      <c r="A70" s="1138" t="s">
        <v>29</v>
      </c>
      <c r="B70" s="1138"/>
      <c r="C70" s="1138"/>
      <c r="D70" s="4"/>
      <c r="O70" s="542"/>
      <c r="P70" s="542"/>
      <c r="Q70" s="542"/>
      <c r="R70" s="542"/>
      <c r="S70" s="542"/>
      <c r="T70" s="542"/>
      <c r="U70" s="542"/>
      <c r="V70" s="542"/>
      <c r="W70" s="535"/>
      <c r="X70" s="535"/>
      <c r="Y70" s="535"/>
    </row>
    <row r="71" spans="1:25">
      <c r="A71" s="453" t="s">
        <v>30</v>
      </c>
      <c r="B71" s="453"/>
      <c r="C71" s="56" t="s">
        <v>224</v>
      </c>
      <c r="D71" s="57" t="s">
        <v>219</v>
      </c>
      <c r="E71" s="144">
        <v>0</v>
      </c>
      <c r="F71" s="1" t="str">
        <f>IF(E71=0,"ND",IF(E71&lt;6.4,"BAJO",IF(E71=6.39,"BAJO",IF(E71=6.4,"NORMAL",IF(E71&lt;=8.3,"NORMAL",IF(E71&gt;=8.31,"ALTO"))))))</f>
        <v>ND</v>
      </c>
      <c r="G71" s="144"/>
      <c r="H71" s="1" t="str">
        <f>IF(G71=0,"ND",IF(G71&lt;6.4,"BAJO",IF(G71=6.39,"BAJO",IF(G71=6.4,"NORMAL",IF(G71&lt;=8.3,"NORMAL",IF(G71&gt;=8.31,"ALTO"))))))</f>
        <v>ND</v>
      </c>
      <c r="I71" s="144"/>
      <c r="J71" s="1" t="str">
        <f>IF(I71=0,"ND",IF(I71&lt;6.4,"BAJO",IF(I71=6.39,"BAJO",IF(I71=6.4,"NORMAL",IF(I71&lt;=8.3,"NORMAL",IF(I71&gt;=8.31,"ALTO"))))))</f>
        <v>ND</v>
      </c>
      <c r="K71" s="144"/>
      <c r="L71" s="1" t="str">
        <f>IF(K71=0,"ND",IF(K71&lt;6.4,"BAJO",IF(K71=6.39,"BAJO",IF(K71=6.4,"NORMAL",IF(K71&lt;=8.3,"NORMAL",IF(K71&gt;=8.31,"ALTO"))))))</f>
        <v>ND</v>
      </c>
      <c r="M71" s="144"/>
      <c r="N71" s="1" t="str">
        <f>IF(M71=0,"ND",IF(M71&lt;6.4,"BAJO",IF(M71=6.39,"BAJO",IF(M71=6.4,"NORMAL",IF(M71&lt;=8.3,"NORMAL",IF(M71&gt;=8.31,"ALTO"))))))</f>
        <v>ND</v>
      </c>
      <c r="O71" s="542"/>
      <c r="P71" s="542"/>
      <c r="Q71" s="542"/>
      <c r="R71" s="542"/>
      <c r="S71" s="542"/>
      <c r="T71" s="542"/>
      <c r="U71" s="542"/>
      <c r="V71" s="542"/>
      <c r="W71" s="535"/>
      <c r="X71" s="535"/>
      <c r="Y71" s="535"/>
    </row>
    <row r="72" spans="1:25" s="62" customFormat="1">
      <c r="A72" s="65"/>
      <c r="B72" s="65"/>
      <c r="C72" s="60"/>
      <c r="D72" s="61"/>
      <c r="O72" s="540"/>
      <c r="P72" s="540"/>
      <c r="Q72" s="540"/>
      <c r="R72" s="540"/>
      <c r="S72" s="540"/>
      <c r="T72" s="540"/>
      <c r="U72" s="540"/>
      <c r="V72" s="540"/>
      <c r="W72" s="536"/>
      <c r="X72" s="536"/>
      <c r="Y72" s="536"/>
    </row>
    <row r="73" spans="1:25">
      <c r="A73" s="1139" t="s">
        <v>31</v>
      </c>
      <c r="B73" s="1139"/>
      <c r="C73" s="64" t="s">
        <v>212</v>
      </c>
      <c r="D73" s="58" t="s">
        <v>219</v>
      </c>
      <c r="E73" s="143">
        <v>1.7</v>
      </c>
      <c r="F73" s="1" t="str">
        <f>IF(E73=0,"ND",IF(E73&lt;3.4,"BAJO",IF(E73=3.39,"BAJO",IF(E73=3.4,"NORMAL",IF(E73&lt;=5,"NORMAL",IF(E73&gt;=5.01,"ALTO"))))))</f>
        <v>BAJO</v>
      </c>
      <c r="G73" s="143"/>
      <c r="H73" s="1" t="str">
        <f>IF(G73=0,"ND",IF(G73&lt;3.4,"BAJO",IF(G73=3.39,"BAJO",IF(G73=3.4,"NORMAL",IF(G73&lt;=5,"NORMAL",IF(G73&gt;=5.01,"ALTO"))))))</f>
        <v>ND</v>
      </c>
      <c r="I73" s="143"/>
      <c r="J73" s="1" t="str">
        <f>IF(I73=0,"ND",IF(I73&lt;3.4,"BAJO",IF(I73=3.39,"BAJO",IF(I73=3.4,"NORMAL",IF(I73&lt;=5,"NORMAL",IF(I73&gt;=5.01,"ALTO"))))))</f>
        <v>ND</v>
      </c>
      <c r="K73" s="143"/>
      <c r="L73" s="1" t="str">
        <f>IF(K73=0,"ND",IF(K73&lt;3.4,"BAJO",IF(K73=3.39,"BAJO",IF(K73=3.4,"NORMAL",IF(K73&lt;=5,"NORMAL",IF(K73&gt;=5.01,"ALTO"))))))</f>
        <v>ND</v>
      </c>
      <c r="M73" s="143"/>
      <c r="N73" s="1" t="str">
        <f>IF(M73=0,"ND",IF(M73&lt;3.4,"BAJO",IF(M73=3.39,"BAJO",IF(M73=3.4,"NORMAL",IF(M73&lt;=5,"NORMAL",IF(M73&gt;=5.01,"ALTO"))))))</f>
        <v>ND</v>
      </c>
      <c r="O73" s="542"/>
      <c r="P73" s="542"/>
      <c r="Q73" s="542"/>
      <c r="R73" s="542"/>
      <c r="S73" s="542"/>
      <c r="T73" s="542"/>
      <c r="U73" s="542"/>
      <c r="V73" s="542"/>
      <c r="W73" s="535"/>
      <c r="X73" s="535"/>
      <c r="Y73" s="535"/>
    </row>
    <row r="74" spans="1:25">
      <c r="A74" s="5"/>
      <c r="B74" s="5"/>
      <c r="C74" s="5"/>
      <c r="D74" s="4"/>
      <c r="O74" s="542"/>
      <c r="P74" s="542"/>
      <c r="Q74" s="542"/>
      <c r="R74" s="542"/>
      <c r="S74" s="542"/>
      <c r="T74" s="542"/>
      <c r="U74" s="542"/>
      <c r="V74" s="542"/>
      <c r="W74" s="535"/>
      <c r="X74" s="535"/>
      <c r="Y74" s="535"/>
    </row>
    <row r="75" spans="1:25">
      <c r="A75" s="1138" t="s">
        <v>32</v>
      </c>
      <c r="B75" s="1138"/>
      <c r="C75" s="1138"/>
      <c r="D75" s="4"/>
      <c r="O75" s="542"/>
      <c r="P75" s="542"/>
      <c r="Q75" s="542"/>
      <c r="R75" s="542"/>
      <c r="S75" s="542"/>
      <c r="T75" s="542"/>
      <c r="U75" s="542"/>
      <c r="V75" s="542"/>
      <c r="W75" s="535"/>
      <c r="X75" s="535"/>
      <c r="Y75" s="535"/>
    </row>
    <row r="76" spans="1:25">
      <c r="A76" s="440" t="s">
        <v>33</v>
      </c>
      <c r="B76" s="440"/>
      <c r="C76" s="46" t="s">
        <v>232</v>
      </c>
      <c r="D76" s="42" t="s">
        <v>221</v>
      </c>
      <c r="E76" s="141">
        <v>0</v>
      </c>
      <c r="F76" s="1" t="str">
        <f>IF(E76=0,"ND",IF(E76&lt;140,"BAJO",IF(E76=139.9,"BAJO",IF(E76=140,"NORMAL",IF(E76&lt;=200,"NORMAL",IF(E76&gt;=200.1,"ALTO"))))))</f>
        <v>ND</v>
      </c>
      <c r="G76" s="141"/>
      <c r="H76" s="1" t="str">
        <f>IF(G76=0,"ND",IF(G76&lt;140,"BAJO",IF(G76=139.9,"BAJO",IF(G76=140,"NORMAL",IF(G76&lt;=200,"NORMAL",IF(G76&gt;=200.1,"ALTO"))))))</f>
        <v>ND</v>
      </c>
      <c r="I76" s="141"/>
      <c r="J76" s="1" t="str">
        <f>IF(I76=0,"ND",IF(I76&lt;140,"BAJO",IF(I76=139.9,"BAJO",IF(I76=140,"NORMAL",IF(I76&lt;=200,"NORMAL",IF(I76&gt;=200.1,"ALTO"))))))</f>
        <v>ND</v>
      </c>
      <c r="K76" s="141"/>
      <c r="L76" s="1" t="str">
        <f>IF(K76=0,"ND",IF(K76&lt;140,"BAJO",IF(K76=139.9,"BAJO",IF(K76=140,"NORMAL",IF(K76&lt;=200,"NORMAL",IF(K76&gt;=200.1,"ALTO"))))))</f>
        <v>ND</v>
      </c>
      <c r="M76" s="141"/>
      <c r="N76" s="1" t="str">
        <f>IF(M76=0,"ND",IF(M76&lt;140,"BAJO",IF(M76=139.9,"BAJO",IF(M76=140,"NORMAL",IF(M76&lt;=200,"NORMAL",IF(M76&gt;=200.1,"ALTO"))))))</f>
        <v>ND</v>
      </c>
      <c r="O76" s="542"/>
      <c r="P76" s="542"/>
      <c r="Q76" s="542"/>
      <c r="R76" s="542"/>
      <c r="S76" s="542"/>
      <c r="T76" s="542"/>
      <c r="U76" s="542"/>
      <c r="V76" s="542"/>
      <c r="W76" s="535"/>
      <c r="X76" s="535"/>
      <c r="Y76" s="535"/>
    </row>
    <row r="77" spans="1:25" s="63" customFormat="1">
      <c r="A77" s="59"/>
      <c r="B77" s="59"/>
      <c r="C77" s="60"/>
      <c r="D77" s="61"/>
      <c r="E77" s="62"/>
      <c r="F77" s="62"/>
      <c r="G77" s="62"/>
      <c r="H77" s="62"/>
      <c r="I77" s="62"/>
      <c r="J77" s="62"/>
      <c r="K77" s="62"/>
      <c r="L77" s="62"/>
      <c r="M77" s="62"/>
      <c r="O77" s="542"/>
      <c r="P77" s="542"/>
      <c r="Q77" s="542"/>
      <c r="R77" s="542"/>
      <c r="S77" s="542"/>
      <c r="T77" s="542"/>
      <c r="U77" s="542"/>
      <c r="V77" s="542"/>
      <c r="W77" s="535"/>
      <c r="X77" s="535"/>
      <c r="Y77" s="535"/>
    </row>
    <row r="78" spans="1:25">
      <c r="A78" s="1135" t="s">
        <v>34</v>
      </c>
      <c r="B78" s="1135"/>
      <c r="C78" s="47" t="s">
        <v>233</v>
      </c>
      <c r="D78" s="42" t="s">
        <v>221</v>
      </c>
      <c r="E78" s="141">
        <v>0</v>
      </c>
      <c r="F78" s="1" t="str">
        <f>IF(E78=0,"ND",IF(E78&lt;40,"BAJO",IF(E78=39.9,"BAJO",IF(E78=40,"NORMAL",IF(E78&lt;=160,"NORMAL",IF(E78&gt;=160.1,"ALTO",IF(E78=0,"ND")))))))</f>
        <v>ND</v>
      </c>
      <c r="G78" s="141"/>
      <c r="H78" s="84" t="str">
        <f>IF(G78=0,"ND",IF(G78&lt;40,"BAJO",IF(G78=39.9,"BAJO",IF(G78=40,"NORMAL",IF(G78&lt;=160,"NORMAL",IF(G78&gt;=160.1,"ALTO"))))))</f>
        <v>ND</v>
      </c>
      <c r="I78" s="141"/>
      <c r="J78" s="1" t="str">
        <f>IF(I78=0,"ND",IF(I78&lt;40,"BAJO",IF(I78=39.9,"BAJO",IF(I78=40,"NORMAL",IF(I78&lt;=160,"NORMAL",IF(I78&gt;=160.1,"ALTO"))))))</f>
        <v>ND</v>
      </c>
      <c r="K78" s="141"/>
      <c r="L78" s="1" t="str">
        <f>IF(K78=0,"ND",IF(K78&lt;40,"BAJO",IF(K78=39.9,"BAJO",IF(K78=40,"NORMAL",IF(K78&lt;=160,"NORMAL",IF(K78&gt;=160.1,"ALTO"))))))</f>
        <v>ND</v>
      </c>
      <c r="M78" s="141"/>
      <c r="N78" s="1" t="str">
        <f>IF(M78=0,"ND",IF(M78&lt;40,"BAJO",IF(M78=39.9,"BAJO",IF(M78=40,"NORMAL",IF(M78&lt;=160,"NORMAL",IF(M78&gt;=160.1,"ALTO"))))))</f>
        <v>ND</v>
      </c>
      <c r="O78" s="542"/>
      <c r="P78" s="542"/>
      <c r="Q78" s="542"/>
      <c r="R78" s="542"/>
      <c r="S78" s="542"/>
      <c r="T78" s="542"/>
      <c r="U78" s="542"/>
      <c r="V78" s="542"/>
      <c r="W78" s="535"/>
      <c r="X78" s="535"/>
      <c r="Y78" s="535"/>
    </row>
    <row r="79" spans="1:25" s="63" customFormat="1">
      <c r="A79" s="59" t="s">
        <v>237</v>
      </c>
      <c r="B79" s="59"/>
      <c r="C79" s="1140"/>
      <c r="D79" s="1140"/>
      <c r="E79" s="1140"/>
      <c r="F79" s="1140"/>
      <c r="G79" s="62"/>
      <c r="I79" s="62"/>
      <c r="K79" s="62"/>
      <c r="M79" s="62"/>
      <c r="O79" s="542"/>
      <c r="P79" s="542"/>
      <c r="Q79" s="542"/>
      <c r="R79" s="542"/>
      <c r="S79" s="542"/>
      <c r="T79" s="542"/>
      <c r="U79" s="542"/>
      <c r="V79" s="542"/>
      <c r="W79" s="535"/>
      <c r="X79" s="535"/>
      <c r="Y79" s="535"/>
    </row>
    <row r="80" spans="1:25">
      <c r="A80" s="1138" t="s">
        <v>35</v>
      </c>
      <c r="B80" s="1138"/>
      <c r="C80" s="1138"/>
      <c r="D80" s="4"/>
      <c r="E80" s="45"/>
      <c r="O80" s="542"/>
      <c r="P80" s="542"/>
      <c r="Q80" s="542"/>
      <c r="R80" s="542"/>
      <c r="S80" s="542"/>
      <c r="T80" s="542"/>
      <c r="U80" s="542"/>
      <c r="V80" s="542"/>
      <c r="W80" s="535"/>
      <c r="X80" s="535"/>
      <c r="Y80" s="535"/>
    </row>
    <row r="81" spans="1:25">
      <c r="A81" s="443"/>
      <c r="B81" s="443"/>
      <c r="C81" s="443"/>
      <c r="D81" s="4"/>
      <c r="E81" s="45"/>
      <c r="O81" s="542"/>
      <c r="P81" s="542"/>
      <c r="Q81" s="542"/>
      <c r="R81" s="542"/>
      <c r="S81" s="542"/>
      <c r="T81" s="542"/>
      <c r="U81" s="542"/>
      <c r="V81" s="542"/>
      <c r="W81" s="535"/>
      <c r="X81" s="535"/>
      <c r="Y81" s="535"/>
    </row>
    <row r="82" spans="1:25">
      <c r="A82" s="443"/>
      <c r="B82" s="443"/>
      <c r="C82" s="443"/>
      <c r="D82" s="4"/>
      <c r="E82" s="45"/>
      <c r="O82" s="542"/>
      <c r="P82" s="542"/>
      <c r="Q82" s="542"/>
      <c r="R82" s="542"/>
      <c r="S82" s="542"/>
      <c r="T82" s="542"/>
      <c r="U82" s="542"/>
      <c r="V82" s="542"/>
      <c r="W82" s="535"/>
      <c r="X82" s="535"/>
      <c r="Y82" s="535"/>
    </row>
    <row r="83" spans="1:25">
      <c r="A83" s="1135" t="s">
        <v>222</v>
      </c>
      <c r="B83" s="1136"/>
      <c r="C83" s="49" t="s">
        <v>223</v>
      </c>
      <c r="D83" s="42" t="s">
        <v>221</v>
      </c>
      <c r="E83" s="141">
        <v>0</v>
      </c>
      <c r="F83" s="1" t="str">
        <f>IF(E83=0,"ND",IF(E83&lt;9,"BAJO",IF(E83=8.9,"BAJO",IF(E83=9,"NORMAL",IF(E83&lt;=20,"NORMAL",IF(E83&gt;=20.1,"ALTO"))))))</f>
        <v>ND</v>
      </c>
      <c r="G83" s="141">
        <v>0</v>
      </c>
      <c r="H83" s="1" t="str">
        <f>IF(G83=0,"ND",IF(G83&lt;9,"BAJO",IF(G83=8.9,"BAJO",IF(G83=9,"NORMAL",IF(G83&lt;=20,"NORMAL",IF(G83&gt;=20.1,"ALTO"))))))</f>
        <v>ND</v>
      </c>
      <c r="I83" s="141"/>
      <c r="J83" s="1" t="str">
        <f>IF(I83=0,"ND",IF(I83&lt;9,"BAJO",IF(I83=8.9,"BAJO",IF(I83=9,"NORMAL",IF(I83&lt;=20,"NORMAL",IF(I83&gt;=20.1,"ALTO"))))))</f>
        <v>ND</v>
      </c>
      <c r="K83" s="141"/>
      <c r="L83" s="1" t="str">
        <f>IF(K83=0,"ND",IF(K83&lt;9,"BAJO",IF(K83=8.9,"BAJO",IF(K83=9,"NORMAL",IF(K83&lt;=20,"NORMAL",IF(K83&gt;=20.1,"ALTO"))))))</f>
        <v>ND</v>
      </c>
      <c r="M83" s="141"/>
      <c r="N83" s="1" t="str">
        <f>IF(M83=0,"ND",IF(M83&lt;9,"BAJO",IF(M83=8.9,"BAJO",IF(M83=9,"NORMAL",IF(M83&lt;=20,"NORMAL",IF(M83&gt;=20.1,"ALTO"))))))</f>
        <v>ND</v>
      </c>
      <c r="O83" s="542"/>
      <c r="P83" s="542"/>
      <c r="Q83" s="542"/>
      <c r="R83" s="542"/>
      <c r="S83" s="542"/>
      <c r="T83" s="542"/>
      <c r="U83" s="542"/>
      <c r="V83" s="542"/>
      <c r="W83" s="535"/>
      <c r="X83" s="535"/>
      <c r="Y83" s="535"/>
    </row>
    <row r="84" spans="1:25">
      <c r="A84" s="440"/>
      <c r="B84" s="440"/>
      <c r="C84" s="117"/>
      <c r="D84" s="118"/>
      <c r="E84" s="85"/>
      <c r="F84" s="84"/>
      <c r="G84" s="85"/>
      <c r="H84" s="84"/>
      <c r="I84" s="85"/>
      <c r="J84" s="84"/>
      <c r="K84" s="85"/>
      <c r="L84" s="84"/>
      <c r="M84" s="85"/>
      <c r="O84" s="542"/>
      <c r="P84" s="542"/>
      <c r="Q84" s="542"/>
      <c r="R84" s="542"/>
      <c r="S84" s="542"/>
      <c r="T84" s="542"/>
      <c r="U84" s="542"/>
      <c r="V84" s="542"/>
      <c r="W84" s="535"/>
      <c r="X84" s="535"/>
      <c r="Y84" s="535"/>
    </row>
    <row r="85" spans="1:25">
      <c r="A85" s="440"/>
      <c r="B85" s="440"/>
      <c r="C85" s="117"/>
      <c r="D85" s="118"/>
      <c r="E85" s="85"/>
      <c r="F85" s="84"/>
      <c r="G85" s="85"/>
      <c r="H85" s="84"/>
      <c r="I85" s="85"/>
      <c r="J85" s="84"/>
      <c r="K85" s="85"/>
      <c r="L85" s="84"/>
      <c r="M85" s="85"/>
      <c r="O85" s="542"/>
      <c r="P85" s="542"/>
      <c r="Q85" s="542"/>
      <c r="R85" s="542"/>
      <c r="S85" s="542"/>
      <c r="T85" s="542"/>
      <c r="U85" s="542"/>
      <c r="V85" s="542"/>
      <c r="W85" s="535"/>
      <c r="X85" s="535"/>
      <c r="Y85" s="535"/>
    </row>
    <row r="86" spans="1:25">
      <c r="A86" s="440"/>
      <c r="B86" s="440"/>
      <c r="C86" s="117"/>
      <c r="D86" s="118"/>
      <c r="E86" s="85"/>
      <c r="F86" s="84"/>
      <c r="G86" s="85"/>
      <c r="H86" s="84"/>
      <c r="I86" s="85"/>
      <c r="J86" s="84"/>
      <c r="K86" s="85"/>
      <c r="L86" s="84"/>
      <c r="M86" s="85"/>
      <c r="O86" s="542"/>
      <c r="P86" s="542"/>
      <c r="Q86" s="542"/>
      <c r="R86" s="542"/>
      <c r="S86" s="542"/>
      <c r="T86" s="542"/>
      <c r="U86" s="542"/>
      <c r="V86" s="542"/>
      <c r="W86" s="535"/>
      <c r="X86" s="535"/>
      <c r="Y86" s="535"/>
    </row>
    <row r="87" spans="1:25">
      <c r="A87" s="440"/>
      <c r="B87" s="440"/>
      <c r="C87" s="117"/>
      <c r="D87" s="118"/>
      <c r="E87" s="85"/>
      <c r="F87" s="84"/>
      <c r="G87" s="85"/>
      <c r="H87" s="84"/>
      <c r="I87" s="85"/>
      <c r="J87" s="84"/>
      <c r="K87" s="85"/>
      <c r="L87" s="84"/>
      <c r="M87" s="85"/>
      <c r="O87" s="542"/>
      <c r="P87" s="542"/>
      <c r="Q87" s="542"/>
      <c r="R87" s="542"/>
      <c r="S87" s="542"/>
      <c r="T87" s="542"/>
      <c r="U87" s="542"/>
      <c r="V87" s="542"/>
      <c r="W87" s="535"/>
      <c r="X87" s="535"/>
      <c r="Y87" s="535"/>
    </row>
    <row r="88" spans="1:25">
      <c r="A88" s="440"/>
      <c r="B88" s="440"/>
      <c r="C88" s="117"/>
      <c r="D88" s="118"/>
      <c r="E88" s="85"/>
      <c r="F88" s="84"/>
      <c r="G88" s="85"/>
      <c r="H88" s="84"/>
      <c r="I88" s="85"/>
      <c r="J88" s="84"/>
      <c r="K88" s="85"/>
      <c r="L88" s="84"/>
      <c r="M88" s="85"/>
      <c r="O88" s="542"/>
      <c r="P88" s="542"/>
      <c r="Q88" s="542"/>
      <c r="R88" s="542"/>
      <c r="S88" s="542"/>
      <c r="T88" s="542"/>
      <c r="U88" s="542"/>
      <c r="V88" s="542"/>
      <c r="W88" s="535"/>
      <c r="X88" s="535"/>
      <c r="Y88" s="535"/>
    </row>
    <row r="89" spans="1:25">
      <c r="A89" s="440"/>
      <c r="B89" s="440"/>
      <c r="C89" s="117"/>
      <c r="D89" s="118"/>
      <c r="E89" s="85"/>
      <c r="F89" s="84"/>
      <c r="G89" s="85"/>
      <c r="H89" s="84"/>
      <c r="I89" s="85"/>
      <c r="J89" s="84"/>
      <c r="K89" s="85"/>
      <c r="L89" s="84"/>
      <c r="M89" s="85"/>
      <c r="O89" s="542"/>
      <c r="P89" s="542"/>
      <c r="Q89" s="542"/>
      <c r="R89" s="542"/>
      <c r="S89" s="542"/>
      <c r="T89" s="542"/>
      <c r="U89" s="542"/>
      <c r="V89" s="542"/>
      <c r="W89" s="535"/>
      <c r="X89" s="535"/>
      <c r="Y89" s="535"/>
    </row>
    <row r="90" spans="1:25">
      <c r="A90" s="532"/>
      <c r="B90" s="532"/>
      <c r="C90" s="117"/>
      <c r="D90" s="118"/>
      <c r="E90" s="85"/>
      <c r="F90" s="84"/>
      <c r="G90" s="85"/>
      <c r="H90" s="84"/>
      <c r="I90" s="85"/>
      <c r="J90" s="84"/>
      <c r="K90" s="85"/>
      <c r="L90" s="84"/>
      <c r="M90" s="85"/>
      <c r="N90" s="84"/>
      <c r="O90" s="542"/>
      <c r="P90" s="542"/>
      <c r="Q90" s="542"/>
      <c r="R90" s="542"/>
      <c r="S90" s="542"/>
      <c r="T90" s="542"/>
      <c r="U90" s="542"/>
      <c r="V90" s="542"/>
      <c r="W90" s="535"/>
      <c r="X90" s="535"/>
      <c r="Y90" s="535"/>
    </row>
    <row r="91" spans="1:25">
      <c r="A91" s="532"/>
      <c r="B91" s="532"/>
      <c r="C91" s="117"/>
      <c r="D91" s="118"/>
      <c r="E91" s="85"/>
      <c r="F91" s="84"/>
      <c r="G91" s="85"/>
      <c r="H91" s="84"/>
      <c r="I91" s="85"/>
      <c r="J91" s="84"/>
      <c r="K91" s="85"/>
      <c r="L91" s="84"/>
      <c r="M91" s="85"/>
      <c r="N91" s="84"/>
      <c r="O91" s="542"/>
      <c r="P91" s="542"/>
      <c r="Q91" s="542"/>
      <c r="R91" s="542"/>
      <c r="S91" s="542"/>
      <c r="T91" s="542"/>
      <c r="U91" s="542"/>
      <c r="V91" s="542"/>
      <c r="W91" s="535"/>
      <c r="X91" s="535"/>
      <c r="Y91" s="535"/>
    </row>
    <row r="92" spans="1:25">
      <c r="A92" s="532"/>
      <c r="B92" s="532"/>
      <c r="C92" s="117"/>
      <c r="D92" s="118"/>
      <c r="E92" s="85"/>
      <c r="F92" s="84"/>
      <c r="G92" s="85"/>
      <c r="H92" s="84"/>
      <c r="I92" s="85"/>
      <c r="J92" s="84"/>
      <c r="K92" s="85"/>
      <c r="L92" s="84"/>
      <c r="M92" s="85"/>
      <c r="N92" s="84"/>
      <c r="O92" s="542"/>
      <c r="P92" s="542"/>
      <c r="Q92" s="542"/>
      <c r="R92" s="542"/>
      <c r="S92" s="542"/>
      <c r="T92" s="542"/>
      <c r="U92" s="542"/>
      <c r="V92" s="542"/>
      <c r="W92" s="535"/>
      <c r="X92" s="535"/>
      <c r="Y92" s="535"/>
    </row>
    <row r="93" spans="1:25">
      <c r="A93" s="984"/>
      <c r="B93" s="984"/>
      <c r="C93" s="984"/>
      <c r="D93" s="4"/>
      <c r="F93" s="1137" t="s">
        <v>37</v>
      </c>
      <c r="G93" s="1137"/>
      <c r="H93" s="1137"/>
      <c r="I93" s="1137"/>
      <c r="J93" s="1137"/>
      <c r="O93" s="542"/>
      <c r="P93" s="542"/>
      <c r="Q93" s="542"/>
      <c r="R93" s="542"/>
      <c r="S93" s="542"/>
      <c r="T93" s="542"/>
      <c r="U93" s="542"/>
      <c r="V93" s="542"/>
      <c r="W93" s="535"/>
      <c r="X93" s="535"/>
      <c r="Y93" s="535"/>
    </row>
    <row r="94" spans="1:25">
      <c r="A94" s="1131" t="s">
        <v>82</v>
      </c>
      <c r="B94" s="1131"/>
      <c r="C94" s="1131"/>
      <c r="D94" s="1131"/>
      <c r="E94" s="1131"/>
      <c r="F94" s="1131"/>
      <c r="G94" s="2"/>
      <c r="H94" s="2"/>
      <c r="I94" s="2"/>
      <c r="O94" s="542"/>
      <c r="P94" s="542"/>
      <c r="Q94" s="542"/>
      <c r="R94" s="542"/>
      <c r="S94" s="542"/>
      <c r="T94" s="542"/>
      <c r="U94" s="542"/>
      <c r="V94" s="542"/>
      <c r="W94" s="535"/>
      <c r="X94" s="535"/>
      <c r="Y94" s="535"/>
    </row>
    <row r="95" spans="1:25">
      <c r="A95" s="4"/>
      <c r="B95" s="4" t="s">
        <v>39</v>
      </c>
      <c r="C95" s="53" t="s">
        <v>40</v>
      </c>
      <c r="D95" s="54" t="s">
        <v>41</v>
      </c>
      <c r="E95" s="55" t="s">
        <v>42</v>
      </c>
      <c r="F95" s="4" t="s">
        <v>43</v>
      </c>
      <c r="G95" s="2"/>
      <c r="H95" s="2"/>
      <c r="I95" s="2"/>
      <c r="O95" s="542"/>
      <c r="P95" s="542"/>
      <c r="Q95" s="542"/>
      <c r="R95" s="542"/>
      <c r="S95" s="542"/>
      <c r="T95" s="542"/>
      <c r="U95" s="542"/>
      <c r="V95" s="542"/>
      <c r="W95" s="535"/>
      <c r="X95" s="535"/>
      <c r="Y95" s="535"/>
    </row>
    <row r="96" spans="1:25">
      <c r="A96" s="4" t="s">
        <v>44</v>
      </c>
      <c r="B96" s="146">
        <v>0</v>
      </c>
      <c r="C96" s="50">
        <f>B96*12</f>
        <v>0</v>
      </c>
      <c r="D96" s="51">
        <f>B96*9</f>
        <v>0</v>
      </c>
      <c r="E96" s="52">
        <f>B96*5</f>
        <v>0</v>
      </c>
      <c r="F96" s="9">
        <f t="shared" ref="F96:F103" si="0">(C96*4)+(D96*4)+(E96*9)</f>
        <v>0</v>
      </c>
      <c r="G96" s="2"/>
      <c r="H96" s="2"/>
      <c r="I96" s="2"/>
      <c r="O96" s="542"/>
      <c r="P96" s="542"/>
      <c r="Q96" s="542"/>
      <c r="R96" s="542"/>
      <c r="S96" s="542"/>
      <c r="T96" s="542"/>
      <c r="U96" s="542"/>
      <c r="V96" s="542"/>
      <c r="W96" s="535"/>
      <c r="X96" s="535"/>
      <c r="Y96" s="535"/>
    </row>
    <row r="97" spans="1:25">
      <c r="A97" s="4" t="s">
        <v>45</v>
      </c>
      <c r="B97" s="146">
        <v>3</v>
      </c>
      <c r="C97" s="6">
        <v>0</v>
      </c>
      <c r="D97" s="7">
        <f>B97*7</f>
        <v>21</v>
      </c>
      <c r="E97" s="8">
        <f>B97*4</f>
        <v>12</v>
      </c>
      <c r="F97" s="9">
        <f t="shared" si="0"/>
        <v>192</v>
      </c>
      <c r="G97" s="2"/>
      <c r="H97" s="2"/>
      <c r="I97" s="2"/>
      <c r="O97" s="542"/>
      <c r="P97" s="542"/>
      <c r="Q97" s="542"/>
      <c r="R97" s="542"/>
      <c r="S97" s="542"/>
      <c r="T97" s="542"/>
      <c r="U97" s="542"/>
      <c r="V97" s="542"/>
      <c r="W97" s="535"/>
      <c r="X97" s="535"/>
      <c r="Y97" s="535"/>
    </row>
    <row r="98" spans="1:25">
      <c r="A98" s="4" t="s">
        <v>46</v>
      </c>
      <c r="B98" s="146">
        <v>0</v>
      </c>
      <c r="C98" s="6">
        <f>B98*15</f>
        <v>0</v>
      </c>
      <c r="D98" s="7">
        <f>B98*0</f>
        <v>0</v>
      </c>
      <c r="E98" s="8">
        <f>B98*0</f>
        <v>0</v>
      </c>
      <c r="F98" s="9">
        <f t="shared" si="0"/>
        <v>0</v>
      </c>
      <c r="G98" s="2"/>
      <c r="H98" s="2"/>
      <c r="I98" s="2"/>
      <c r="O98" s="542"/>
      <c r="P98" s="542"/>
      <c r="Q98" s="542"/>
      <c r="R98" s="542"/>
      <c r="S98" s="542"/>
      <c r="T98" s="542"/>
      <c r="U98" s="542"/>
      <c r="V98" s="542"/>
      <c r="W98" s="535"/>
      <c r="X98" s="535"/>
      <c r="Y98" s="535"/>
    </row>
    <row r="99" spans="1:25">
      <c r="A99" s="4" t="s">
        <v>47</v>
      </c>
      <c r="B99" s="146">
        <v>1</v>
      </c>
      <c r="C99" s="6">
        <f>B99*4</f>
        <v>4</v>
      </c>
      <c r="D99" s="7">
        <f>B99*2</f>
        <v>2</v>
      </c>
      <c r="E99" s="8"/>
      <c r="F99" s="9">
        <f t="shared" si="0"/>
        <v>24</v>
      </c>
      <c r="G99" s="2"/>
      <c r="H99" s="2"/>
      <c r="I99" s="2"/>
      <c r="O99" s="542"/>
      <c r="P99" s="542"/>
      <c r="Q99" s="542"/>
      <c r="R99" s="542"/>
      <c r="S99" s="542"/>
      <c r="T99" s="542"/>
      <c r="U99" s="542"/>
      <c r="V99" s="542"/>
      <c r="W99" s="535"/>
      <c r="X99" s="535"/>
      <c r="Y99" s="535"/>
    </row>
    <row r="100" spans="1:25">
      <c r="A100" s="4" t="s">
        <v>48</v>
      </c>
      <c r="B100" s="146">
        <v>3</v>
      </c>
      <c r="C100" s="6">
        <f>B100*15</f>
        <v>45</v>
      </c>
      <c r="D100" s="7">
        <f>B100*2</f>
        <v>6</v>
      </c>
      <c r="E100" s="8">
        <f>B100*0</f>
        <v>0</v>
      </c>
      <c r="F100" s="9">
        <f t="shared" si="0"/>
        <v>204</v>
      </c>
      <c r="G100" s="2"/>
      <c r="H100" s="2"/>
      <c r="I100" s="2"/>
      <c r="O100" s="542"/>
      <c r="P100" s="542"/>
      <c r="Q100" s="542"/>
      <c r="R100" s="542"/>
      <c r="S100" s="542"/>
      <c r="T100" s="542"/>
      <c r="U100" s="542"/>
      <c r="V100" s="542"/>
      <c r="W100" s="535"/>
      <c r="X100" s="535"/>
      <c r="Y100" s="535"/>
    </row>
    <row r="101" spans="1:25">
      <c r="A101" s="4" t="s">
        <v>49</v>
      </c>
      <c r="B101" s="146">
        <v>0</v>
      </c>
      <c r="C101" s="6">
        <f>B101*20</f>
        <v>0</v>
      </c>
      <c r="D101" s="7">
        <f>B101*8</f>
        <v>0</v>
      </c>
      <c r="E101" s="8">
        <f>B101*1</f>
        <v>0</v>
      </c>
      <c r="F101" s="9">
        <f t="shared" si="0"/>
        <v>0</v>
      </c>
      <c r="G101" s="2"/>
      <c r="H101" s="2"/>
      <c r="I101" s="2"/>
      <c r="O101" s="542"/>
      <c r="P101" s="542"/>
      <c r="Q101" s="542"/>
      <c r="R101" s="542"/>
      <c r="S101" s="542"/>
      <c r="T101" s="542"/>
      <c r="U101" s="542"/>
      <c r="V101" s="542"/>
      <c r="W101" s="535"/>
      <c r="X101" s="535"/>
      <c r="Y101" s="535"/>
    </row>
    <row r="102" spans="1:25">
      <c r="A102" s="4" t="s">
        <v>50</v>
      </c>
      <c r="B102" s="146">
        <v>2</v>
      </c>
      <c r="C102" s="6">
        <f>B102*0</f>
        <v>0</v>
      </c>
      <c r="D102" s="7">
        <f>B102*0</f>
        <v>0</v>
      </c>
      <c r="E102" s="8">
        <f>B102*5</f>
        <v>10</v>
      </c>
      <c r="F102" s="9">
        <f t="shared" si="0"/>
        <v>90</v>
      </c>
      <c r="G102" s="2"/>
      <c r="H102" s="2"/>
      <c r="I102" s="2"/>
      <c r="O102" s="542"/>
      <c r="P102" s="542"/>
      <c r="Q102" s="542"/>
      <c r="R102" s="542"/>
      <c r="S102" s="542"/>
      <c r="T102" s="542"/>
      <c r="U102" s="542"/>
      <c r="V102" s="542"/>
      <c r="W102" s="535"/>
      <c r="X102" s="535"/>
      <c r="Y102" s="535"/>
    </row>
    <row r="103" spans="1:25">
      <c r="A103" s="4" t="s">
        <v>51</v>
      </c>
      <c r="B103" s="146">
        <v>0</v>
      </c>
      <c r="C103" s="6">
        <f>B103*10</f>
        <v>0</v>
      </c>
      <c r="D103" s="7">
        <f>B103*0</f>
        <v>0</v>
      </c>
      <c r="E103" s="10">
        <f>B103*0</f>
        <v>0</v>
      </c>
      <c r="F103" s="11">
        <f t="shared" si="0"/>
        <v>0</v>
      </c>
      <c r="O103" s="542"/>
      <c r="P103" s="542"/>
      <c r="Q103" s="542"/>
      <c r="R103" s="542"/>
      <c r="S103" s="542"/>
      <c r="T103" s="542"/>
      <c r="U103" s="542"/>
      <c r="V103" s="542"/>
      <c r="W103" s="535"/>
      <c r="X103" s="535"/>
      <c r="Y103" s="535"/>
    </row>
    <row r="104" spans="1:25">
      <c r="A104" s="4"/>
      <c r="B104" s="12"/>
      <c r="C104" s="6">
        <f>SUM(C96:C103)</f>
        <v>49</v>
      </c>
      <c r="D104" s="7">
        <f>SUM(D96:D103)</f>
        <v>29</v>
      </c>
      <c r="E104" s="10">
        <f>SUM(E96:E103)</f>
        <v>22</v>
      </c>
      <c r="F104" s="11">
        <f>SUM(F96:F103)</f>
        <v>510</v>
      </c>
      <c r="O104" s="542"/>
      <c r="P104" s="542"/>
      <c r="Q104" s="542"/>
      <c r="R104" s="542"/>
      <c r="S104" s="542"/>
      <c r="T104" s="542"/>
      <c r="U104" s="542"/>
      <c r="V104" s="542"/>
      <c r="W104" s="535"/>
      <c r="X104" s="535"/>
      <c r="Y104" s="535"/>
    </row>
    <row r="105" spans="1:25">
      <c r="B105" s="1" t="s">
        <v>52</v>
      </c>
      <c r="C105" s="1" t="s">
        <v>53</v>
      </c>
      <c r="D105" s="1" t="s">
        <v>54</v>
      </c>
      <c r="O105" s="542"/>
      <c r="P105" s="542"/>
      <c r="Q105" s="542"/>
      <c r="R105" s="542"/>
      <c r="S105" s="542"/>
      <c r="T105" s="542"/>
      <c r="U105" s="542"/>
      <c r="V105" s="542"/>
      <c r="W105" s="535"/>
      <c r="X105" s="535"/>
      <c r="Y105" s="535"/>
    </row>
    <row r="106" spans="1:25">
      <c r="A106" s="13" t="s">
        <v>55</v>
      </c>
      <c r="B106" s="14">
        <f>(D106*100)/F104</f>
        <v>38.431372549019606</v>
      </c>
      <c r="C106" s="1">
        <f>C104</f>
        <v>49</v>
      </c>
      <c r="D106" s="1130">
        <f>C106*4</f>
        <v>196</v>
      </c>
      <c r="E106" s="1130"/>
      <c r="O106" s="542"/>
      <c r="P106" s="542"/>
      <c r="Q106" s="542"/>
      <c r="R106" s="542"/>
      <c r="S106" s="542"/>
      <c r="T106" s="542"/>
      <c r="U106" s="542"/>
      <c r="V106" s="542"/>
      <c r="W106" s="535"/>
      <c r="X106" s="535"/>
      <c r="Y106" s="535"/>
    </row>
    <row r="107" spans="1:25">
      <c r="A107" s="15" t="s">
        <v>29</v>
      </c>
      <c r="B107" s="16">
        <f>(D107*100)/F104</f>
        <v>22.745098039215687</v>
      </c>
      <c r="C107" s="1">
        <f>D104</f>
        <v>29</v>
      </c>
      <c r="D107" s="1130">
        <f>C107*4</f>
        <v>116</v>
      </c>
      <c r="E107" s="1130"/>
      <c r="O107" s="542"/>
      <c r="P107" s="542"/>
      <c r="Q107" s="542"/>
      <c r="R107" s="542"/>
      <c r="S107" s="542"/>
      <c r="T107" s="542"/>
      <c r="U107" s="542"/>
      <c r="V107" s="542"/>
      <c r="W107" s="535"/>
      <c r="X107" s="535"/>
      <c r="Y107" s="535"/>
    </row>
    <row r="108" spans="1:25">
      <c r="A108" s="17" t="s">
        <v>56</v>
      </c>
      <c r="B108" s="18">
        <f>(D108*100)/F104</f>
        <v>38.823529411764703</v>
      </c>
      <c r="C108" s="1">
        <f>E104</f>
        <v>22</v>
      </c>
      <c r="D108" s="1130">
        <f>C108*9</f>
        <v>198</v>
      </c>
      <c r="E108" s="1130"/>
      <c r="O108" s="542"/>
      <c r="P108" s="542"/>
      <c r="Q108" s="542"/>
      <c r="R108" s="542"/>
      <c r="S108" s="542"/>
      <c r="T108" s="542"/>
      <c r="U108" s="542"/>
      <c r="V108" s="542"/>
      <c r="W108" s="535"/>
      <c r="X108" s="535"/>
      <c r="Y108" s="535"/>
    </row>
    <row r="109" spans="1:25">
      <c r="A109" s="1131" t="s">
        <v>84</v>
      </c>
      <c r="B109" s="1131"/>
      <c r="C109" s="1131"/>
      <c r="D109" s="1131"/>
      <c r="E109" s="1131"/>
      <c r="F109" s="1131"/>
      <c r="O109" s="542"/>
      <c r="P109" s="542"/>
      <c r="Q109" s="542"/>
      <c r="R109" s="542"/>
      <c r="S109" s="542"/>
      <c r="T109" s="542"/>
      <c r="U109" s="542"/>
      <c r="V109" s="542"/>
      <c r="W109" s="535"/>
      <c r="X109" s="535"/>
      <c r="Y109" s="535"/>
    </row>
    <row r="110" spans="1:25">
      <c r="A110" s="4"/>
      <c r="B110" s="4" t="s">
        <v>39</v>
      </c>
      <c r="C110" s="53" t="s">
        <v>40</v>
      </c>
      <c r="D110" s="54" t="s">
        <v>41</v>
      </c>
      <c r="E110" s="55" t="s">
        <v>42</v>
      </c>
      <c r="F110" s="4" t="s">
        <v>43</v>
      </c>
      <c r="O110" s="542"/>
      <c r="P110" s="542"/>
      <c r="Q110" s="542"/>
      <c r="R110" s="542"/>
      <c r="S110" s="542"/>
      <c r="T110" s="542"/>
      <c r="U110" s="542"/>
      <c r="V110" s="542"/>
      <c r="W110" s="535"/>
      <c r="X110" s="535"/>
      <c r="Y110" s="535"/>
    </row>
    <row r="111" spans="1:25">
      <c r="A111" s="4" t="s">
        <v>44</v>
      </c>
      <c r="B111" s="146">
        <v>1</v>
      </c>
      <c r="C111" s="50">
        <f>B111*12</f>
        <v>12</v>
      </c>
      <c r="D111" s="51">
        <f>B111*9</f>
        <v>9</v>
      </c>
      <c r="E111" s="52">
        <f>B111*5</f>
        <v>5</v>
      </c>
      <c r="F111" s="9">
        <f t="shared" ref="F111:F118" si="1">(C111*4)+(D111*4)+(E111*9)</f>
        <v>129</v>
      </c>
      <c r="O111" s="542"/>
      <c r="P111" s="542"/>
      <c r="Q111" s="542"/>
      <c r="R111" s="542"/>
      <c r="S111" s="542"/>
      <c r="T111" s="542"/>
      <c r="U111" s="542"/>
      <c r="V111" s="542"/>
      <c r="W111" s="535"/>
      <c r="X111" s="535"/>
      <c r="Y111" s="535"/>
    </row>
    <row r="112" spans="1:25">
      <c r="A112" s="4" t="s">
        <v>45</v>
      </c>
      <c r="B112" s="146">
        <v>0</v>
      </c>
      <c r="C112" s="6">
        <v>0</v>
      </c>
      <c r="D112" s="7">
        <f>B112*7</f>
        <v>0</v>
      </c>
      <c r="E112" s="8">
        <f>B112*4</f>
        <v>0</v>
      </c>
      <c r="F112" s="9">
        <f t="shared" si="1"/>
        <v>0</v>
      </c>
      <c r="O112" s="542"/>
      <c r="P112" s="542"/>
      <c r="Q112" s="542"/>
      <c r="R112" s="542"/>
      <c r="S112" s="542"/>
      <c r="T112" s="542"/>
      <c r="U112" s="542"/>
      <c r="V112" s="542"/>
      <c r="W112" s="535"/>
      <c r="X112" s="535"/>
      <c r="Y112" s="535"/>
    </row>
    <row r="113" spans="1:25">
      <c r="A113" s="4" t="s">
        <v>46</v>
      </c>
      <c r="B113" s="146">
        <v>0</v>
      </c>
      <c r="C113" s="6">
        <f>B113*15</f>
        <v>0</v>
      </c>
      <c r="D113" s="7">
        <f>B113*0</f>
        <v>0</v>
      </c>
      <c r="E113" s="8">
        <f>B113*0</f>
        <v>0</v>
      </c>
      <c r="F113" s="9">
        <f t="shared" si="1"/>
        <v>0</v>
      </c>
      <c r="O113" s="542"/>
      <c r="P113" s="542"/>
      <c r="Q113" s="542"/>
      <c r="R113" s="542"/>
      <c r="S113" s="542"/>
      <c r="T113" s="542"/>
      <c r="U113" s="542"/>
      <c r="V113" s="542"/>
      <c r="W113" s="535"/>
      <c r="X113" s="535"/>
      <c r="Y113" s="535"/>
    </row>
    <row r="114" spans="1:25">
      <c r="A114" s="4" t="s">
        <v>47</v>
      </c>
      <c r="B114" s="146">
        <v>0</v>
      </c>
      <c r="C114" s="6">
        <f>B114*4</f>
        <v>0</v>
      </c>
      <c r="D114" s="7">
        <f>B114*2</f>
        <v>0</v>
      </c>
      <c r="E114" s="8"/>
      <c r="F114" s="9">
        <f t="shared" si="1"/>
        <v>0</v>
      </c>
      <c r="O114" s="542"/>
      <c r="P114" s="542"/>
      <c r="Q114" s="542"/>
      <c r="R114" s="542"/>
      <c r="S114" s="542"/>
      <c r="T114" s="542"/>
      <c r="U114" s="542"/>
      <c r="V114" s="542"/>
      <c r="W114" s="535"/>
      <c r="X114" s="535"/>
      <c r="Y114" s="535"/>
    </row>
    <row r="115" spans="1:25">
      <c r="A115" s="4" t="s">
        <v>48</v>
      </c>
      <c r="B115" s="146">
        <v>2</v>
      </c>
      <c r="C115" s="6">
        <f>B115*15</f>
        <v>30</v>
      </c>
      <c r="D115" s="7">
        <f>B115*2</f>
        <v>4</v>
      </c>
      <c r="E115" s="8">
        <f>B115*0</f>
        <v>0</v>
      </c>
      <c r="F115" s="9">
        <f t="shared" si="1"/>
        <v>136</v>
      </c>
      <c r="O115" s="542"/>
      <c r="P115" s="542"/>
      <c r="Q115" s="542"/>
      <c r="R115" s="542"/>
      <c r="S115" s="542"/>
      <c r="T115" s="542"/>
      <c r="U115" s="542"/>
      <c r="V115" s="542"/>
      <c r="W115" s="535"/>
      <c r="X115" s="535"/>
      <c r="Y115" s="535"/>
    </row>
    <row r="116" spans="1:25">
      <c r="A116" s="4" t="s">
        <v>49</v>
      </c>
      <c r="B116" s="146">
        <v>0</v>
      </c>
      <c r="C116" s="6">
        <f>B116*20</f>
        <v>0</v>
      </c>
      <c r="D116" s="7">
        <f>B116*8</f>
        <v>0</v>
      </c>
      <c r="E116" s="8">
        <f>B116*1</f>
        <v>0</v>
      </c>
      <c r="F116" s="9">
        <f t="shared" si="1"/>
        <v>0</v>
      </c>
      <c r="O116" s="542"/>
      <c r="P116" s="542"/>
      <c r="Q116" s="542"/>
      <c r="R116" s="542"/>
      <c r="S116" s="542"/>
      <c r="T116" s="542"/>
      <c r="U116" s="542"/>
      <c r="V116" s="542"/>
      <c r="W116" s="535"/>
      <c r="X116" s="535"/>
      <c r="Y116" s="535"/>
    </row>
    <row r="117" spans="1:25">
      <c r="A117" s="4" t="s">
        <v>50</v>
      </c>
      <c r="B117" s="146">
        <v>3</v>
      </c>
      <c r="C117" s="6">
        <f>B117*0</f>
        <v>0</v>
      </c>
      <c r="D117" s="7">
        <f>B117*0</f>
        <v>0</v>
      </c>
      <c r="E117" s="8">
        <f>B117*5</f>
        <v>15</v>
      </c>
      <c r="F117" s="9">
        <f t="shared" si="1"/>
        <v>135</v>
      </c>
      <c r="O117" s="542"/>
      <c r="P117" s="542"/>
      <c r="Q117" s="542"/>
      <c r="R117" s="542"/>
      <c r="S117" s="542"/>
      <c r="T117" s="542"/>
      <c r="U117" s="542"/>
      <c r="V117" s="542"/>
      <c r="W117" s="535"/>
      <c r="X117" s="535"/>
      <c r="Y117" s="535"/>
    </row>
    <row r="118" spans="1:25">
      <c r="A118" s="4" t="s">
        <v>51</v>
      </c>
      <c r="B118" s="146">
        <v>3</v>
      </c>
      <c r="C118" s="6">
        <f>B118*10</f>
        <v>30</v>
      </c>
      <c r="D118" s="7">
        <f>B118*0</f>
        <v>0</v>
      </c>
      <c r="E118" s="10">
        <f>B118*0</f>
        <v>0</v>
      </c>
      <c r="F118" s="11">
        <f t="shared" si="1"/>
        <v>120</v>
      </c>
      <c r="O118" s="542"/>
      <c r="P118" s="542"/>
      <c r="Q118" s="542"/>
      <c r="R118" s="542"/>
      <c r="S118" s="542"/>
      <c r="T118" s="542"/>
      <c r="U118" s="542"/>
      <c r="V118" s="542"/>
      <c r="W118" s="535"/>
      <c r="X118" s="535"/>
      <c r="Y118" s="535"/>
    </row>
    <row r="119" spans="1:25">
      <c r="A119" s="4"/>
      <c r="B119" s="12"/>
      <c r="C119" s="6">
        <f>SUM(C111:C118)</f>
        <v>72</v>
      </c>
      <c r="D119" s="7">
        <f>SUM(D111:D118)</f>
        <v>13</v>
      </c>
      <c r="E119" s="10">
        <f>SUM(E111:E118)</f>
        <v>20</v>
      </c>
      <c r="F119" s="11">
        <f>SUM(F111:F118)</f>
        <v>520</v>
      </c>
      <c r="O119" s="542"/>
      <c r="P119" s="542"/>
      <c r="Q119" s="542"/>
      <c r="R119" s="542"/>
      <c r="S119" s="542"/>
      <c r="T119" s="542"/>
      <c r="U119" s="542"/>
      <c r="V119" s="542"/>
      <c r="W119" s="535"/>
      <c r="X119" s="535"/>
      <c r="Y119" s="535"/>
    </row>
    <row r="120" spans="1:25">
      <c r="B120" s="1" t="s">
        <v>52</v>
      </c>
      <c r="C120" s="1" t="s">
        <v>53</v>
      </c>
      <c r="D120" s="1" t="s">
        <v>54</v>
      </c>
      <c r="O120" s="542"/>
      <c r="P120" s="542"/>
      <c r="Q120" s="542"/>
      <c r="R120" s="542"/>
      <c r="S120" s="542"/>
      <c r="T120" s="542"/>
      <c r="U120" s="542"/>
      <c r="V120" s="542"/>
      <c r="W120" s="535"/>
      <c r="X120" s="535"/>
      <c r="Y120" s="535"/>
    </row>
    <row r="121" spans="1:25">
      <c r="A121" s="13" t="s">
        <v>55</v>
      </c>
      <c r="B121" s="14">
        <f>(D121*100)/F119</f>
        <v>55.384615384615387</v>
      </c>
      <c r="C121" s="1">
        <f>C119</f>
        <v>72</v>
      </c>
      <c r="D121" s="1130">
        <f>C121*4</f>
        <v>288</v>
      </c>
      <c r="E121" s="1130"/>
      <c r="O121" s="542"/>
      <c r="P121" s="542"/>
      <c r="Q121" s="542"/>
      <c r="R121" s="542"/>
      <c r="S121" s="542"/>
      <c r="T121" s="542"/>
      <c r="U121" s="542"/>
      <c r="V121" s="542"/>
      <c r="W121" s="535"/>
      <c r="X121" s="535"/>
      <c r="Y121" s="535"/>
    </row>
    <row r="122" spans="1:25">
      <c r="A122" s="15" t="s">
        <v>29</v>
      </c>
      <c r="B122" s="16">
        <f>(D122*100)/F119</f>
        <v>10</v>
      </c>
      <c r="C122" s="1">
        <f>D119</f>
        <v>13</v>
      </c>
      <c r="D122" s="1130">
        <f>C122*4</f>
        <v>52</v>
      </c>
      <c r="E122" s="1130"/>
      <c r="O122" s="542"/>
      <c r="P122" s="542"/>
      <c r="Q122" s="542"/>
      <c r="R122" s="542"/>
      <c r="S122" s="542"/>
      <c r="T122" s="542"/>
      <c r="U122" s="542"/>
      <c r="V122" s="542"/>
      <c r="W122" s="535"/>
      <c r="X122" s="535"/>
      <c r="Y122" s="535"/>
    </row>
    <row r="123" spans="1:25">
      <c r="A123" s="17" t="s">
        <v>56</v>
      </c>
      <c r="B123" s="18">
        <f>(D123*100)/F119</f>
        <v>34.615384615384613</v>
      </c>
      <c r="C123" s="1">
        <f>E119</f>
        <v>20</v>
      </c>
      <c r="D123" s="1130">
        <f>C123*9</f>
        <v>180</v>
      </c>
      <c r="E123" s="1130"/>
      <c r="O123" s="542"/>
      <c r="P123" s="542"/>
      <c r="Q123" s="542"/>
      <c r="R123" s="542"/>
      <c r="S123" s="542"/>
      <c r="T123" s="542"/>
      <c r="U123" s="542"/>
      <c r="V123" s="542"/>
      <c r="W123" s="535"/>
      <c r="X123" s="535"/>
      <c r="Y123" s="535"/>
    </row>
    <row r="124" spans="1:25">
      <c r="A124" s="1131" t="s">
        <v>86</v>
      </c>
      <c r="B124" s="1131"/>
      <c r="C124" s="1131"/>
      <c r="D124" s="1131"/>
      <c r="E124" s="1131"/>
      <c r="F124" s="1131"/>
      <c r="O124" s="542"/>
      <c r="P124" s="542"/>
      <c r="Q124" s="542"/>
      <c r="R124" s="542"/>
      <c r="S124" s="542"/>
      <c r="T124" s="542"/>
      <c r="U124" s="542"/>
      <c r="V124" s="542"/>
      <c r="W124" s="535"/>
      <c r="X124" s="535"/>
      <c r="Y124" s="535"/>
    </row>
    <row r="125" spans="1:25">
      <c r="A125" s="4"/>
      <c r="B125" s="4" t="s">
        <v>39</v>
      </c>
      <c r="C125" s="53" t="s">
        <v>40</v>
      </c>
      <c r="D125" s="54" t="s">
        <v>41</v>
      </c>
      <c r="E125" s="55" t="s">
        <v>42</v>
      </c>
      <c r="F125" s="4" t="s">
        <v>43</v>
      </c>
      <c r="O125" s="542"/>
      <c r="P125" s="542"/>
      <c r="Q125" s="542"/>
      <c r="R125" s="542"/>
      <c r="S125" s="542"/>
      <c r="T125" s="542"/>
      <c r="U125" s="542"/>
      <c r="V125" s="542"/>
      <c r="W125" s="535"/>
      <c r="X125" s="535"/>
      <c r="Y125" s="535"/>
    </row>
    <row r="126" spans="1:25">
      <c r="A126" s="4" t="s">
        <v>44</v>
      </c>
      <c r="B126" s="146">
        <v>0</v>
      </c>
      <c r="C126" s="50">
        <f>B126*12</f>
        <v>0</v>
      </c>
      <c r="D126" s="51">
        <f>B126*9</f>
        <v>0</v>
      </c>
      <c r="E126" s="52">
        <f>B126*5</f>
        <v>0</v>
      </c>
      <c r="F126" s="9">
        <f t="shared" ref="F126:F133" si="2">(C126*4)+(D126*4)+(E126*9)</f>
        <v>0</v>
      </c>
      <c r="O126" s="542"/>
      <c r="P126" s="542"/>
      <c r="Q126" s="542"/>
      <c r="R126" s="542"/>
      <c r="S126" s="542"/>
      <c r="T126" s="542"/>
      <c r="U126" s="542"/>
      <c r="V126" s="542"/>
      <c r="W126" s="535"/>
      <c r="X126" s="535"/>
      <c r="Y126" s="535"/>
    </row>
    <row r="127" spans="1:25">
      <c r="A127" s="4" t="s">
        <v>45</v>
      </c>
      <c r="B127" s="146">
        <v>6</v>
      </c>
      <c r="C127" s="6">
        <v>0</v>
      </c>
      <c r="D127" s="7">
        <f>B127*7</f>
        <v>42</v>
      </c>
      <c r="E127" s="8">
        <f>B127*4</f>
        <v>24</v>
      </c>
      <c r="F127" s="9">
        <f t="shared" si="2"/>
        <v>384</v>
      </c>
      <c r="O127" s="542"/>
      <c r="P127" s="542"/>
      <c r="Q127" s="542"/>
      <c r="R127" s="542"/>
      <c r="S127" s="542"/>
      <c r="T127" s="542"/>
      <c r="U127" s="542"/>
      <c r="V127" s="542"/>
      <c r="W127" s="535"/>
      <c r="X127" s="535"/>
      <c r="Y127" s="535"/>
    </row>
    <row r="128" spans="1:25">
      <c r="A128" s="4" t="s">
        <v>46</v>
      </c>
      <c r="B128" s="146">
        <v>0</v>
      </c>
      <c r="C128" s="6">
        <f>B128*15</f>
        <v>0</v>
      </c>
      <c r="D128" s="7">
        <f>B128*0</f>
        <v>0</v>
      </c>
      <c r="E128" s="8">
        <f>B128*0</f>
        <v>0</v>
      </c>
      <c r="F128" s="9">
        <f t="shared" si="2"/>
        <v>0</v>
      </c>
      <c r="O128" s="542"/>
      <c r="P128" s="542"/>
      <c r="Q128" s="542"/>
      <c r="R128" s="542"/>
      <c r="S128" s="542"/>
      <c r="T128" s="542"/>
      <c r="U128" s="542"/>
      <c r="V128" s="542"/>
      <c r="W128" s="535"/>
      <c r="X128" s="535"/>
      <c r="Y128" s="535"/>
    </row>
    <row r="129" spans="1:25">
      <c r="A129" s="4" t="s">
        <v>47</v>
      </c>
      <c r="B129" s="146">
        <v>0</v>
      </c>
      <c r="C129" s="6">
        <f>B129*4</f>
        <v>0</v>
      </c>
      <c r="D129" s="7">
        <f>B129*2</f>
        <v>0</v>
      </c>
      <c r="E129" s="8"/>
      <c r="F129" s="9">
        <f t="shared" si="2"/>
        <v>0</v>
      </c>
      <c r="O129" s="542"/>
      <c r="P129" s="542"/>
      <c r="Q129" s="542"/>
      <c r="R129" s="542"/>
      <c r="S129" s="542"/>
      <c r="T129" s="542"/>
      <c r="U129" s="542"/>
      <c r="V129" s="542"/>
      <c r="W129" s="535"/>
      <c r="X129" s="535"/>
      <c r="Y129" s="535"/>
    </row>
    <row r="130" spans="1:25">
      <c r="A130" s="4" t="s">
        <v>48</v>
      </c>
      <c r="B130" s="146">
        <v>4</v>
      </c>
      <c r="C130" s="6">
        <f>B130*15</f>
        <v>60</v>
      </c>
      <c r="D130" s="7">
        <f>B130*2</f>
        <v>8</v>
      </c>
      <c r="E130" s="8">
        <f>B130*0</f>
        <v>0</v>
      </c>
      <c r="F130" s="9">
        <f t="shared" si="2"/>
        <v>272</v>
      </c>
      <c r="O130" s="542"/>
      <c r="P130" s="542"/>
      <c r="Q130" s="542"/>
      <c r="R130" s="542"/>
      <c r="S130" s="542"/>
      <c r="T130" s="542"/>
      <c r="U130" s="542"/>
      <c r="V130" s="542"/>
      <c r="W130" s="535"/>
      <c r="X130" s="535"/>
      <c r="Y130" s="535"/>
    </row>
    <row r="131" spans="1:25">
      <c r="A131" s="4" t="s">
        <v>49</v>
      </c>
      <c r="B131" s="146">
        <v>0</v>
      </c>
      <c r="C131" s="6">
        <f>B131*20</f>
        <v>0</v>
      </c>
      <c r="D131" s="7">
        <f>B131*8</f>
        <v>0</v>
      </c>
      <c r="E131" s="8">
        <f>B131*1</f>
        <v>0</v>
      </c>
      <c r="F131" s="9">
        <f t="shared" si="2"/>
        <v>0</v>
      </c>
      <c r="O131" s="542"/>
      <c r="P131" s="542"/>
      <c r="Q131" s="542"/>
      <c r="R131" s="542"/>
      <c r="S131" s="542"/>
      <c r="T131" s="542"/>
      <c r="U131" s="542"/>
      <c r="V131" s="542"/>
      <c r="W131" s="535"/>
      <c r="X131" s="535"/>
      <c r="Y131" s="535"/>
    </row>
    <row r="132" spans="1:25">
      <c r="A132" s="4" t="s">
        <v>50</v>
      </c>
      <c r="B132" s="146">
        <v>3</v>
      </c>
      <c r="C132" s="6">
        <f>B132*0</f>
        <v>0</v>
      </c>
      <c r="D132" s="7">
        <f>B132*0</f>
        <v>0</v>
      </c>
      <c r="E132" s="8">
        <f>B132*5</f>
        <v>15</v>
      </c>
      <c r="F132" s="9">
        <f t="shared" si="2"/>
        <v>135</v>
      </c>
      <c r="O132" s="542"/>
      <c r="P132" s="542"/>
      <c r="Q132" s="542"/>
      <c r="R132" s="542"/>
      <c r="S132" s="542"/>
      <c r="T132" s="542"/>
      <c r="U132" s="542"/>
      <c r="V132" s="542"/>
      <c r="W132" s="535"/>
      <c r="X132" s="535"/>
      <c r="Y132" s="535"/>
    </row>
    <row r="133" spans="1:25">
      <c r="A133" s="4" t="s">
        <v>51</v>
      </c>
      <c r="B133" s="146">
        <v>0</v>
      </c>
      <c r="C133" s="6">
        <f>B133*10</f>
        <v>0</v>
      </c>
      <c r="D133" s="7">
        <f>B133*0</f>
        <v>0</v>
      </c>
      <c r="E133" s="10">
        <f>B133*0</f>
        <v>0</v>
      </c>
      <c r="F133" s="11">
        <f t="shared" si="2"/>
        <v>0</v>
      </c>
      <c r="O133" s="542"/>
      <c r="P133" s="542"/>
      <c r="Q133" s="542"/>
      <c r="R133" s="542"/>
      <c r="S133" s="542"/>
      <c r="T133" s="542"/>
      <c r="U133" s="542"/>
      <c r="V133" s="542"/>
      <c r="W133" s="535"/>
      <c r="X133" s="535"/>
      <c r="Y133" s="535"/>
    </row>
    <row r="134" spans="1:25">
      <c r="A134" s="4"/>
      <c r="B134" s="12"/>
      <c r="C134" s="6">
        <f>SUM(C126:C133)</f>
        <v>60</v>
      </c>
      <c r="D134" s="7">
        <f>SUM(D126:D133)</f>
        <v>50</v>
      </c>
      <c r="E134" s="10">
        <f>SUM(E126:E133)</f>
        <v>39</v>
      </c>
      <c r="F134" s="11">
        <f>SUM(F126:F133)</f>
        <v>791</v>
      </c>
      <c r="O134" s="542"/>
      <c r="P134" s="542"/>
      <c r="Q134" s="542"/>
      <c r="R134" s="542"/>
      <c r="S134" s="542"/>
      <c r="T134" s="542"/>
      <c r="U134" s="542"/>
      <c r="V134" s="542"/>
      <c r="W134" s="535"/>
      <c r="X134" s="535"/>
      <c r="Y134" s="535"/>
    </row>
    <row r="135" spans="1:25">
      <c r="B135" s="1" t="s">
        <v>52</v>
      </c>
      <c r="C135" s="1" t="s">
        <v>53</v>
      </c>
      <c r="D135" s="1" t="s">
        <v>54</v>
      </c>
      <c r="O135" s="542"/>
      <c r="P135" s="542"/>
      <c r="Q135" s="542"/>
      <c r="R135" s="542"/>
      <c r="S135" s="542"/>
      <c r="T135" s="542"/>
      <c r="U135" s="542"/>
      <c r="V135" s="542"/>
      <c r="W135" s="535"/>
      <c r="X135" s="535"/>
      <c r="Y135" s="535"/>
    </row>
    <row r="136" spans="1:25">
      <c r="A136" s="13" t="s">
        <v>55</v>
      </c>
      <c r="B136" s="14">
        <f>(D136*100)/F134</f>
        <v>30.341340075853349</v>
      </c>
      <c r="C136" s="1">
        <f>C134</f>
        <v>60</v>
      </c>
      <c r="D136" s="1130">
        <f>C136*4</f>
        <v>240</v>
      </c>
      <c r="E136" s="1130"/>
      <c r="O136" s="542"/>
      <c r="P136" s="542"/>
      <c r="Q136" s="542"/>
      <c r="R136" s="542"/>
      <c r="S136" s="542"/>
      <c r="T136" s="542"/>
      <c r="U136" s="542"/>
      <c r="V136" s="542"/>
      <c r="W136" s="535"/>
      <c r="X136" s="535"/>
      <c r="Y136" s="535"/>
    </row>
    <row r="137" spans="1:25">
      <c r="A137" s="15" t="s">
        <v>29</v>
      </c>
      <c r="B137" s="16">
        <f>(D137*100)/F134</f>
        <v>25.284450063211125</v>
      </c>
      <c r="C137" s="1">
        <f>D134</f>
        <v>50</v>
      </c>
      <c r="D137" s="1130">
        <f>C137*4</f>
        <v>200</v>
      </c>
      <c r="E137" s="1130"/>
      <c r="O137" s="542"/>
      <c r="P137" s="542"/>
      <c r="Q137" s="542"/>
      <c r="R137" s="542"/>
      <c r="S137" s="542"/>
      <c r="T137" s="542"/>
      <c r="U137" s="542"/>
      <c r="V137" s="542"/>
      <c r="W137" s="535"/>
      <c r="X137" s="535"/>
      <c r="Y137" s="535"/>
    </row>
    <row r="138" spans="1:25">
      <c r="A138" s="17" t="s">
        <v>56</v>
      </c>
      <c r="B138" s="18">
        <f>(D138*100)/F134</f>
        <v>44.374209860935522</v>
      </c>
      <c r="C138" s="1">
        <f>E134</f>
        <v>39</v>
      </c>
      <c r="D138" s="1130">
        <f>C138*9</f>
        <v>351</v>
      </c>
      <c r="E138" s="1130"/>
      <c r="O138" s="542"/>
      <c r="P138" s="542"/>
      <c r="Q138" s="542"/>
      <c r="R138" s="542"/>
      <c r="S138" s="542"/>
      <c r="T138" s="542"/>
      <c r="U138" s="542"/>
      <c r="V138" s="542"/>
      <c r="W138" s="535"/>
      <c r="X138" s="535"/>
      <c r="Y138" s="535"/>
    </row>
    <row r="139" spans="1:25">
      <c r="O139" s="542"/>
      <c r="P139" s="542"/>
      <c r="Q139" s="542"/>
      <c r="R139" s="542"/>
      <c r="S139" s="542"/>
      <c r="T139" s="542"/>
      <c r="U139" s="542"/>
      <c r="V139" s="542"/>
      <c r="W139" s="535"/>
      <c r="X139" s="535"/>
      <c r="Y139" s="535"/>
    </row>
    <row r="140" spans="1:25">
      <c r="A140" s="1131" t="s">
        <v>207</v>
      </c>
      <c r="B140" s="1131"/>
      <c r="C140" s="1131"/>
      <c r="D140" s="1131"/>
      <c r="E140" s="1131"/>
      <c r="F140" s="1131"/>
      <c r="O140" s="542"/>
      <c r="P140" s="542"/>
      <c r="Q140" s="542"/>
      <c r="R140" s="542"/>
      <c r="S140" s="542"/>
      <c r="T140" s="542"/>
      <c r="U140" s="542"/>
      <c r="V140" s="542"/>
      <c r="W140" s="535"/>
      <c r="X140" s="535"/>
      <c r="Y140" s="535"/>
    </row>
    <row r="141" spans="1:25">
      <c r="A141" s="4"/>
      <c r="B141" s="4" t="s">
        <v>39</v>
      </c>
      <c r="C141" s="53" t="s">
        <v>40</v>
      </c>
      <c r="D141" s="54" t="s">
        <v>41</v>
      </c>
      <c r="E141" s="55" t="s">
        <v>42</v>
      </c>
      <c r="F141" s="4" t="s">
        <v>43</v>
      </c>
      <c r="O141" s="542"/>
      <c r="P141" s="542"/>
      <c r="Q141" s="542"/>
      <c r="R141" s="542"/>
      <c r="S141" s="542"/>
      <c r="T141" s="542"/>
      <c r="U141" s="542"/>
      <c r="V141" s="542"/>
      <c r="W141" s="535"/>
      <c r="X141" s="535"/>
      <c r="Y141" s="535"/>
    </row>
    <row r="142" spans="1:25">
      <c r="A142" s="4" t="s">
        <v>44</v>
      </c>
      <c r="B142" s="39">
        <f t="shared" ref="B142:B149" si="3">B96+B111+B126</f>
        <v>1</v>
      </c>
      <c r="C142" s="50">
        <f>B142*12</f>
        <v>12</v>
      </c>
      <c r="D142" s="51">
        <f>B142*9</f>
        <v>9</v>
      </c>
      <c r="E142" s="52">
        <f>B142*5</f>
        <v>5</v>
      </c>
      <c r="F142" s="9">
        <f t="shared" ref="F142:F149" si="4">(C142*4)+(D142*4)+(E142*9)</f>
        <v>129</v>
      </c>
      <c r="O142" s="542"/>
      <c r="P142" s="542"/>
      <c r="Q142" s="542"/>
      <c r="R142" s="542"/>
      <c r="S142" s="542"/>
      <c r="T142" s="542"/>
      <c r="U142" s="542"/>
      <c r="V142" s="542"/>
      <c r="W142" s="535"/>
      <c r="X142" s="535"/>
      <c r="Y142" s="535"/>
    </row>
    <row r="143" spans="1:25">
      <c r="A143" s="4" t="s">
        <v>45</v>
      </c>
      <c r="B143" s="39">
        <f t="shared" si="3"/>
        <v>9</v>
      </c>
      <c r="C143" s="6">
        <v>0</v>
      </c>
      <c r="D143" s="7">
        <f>B143*7</f>
        <v>63</v>
      </c>
      <c r="E143" s="8">
        <f>B143*4</f>
        <v>36</v>
      </c>
      <c r="F143" s="9">
        <f t="shared" si="4"/>
        <v>576</v>
      </c>
      <c r="O143" s="542"/>
      <c r="P143" s="542"/>
      <c r="Q143" s="542"/>
      <c r="R143" s="542"/>
      <c r="S143" s="542"/>
      <c r="T143" s="542"/>
      <c r="U143" s="542"/>
      <c r="V143" s="542"/>
      <c r="W143" s="535"/>
      <c r="X143" s="535"/>
      <c r="Y143" s="535"/>
    </row>
    <row r="144" spans="1:25">
      <c r="A144" s="4" t="s">
        <v>46</v>
      </c>
      <c r="B144" s="39">
        <f t="shared" si="3"/>
        <v>0</v>
      </c>
      <c r="C144" s="6">
        <f>B144*15</f>
        <v>0</v>
      </c>
      <c r="D144" s="7">
        <f>B144*0</f>
        <v>0</v>
      </c>
      <c r="E144" s="8">
        <f>B144*0</f>
        <v>0</v>
      </c>
      <c r="F144" s="9">
        <f t="shared" si="4"/>
        <v>0</v>
      </c>
      <c r="O144" s="542"/>
      <c r="P144" s="542"/>
      <c r="Q144" s="542"/>
      <c r="R144" s="542"/>
      <c r="S144" s="542"/>
      <c r="T144" s="542"/>
      <c r="U144" s="542"/>
      <c r="V144" s="542"/>
      <c r="W144" s="535"/>
      <c r="X144" s="535"/>
      <c r="Y144" s="535"/>
    </row>
    <row r="145" spans="1:25">
      <c r="A145" s="4" t="s">
        <v>47</v>
      </c>
      <c r="B145" s="39">
        <f t="shared" si="3"/>
        <v>1</v>
      </c>
      <c r="C145" s="6">
        <f>B145*4</f>
        <v>4</v>
      </c>
      <c r="D145" s="7">
        <f>B145*2</f>
        <v>2</v>
      </c>
      <c r="E145" s="8"/>
      <c r="F145" s="9">
        <f t="shared" si="4"/>
        <v>24</v>
      </c>
      <c r="O145" s="542"/>
      <c r="P145" s="542"/>
      <c r="Q145" s="542"/>
      <c r="R145" s="542"/>
      <c r="S145" s="542"/>
      <c r="T145" s="542"/>
      <c r="U145" s="542"/>
      <c r="V145" s="542"/>
      <c r="W145" s="535"/>
      <c r="X145" s="535"/>
      <c r="Y145" s="535"/>
    </row>
    <row r="146" spans="1:25">
      <c r="A146" s="4" t="s">
        <v>48</v>
      </c>
      <c r="B146" s="39">
        <f t="shared" si="3"/>
        <v>9</v>
      </c>
      <c r="C146" s="6">
        <f>B146*15</f>
        <v>135</v>
      </c>
      <c r="D146" s="7">
        <f>B146*2</f>
        <v>18</v>
      </c>
      <c r="E146" s="8">
        <f>B146*0</f>
        <v>0</v>
      </c>
      <c r="F146" s="9">
        <f t="shared" si="4"/>
        <v>612</v>
      </c>
      <c r="O146" s="542"/>
      <c r="P146" s="542"/>
      <c r="Q146" s="542"/>
      <c r="R146" s="542"/>
      <c r="S146" s="542"/>
      <c r="T146" s="542"/>
      <c r="U146" s="542"/>
      <c r="V146" s="542"/>
      <c r="W146" s="535"/>
      <c r="X146" s="535"/>
      <c r="Y146" s="535"/>
    </row>
    <row r="147" spans="1:25">
      <c r="A147" s="4" t="s">
        <v>49</v>
      </c>
      <c r="B147" s="39">
        <f t="shared" si="3"/>
        <v>0</v>
      </c>
      <c r="C147" s="6">
        <f>B147*20</f>
        <v>0</v>
      </c>
      <c r="D147" s="7">
        <f>B147*8</f>
        <v>0</v>
      </c>
      <c r="E147" s="8">
        <f>B147*1</f>
        <v>0</v>
      </c>
      <c r="F147" s="9">
        <f t="shared" si="4"/>
        <v>0</v>
      </c>
      <c r="O147" s="542"/>
      <c r="P147" s="542"/>
      <c r="Q147" s="542"/>
      <c r="R147" s="542" t="s">
        <v>558</v>
      </c>
      <c r="S147" s="542"/>
      <c r="T147" s="542"/>
      <c r="U147" s="542"/>
      <c r="V147" s="542"/>
      <c r="W147" s="535"/>
      <c r="X147" s="535"/>
      <c r="Y147" s="535"/>
    </row>
    <row r="148" spans="1:25">
      <c r="A148" s="4" t="s">
        <v>50</v>
      </c>
      <c r="B148" s="39">
        <f t="shared" si="3"/>
        <v>8</v>
      </c>
      <c r="C148" s="6">
        <f>B148*0</f>
        <v>0</v>
      </c>
      <c r="D148" s="7">
        <f>B148*0</f>
        <v>0</v>
      </c>
      <c r="E148" s="8">
        <f>B148*5</f>
        <v>40</v>
      </c>
      <c r="F148" s="9">
        <f t="shared" si="4"/>
        <v>360</v>
      </c>
      <c r="O148" s="542"/>
      <c r="P148" s="580" t="s">
        <v>561</v>
      </c>
      <c r="Q148" s="580"/>
      <c r="R148" s="580"/>
      <c r="S148" s="580"/>
      <c r="T148" s="542"/>
      <c r="U148" s="542"/>
      <c r="V148" s="542"/>
      <c r="W148" s="535"/>
      <c r="X148" s="535"/>
      <c r="Y148" s="535"/>
    </row>
    <row r="149" spans="1:25">
      <c r="A149" s="4" t="s">
        <v>51</v>
      </c>
      <c r="B149" s="39">
        <f t="shared" si="3"/>
        <v>3</v>
      </c>
      <c r="C149" s="6">
        <f>B149*10</f>
        <v>30</v>
      </c>
      <c r="D149" s="7">
        <f>B149*0</f>
        <v>0</v>
      </c>
      <c r="E149" s="10">
        <f>B149*0</f>
        <v>0</v>
      </c>
      <c r="F149" s="11">
        <f t="shared" si="4"/>
        <v>120</v>
      </c>
      <c r="O149" s="542"/>
      <c r="P149" s="580" t="s">
        <v>562</v>
      </c>
      <c r="Q149" s="580"/>
      <c r="R149" s="580"/>
      <c r="S149" s="580"/>
      <c r="T149" s="542"/>
      <c r="U149" s="542"/>
      <c r="V149" s="542"/>
      <c r="W149" s="535"/>
      <c r="X149" s="535"/>
      <c r="Y149" s="535"/>
    </row>
    <row r="150" spans="1:25">
      <c r="A150" s="4"/>
      <c r="B150" s="12"/>
      <c r="C150" s="6">
        <f>SUM(C142:C149)</f>
        <v>181</v>
      </c>
      <c r="D150" s="7">
        <f>SUM(D142:D149)</f>
        <v>92</v>
      </c>
      <c r="E150" s="10">
        <f>SUM(E142:E149)</f>
        <v>81</v>
      </c>
      <c r="F150" s="11">
        <f>SUM(F142:F149)</f>
        <v>1821</v>
      </c>
      <c r="H150" s="534"/>
      <c r="I150" s="534"/>
      <c r="J150" s="534"/>
      <c r="K150" s="534"/>
      <c r="L150" s="534"/>
      <c r="M150" s="534"/>
      <c r="N150" s="534"/>
      <c r="O150" s="542"/>
      <c r="P150" s="580" t="s">
        <v>560</v>
      </c>
      <c r="Q150" s="580"/>
      <c r="R150" s="580"/>
      <c r="S150" s="580"/>
      <c r="T150" s="542"/>
      <c r="U150" s="542"/>
      <c r="V150" s="542"/>
      <c r="W150" s="535"/>
      <c r="X150" s="535"/>
      <c r="Y150" s="535"/>
    </row>
    <row r="151" spans="1:25" ht="15.75" thickBot="1">
      <c r="B151" s="1" t="s">
        <v>52</v>
      </c>
      <c r="C151" s="4" t="s">
        <v>53</v>
      </c>
      <c r="D151" s="75" t="s">
        <v>54</v>
      </c>
      <c r="E151" s="75"/>
      <c r="H151" s="84"/>
      <c r="I151" s="84"/>
      <c r="J151" s="84"/>
      <c r="K151" s="84"/>
      <c r="L151" s="84"/>
      <c r="M151" s="84"/>
      <c r="N151" s="84"/>
      <c r="O151" s="542"/>
      <c r="P151" s="580" t="s">
        <v>563</v>
      </c>
      <c r="Q151" s="580"/>
      <c r="R151" s="580"/>
      <c r="S151" s="580"/>
      <c r="T151" s="542"/>
      <c r="U151" s="542"/>
      <c r="V151" s="542"/>
      <c r="W151" s="535"/>
      <c r="X151" s="535"/>
      <c r="Y151" s="535"/>
    </row>
    <row r="152" spans="1:25" ht="15.75" thickBot="1">
      <c r="A152" s="13" t="s">
        <v>55</v>
      </c>
      <c r="B152" s="14">
        <v>54</v>
      </c>
      <c r="C152" s="4">
        <f>C150</f>
        <v>181</v>
      </c>
      <c r="D152" s="74">
        <f>C152*4</f>
        <v>724</v>
      </c>
      <c r="E152" s="73"/>
      <c r="H152" s="581" t="s">
        <v>559</v>
      </c>
      <c r="I152" s="1132" t="s">
        <v>561</v>
      </c>
      <c r="J152" s="1133"/>
      <c r="K152" s="1133"/>
      <c r="L152" s="1133"/>
      <c r="M152" s="1294"/>
      <c r="N152" s="534"/>
      <c r="O152" s="542"/>
      <c r="P152" s="580" t="s">
        <v>564</v>
      </c>
      <c r="Q152" s="580"/>
      <c r="R152" s="580"/>
      <c r="S152" s="580"/>
      <c r="T152" s="542"/>
      <c r="U152" s="542"/>
      <c r="V152" s="542"/>
      <c r="W152" s="535"/>
      <c r="X152" s="535"/>
      <c r="Y152" s="535"/>
    </row>
    <row r="153" spans="1:25">
      <c r="A153" s="15" t="s">
        <v>29</v>
      </c>
      <c r="B153" s="16">
        <v>18</v>
      </c>
      <c r="C153" s="4">
        <f>D150</f>
        <v>92</v>
      </c>
      <c r="D153" s="74">
        <f>C153*4</f>
        <v>368</v>
      </c>
      <c r="E153" s="73"/>
      <c r="H153" s="84"/>
      <c r="I153" s="84"/>
      <c r="J153" s="84"/>
      <c r="K153" s="84"/>
      <c r="L153" s="84"/>
      <c r="M153" s="84"/>
      <c r="N153" s="84"/>
      <c r="O153" s="542"/>
      <c r="P153" s="1126"/>
      <c r="Q153" s="1126"/>
      <c r="R153" s="1126"/>
      <c r="S153" s="1126"/>
      <c r="T153" s="542"/>
      <c r="U153" s="542"/>
      <c r="V153" s="542"/>
      <c r="W153" s="535"/>
      <c r="X153" s="535"/>
      <c r="Y153" s="535"/>
    </row>
    <row r="154" spans="1:25">
      <c r="A154" s="17" t="s">
        <v>56</v>
      </c>
      <c r="B154" s="18">
        <v>28</v>
      </c>
      <c r="C154" s="4">
        <f>E150</f>
        <v>81</v>
      </c>
      <c r="D154" s="74">
        <f>C154*9</f>
        <v>729</v>
      </c>
      <c r="E154" s="73"/>
      <c r="H154" s="84"/>
      <c r="I154" s="84"/>
      <c r="J154" s="84"/>
      <c r="K154" s="84"/>
      <c r="L154" s="84"/>
      <c r="M154" s="84"/>
      <c r="N154" s="84"/>
      <c r="O154" s="542"/>
      <c r="P154" s="1126"/>
      <c r="Q154" s="1126"/>
      <c r="R154" s="1126"/>
      <c r="S154" s="1126"/>
      <c r="T154" s="542"/>
      <c r="U154" s="542"/>
      <c r="V154" s="542"/>
      <c r="W154" s="535"/>
      <c r="X154" s="535"/>
      <c r="Y154" s="535"/>
    </row>
    <row r="155" spans="1:25" ht="15.75" thickBot="1">
      <c r="B155" s="76">
        <f>SUM(B152:B154)</f>
        <v>100</v>
      </c>
      <c r="C155" s="77"/>
      <c r="D155" s="76">
        <f>SUM(D152:D154)</f>
        <v>1821</v>
      </c>
      <c r="H155" s="84"/>
      <c r="I155" s="84"/>
      <c r="J155" s="84"/>
      <c r="K155" s="84"/>
      <c r="L155" s="84"/>
      <c r="M155" s="84"/>
      <c r="N155" s="84"/>
      <c r="O155" s="542"/>
      <c r="P155" s="1126"/>
      <c r="Q155" s="1126"/>
      <c r="R155" s="1126"/>
      <c r="S155" s="1126"/>
      <c r="T155" s="542"/>
      <c r="U155" s="542"/>
      <c r="V155" s="542"/>
      <c r="W155" s="535"/>
      <c r="X155" s="535"/>
      <c r="Y155" s="535"/>
    </row>
    <row r="156" spans="1:25" ht="15.75" thickBot="1">
      <c r="A156" s="1127" t="s">
        <v>304</v>
      </c>
      <c r="B156" s="1286"/>
      <c r="C156" s="82"/>
      <c r="D156" s="1284" t="s">
        <v>321</v>
      </c>
      <c r="E156" s="1285"/>
      <c r="F156" s="499"/>
      <c r="G156" s="1284" t="s">
        <v>554</v>
      </c>
      <c r="H156" s="1285"/>
      <c r="J156" s="1284" t="s">
        <v>546</v>
      </c>
      <c r="K156" s="1285"/>
      <c r="M156" s="1284" t="s">
        <v>545</v>
      </c>
      <c r="N156" s="1285"/>
      <c r="O156" s="542"/>
      <c r="P156" s="542"/>
      <c r="Q156" s="542"/>
      <c r="R156" s="542"/>
      <c r="S156" s="542"/>
      <c r="T156" s="542"/>
      <c r="U156" s="542"/>
      <c r="V156" s="542"/>
      <c r="W156" s="535"/>
      <c r="X156" s="535"/>
      <c r="Y156" s="535"/>
    </row>
    <row r="157" spans="1:25" ht="15.75" thickBot="1">
      <c r="A157" s="596" t="s">
        <v>57</v>
      </c>
      <c r="B157" s="603">
        <f>IF(D9&lt;=3,(60.9*D12)-54,IF(D9&lt;=10,(22.7*D12)+495,IF(D9&lt;=18,(17.5*D12)+651,IF(D9&lt;=30,(15.3*D12)+679,IF(D9&lt;=60,(11.6*D12)+879,IF(D9&gt;60,(13.5*D12)+487))))))</f>
        <v>1582.9065599999999</v>
      </c>
      <c r="C157" s="215">
        <f>B157*1.1</f>
        <v>1741.197216</v>
      </c>
      <c r="D157" s="596" t="s">
        <v>57</v>
      </c>
      <c r="E157" s="596">
        <f>66.5+(13.75*D12)+(5.003*G17)-(6.78*D9)</f>
        <v>1490.5159999999996</v>
      </c>
      <c r="F157" s="540"/>
      <c r="G157" s="596" t="s">
        <v>57</v>
      </c>
      <c r="H157" s="596">
        <f>879+(10.2*D12)</f>
        <v>1497.9523199999999</v>
      </c>
      <c r="I157" s="215"/>
      <c r="J157" s="596" t="s">
        <v>57</v>
      </c>
      <c r="K157" s="596">
        <f>IF(D9&lt;=30,(13.37*D12)+747,IF(D9&lt;=60,(13.08*D12)+693,IF(D9&gt;=61,(14.21*D12)+429)))</f>
        <v>1486.7153279999998</v>
      </c>
      <c r="L157" s="215"/>
      <c r="M157" s="596" t="s">
        <v>57</v>
      </c>
      <c r="N157" s="597">
        <f>(9.99*D12)+(6.25*G17)-(4.92*D9)+ 5</f>
        <v>1479.1691839999999</v>
      </c>
      <c r="O157" s="542"/>
      <c r="P157" s="542">
        <v>1.3</v>
      </c>
      <c r="Q157" s="542"/>
      <c r="R157" s="542"/>
      <c r="S157" s="542"/>
      <c r="T157" s="542"/>
      <c r="U157" s="542"/>
      <c r="V157" s="542"/>
      <c r="W157" s="535"/>
      <c r="X157" s="535"/>
      <c r="Y157" s="535"/>
    </row>
    <row r="158" spans="1:25" ht="15.75" thickBot="1">
      <c r="A158" s="582" t="s">
        <v>297</v>
      </c>
      <c r="B158" s="583" t="str">
        <f>LEFT(I152,3)</f>
        <v>1.2</v>
      </c>
      <c r="D158" s="83" t="s">
        <v>297</v>
      </c>
      <c r="E158" s="545" t="str">
        <f>LEFT(I152,3)</f>
        <v>1.2</v>
      </c>
      <c r="F158" s="85"/>
      <c r="G158" s="582" t="s">
        <v>297</v>
      </c>
      <c r="H158" s="584" t="str">
        <f>LEFT(I152,3)</f>
        <v>1.2</v>
      </c>
      <c r="J158" s="582" t="s">
        <v>297</v>
      </c>
      <c r="K158" s="584" t="str">
        <f>LEFT(I152,3)</f>
        <v>1.2</v>
      </c>
      <c r="M158" s="582" t="s">
        <v>297</v>
      </c>
      <c r="N158" s="584" t="str">
        <f>LEFT(I152,3)</f>
        <v>1.2</v>
      </c>
      <c r="O158" s="542"/>
      <c r="P158" s="542">
        <v>1.35</v>
      </c>
      <c r="Q158" s="542"/>
      <c r="R158" s="542"/>
      <c r="S158" s="542"/>
      <c r="T158" s="542"/>
      <c r="U158" s="542"/>
      <c r="V158" s="542"/>
      <c r="W158" s="535"/>
      <c r="X158" s="535"/>
      <c r="Y158" s="535"/>
    </row>
    <row r="159" spans="1:25">
      <c r="A159" s="533" t="s">
        <v>58</v>
      </c>
      <c r="B159" s="595">
        <f>(B157*1.1)*B158</f>
        <v>2089.4366592000001</v>
      </c>
      <c r="D159" s="533" t="s">
        <v>58</v>
      </c>
      <c r="E159" s="585">
        <f>(E157*1.1)*E158</f>
        <v>1967.4811199999995</v>
      </c>
      <c r="F159" s="85"/>
      <c r="G159" s="533" t="s">
        <v>58</v>
      </c>
      <c r="H159" s="585">
        <f>(H157*1.1)*H158</f>
        <v>1977.2970624</v>
      </c>
      <c r="J159" s="533" t="s">
        <v>58</v>
      </c>
      <c r="K159" s="585">
        <f>(K157*1.1)*K158</f>
        <v>1962.4642329599997</v>
      </c>
      <c r="M159" s="533" t="s">
        <v>58</v>
      </c>
      <c r="N159" s="586">
        <f>(N157*1.1)*N158</f>
        <v>1952.50332288</v>
      </c>
      <c r="O159" s="542"/>
      <c r="P159" s="542">
        <v>1.6</v>
      </c>
      <c r="Q159" s="542">
        <v>1.45</v>
      </c>
      <c r="R159" s="542"/>
      <c r="S159" s="542"/>
      <c r="T159" s="542"/>
      <c r="U159" s="542"/>
      <c r="V159" s="542"/>
    </row>
    <row r="160" spans="1:25">
      <c r="A160" s="19"/>
      <c r="B160" s="519" t="s">
        <v>38</v>
      </c>
      <c r="C160" s="19"/>
      <c r="D160" s="19"/>
      <c r="E160" s="19"/>
      <c r="F160" s="19"/>
      <c r="O160" s="542"/>
      <c r="P160" s="542">
        <v>2.1</v>
      </c>
      <c r="Q160" s="542"/>
      <c r="R160" s="542"/>
      <c r="S160" s="542"/>
      <c r="T160" s="542"/>
      <c r="U160" s="542"/>
      <c r="V160" s="542"/>
    </row>
    <row r="161" spans="1:22" ht="45">
      <c r="A161" s="20"/>
      <c r="B161" s="21"/>
      <c r="C161" s="21" t="s">
        <v>60</v>
      </c>
      <c r="D161" s="21" t="s">
        <v>41</v>
      </c>
      <c r="E161" s="21" t="s">
        <v>42</v>
      </c>
      <c r="F161" s="21" t="s">
        <v>43</v>
      </c>
      <c r="G161" s="21" t="s">
        <v>59</v>
      </c>
      <c r="H161" s="21" t="s">
        <v>61</v>
      </c>
      <c r="I161" s="21" t="s">
        <v>62</v>
      </c>
      <c r="J161" s="21" t="s">
        <v>63</v>
      </c>
      <c r="K161" s="21" t="s">
        <v>64</v>
      </c>
      <c r="L161" s="21" t="s">
        <v>65</v>
      </c>
      <c r="O161" s="542"/>
      <c r="P161" s="542"/>
      <c r="Q161" s="542"/>
      <c r="R161" s="542"/>
      <c r="S161" s="542"/>
      <c r="T161" s="542"/>
      <c r="U161" s="542"/>
      <c r="V161" s="542"/>
    </row>
    <row r="162" spans="1:22" ht="21">
      <c r="A162" s="19" t="s">
        <v>44</v>
      </c>
      <c r="B162" s="147">
        <v>2</v>
      </c>
      <c r="C162" s="22">
        <f>B162*12</f>
        <v>24</v>
      </c>
      <c r="D162" s="27">
        <f>B162*9</f>
        <v>18</v>
      </c>
      <c r="E162" s="23">
        <f>B162*5</f>
        <v>10</v>
      </c>
      <c r="F162" s="150">
        <f t="shared" ref="F162:F169" si="5">(C162*4)+(D162*4)+(E162*9)</f>
        <v>258</v>
      </c>
      <c r="G162" s="592">
        <f t="shared" ref="G162:G169" si="6">B162</f>
        <v>2</v>
      </c>
      <c r="H162" s="148">
        <v>1</v>
      </c>
      <c r="I162" s="148">
        <v>0</v>
      </c>
      <c r="J162" s="148">
        <v>0</v>
      </c>
      <c r="K162" s="148">
        <v>0</v>
      </c>
      <c r="L162" s="513">
        <v>1</v>
      </c>
      <c r="M162" s="593">
        <f t="shared" ref="M162:M171" si="7">SUM(H162:L162)</f>
        <v>2</v>
      </c>
      <c r="N162" s="40" t="str">
        <f>IF(M162&lt;G162, "te falta ",IF(M162=G162,"muy bien",IF(M162&gt;G162,"te pasaste")))</f>
        <v>muy bien</v>
      </c>
      <c r="O162" s="542"/>
      <c r="P162" s="542"/>
      <c r="Q162" s="542"/>
      <c r="R162" s="542"/>
      <c r="S162" s="542"/>
      <c r="T162" s="542"/>
      <c r="U162" s="542"/>
      <c r="V162" s="542"/>
    </row>
    <row r="163" spans="1:22" ht="21">
      <c r="A163" s="19" t="s">
        <v>45</v>
      </c>
      <c r="B163" s="147">
        <v>5</v>
      </c>
      <c r="C163" s="22">
        <v>0</v>
      </c>
      <c r="D163" s="27">
        <f>B163*7</f>
        <v>35</v>
      </c>
      <c r="E163" s="23">
        <f>B163*4</f>
        <v>20</v>
      </c>
      <c r="F163" s="150">
        <f t="shared" si="5"/>
        <v>320</v>
      </c>
      <c r="G163" s="592">
        <f t="shared" si="6"/>
        <v>5</v>
      </c>
      <c r="H163" s="148">
        <v>1</v>
      </c>
      <c r="I163" s="148">
        <v>0</v>
      </c>
      <c r="J163" s="148">
        <v>3</v>
      </c>
      <c r="K163" s="148">
        <v>0</v>
      </c>
      <c r="L163" s="148">
        <v>0</v>
      </c>
      <c r="M163" s="593">
        <f t="shared" si="7"/>
        <v>4</v>
      </c>
      <c r="N163" s="40" t="str">
        <f t="shared" ref="N163:N169" si="8">IF(M163&lt;G163, "te falta",IF(M163=G163,"muy bien",IF(M163&gt;G163,"te pasaste")))</f>
        <v>te falta</v>
      </c>
      <c r="O163" s="542"/>
      <c r="P163" s="542"/>
      <c r="Q163" s="542"/>
      <c r="R163" s="542"/>
      <c r="S163" s="542"/>
      <c r="T163" s="542"/>
      <c r="U163" s="542"/>
      <c r="V163" s="542"/>
    </row>
    <row r="164" spans="1:22" ht="21">
      <c r="A164" s="19" t="s">
        <v>46</v>
      </c>
      <c r="B164" s="147">
        <v>5</v>
      </c>
      <c r="C164" s="22">
        <f>B164*15</f>
        <v>75</v>
      </c>
      <c r="D164" s="27">
        <f>B164*0</f>
        <v>0</v>
      </c>
      <c r="E164" s="23">
        <f>B164*0</f>
        <v>0</v>
      </c>
      <c r="F164" s="150">
        <f t="shared" si="5"/>
        <v>300</v>
      </c>
      <c r="G164" s="592">
        <f t="shared" si="6"/>
        <v>5</v>
      </c>
      <c r="H164" s="148">
        <v>1</v>
      </c>
      <c r="I164" s="148">
        <v>1</v>
      </c>
      <c r="J164" s="148">
        <v>2</v>
      </c>
      <c r="K164" s="148">
        <v>0</v>
      </c>
      <c r="L164" s="148">
        <v>1</v>
      </c>
      <c r="M164" s="593">
        <f>SUM(H164:L164)</f>
        <v>5</v>
      </c>
      <c r="N164" s="40" t="str">
        <f t="shared" si="8"/>
        <v>muy bien</v>
      </c>
      <c r="O164" s="542"/>
      <c r="P164" s="542"/>
      <c r="Q164" s="542"/>
      <c r="R164" s="542"/>
      <c r="S164" s="542"/>
      <c r="T164" s="542"/>
      <c r="U164" s="542"/>
      <c r="V164" s="542"/>
    </row>
    <row r="165" spans="1:22" ht="21">
      <c r="A165" s="19" t="s">
        <v>47</v>
      </c>
      <c r="B165" s="147">
        <v>8</v>
      </c>
      <c r="C165" s="22">
        <f>B165*4</f>
        <v>32</v>
      </c>
      <c r="D165" s="27">
        <f>B165*2</f>
        <v>16</v>
      </c>
      <c r="E165" s="23"/>
      <c r="F165" s="150">
        <f t="shared" si="5"/>
        <v>192</v>
      </c>
      <c r="G165" s="592">
        <f t="shared" si="6"/>
        <v>8</v>
      </c>
      <c r="H165" s="148">
        <v>2</v>
      </c>
      <c r="I165" s="148">
        <v>1</v>
      </c>
      <c r="J165" s="148">
        <v>2</v>
      </c>
      <c r="K165" s="148">
        <v>1</v>
      </c>
      <c r="L165" s="148">
        <v>2</v>
      </c>
      <c r="M165" s="593">
        <f t="shared" si="7"/>
        <v>8</v>
      </c>
      <c r="N165" s="40" t="str">
        <f t="shared" si="8"/>
        <v>muy bien</v>
      </c>
      <c r="O165" s="542"/>
      <c r="P165" s="542"/>
      <c r="Q165" s="542"/>
      <c r="R165" s="542"/>
      <c r="S165" s="542"/>
      <c r="T165" s="542"/>
      <c r="U165" s="542"/>
      <c r="V165" s="542"/>
    </row>
    <row r="166" spans="1:22" ht="21">
      <c r="A166" s="19" t="s">
        <v>48</v>
      </c>
      <c r="B166" s="147">
        <v>5</v>
      </c>
      <c r="C166" s="22">
        <f>B166*15</f>
        <v>75</v>
      </c>
      <c r="D166" s="27">
        <f>B166*2</f>
        <v>10</v>
      </c>
      <c r="E166" s="23">
        <f>B166*0</f>
        <v>0</v>
      </c>
      <c r="F166" s="150">
        <f t="shared" si="5"/>
        <v>340</v>
      </c>
      <c r="G166" s="592">
        <f t="shared" si="6"/>
        <v>5</v>
      </c>
      <c r="H166" s="148">
        <v>2</v>
      </c>
      <c r="I166" s="148">
        <v>0</v>
      </c>
      <c r="J166" s="148">
        <v>2</v>
      </c>
      <c r="K166" s="148">
        <v>0</v>
      </c>
      <c r="L166" s="148">
        <v>1</v>
      </c>
      <c r="M166" s="593">
        <f t="shared" si="7"/>
        <v>5</v>
      </c>
      <c r="N166" s="40" t="str">
        <f t="shared" si="8"/>
        <v>muy bien</v>
      </c>
      <c r="O166" s="542"/>
      <c r="P166" s="542"/>
      <c r="Q166" s="542"/>
      <c r="R166" s="542"/>
      <c r="S166" s="542"/>
      <c r="T166" s="542"/>
      <c r="U166" s="542"/>
      <c r="V166" s="542"/>
    </row>
    <row r="167" spans="1:22" ht="21">
      <c r="A167" s="19" t="s">
        <v>66</v>
      </c>
      <c r="B167" s="147">
        <v>0</v>
      </c>
      <c r="C167" s="22">
        <f>B167*20</f>
        <v>0</v>
      </c>
      <c r="D167" s="27">
        <f>B167*8</f>
        <v>0</v>
      </c>
      <c r="E167" s="23">
        <f>B167*1</f>
        <v>0</v>
      </c>
      <c r="F167" s="150">
        <f t="shared" si="5"/>
        <v>0</v>
      </c>
      <c r="G167" s="592">
        <f t="shared" si="6"/>
        <v>0</v>
      </c>
      <c r="H167" s="148">
        <v>0</v>
      </c>
      <c r="I167" s="148">
        <v>0</v>
      </c>
      <c r="J167" s="148">
        <v>1</v>
      </c>
      <c r="K167" s="148">
        <v>0</v>
      </c>
      <c r="L167" s="148">
        <v>0</v>
      </c>
      <c r="M167" s="593">
        <f t="shared" si="7"/>
        <v>1</v>
      </c>
      <c r="N167" s="40" t="str">
        <f t="shared" si="8"/>
        <v>te pasaste</v>
      </c>
      <c r="O167" s="542"/>
      <c r="P167" s="542"/>
      <c r="Q167" s="542"/>
      <c r="R167" s="542"/>
      <c r="S167" s="542"/>
      <c r="T167" s="542"/>
      <c r="U167" s="542"/>
      <c r="V167" s="542"/>
    </row>
    <row r="168" spans="1:22" ht="21">
      <c r="A168" s="19" t="s">
        <v>50</v>
      </c>
      <c r="B168" s="147">
        <v>3</v>
      </c>
      <c r="C168" s="22">
        <f>B168*0</f>
        <v>0</v>
      </c>
      <c r="D168" s="27">
        <f>B168*0</f>
        <v>0</v>
      </c>
      <c r="E168" s="23">
        <f>B168*5</f>
        <v>15</v>
      </c>
      <c r="F168" s="150">
        <f t="shared" si="5"/>
        <v>135</v>
      </c>
      <c r="G168" s="592">
        <f t="shared" si="6"/>
        <v>3</v>
      </c>
      <c r="H168" s="148">
        <v>2</v>
      </c>
      <c r="I168" s="148">
        <v>0</v>
      </c>
      <c r="J168" s="148">
        <v>2</v>
      </c>
      <c r="K168" s="148">
        <v>0</v>
      </c>
      <c r="L168" s="148">
        <v>1</v>
      </c>
      <c r="M168" s="593">
        <f t="shared" si="7"/>
        <v>5</v>
      </c>
      <c r="N168" s="40" t="str">
        <f t="shared" si="8"/>
        <v>te pasaste</v>
      </c>
      <c r="O168" s="542"/>
      <c r="P168" s="542"/>
      <c r="Q168" s="542"/>
      <c r="R168" s="542"/>
      <c r="S168" s="542"/>
      <c r="T168" s="542"/>
      <c r="U168" s="542"/>
      <c r="V168" s="542"/>
    </row>
    <row r="169" spans="1:22" ht="21">
      <c r="A169" s="19" t="s">
        <v>51</v>
      </c>
      <c r="B169" s="147">
        <v>0</v>
      </c>
      <c r="C169" s="22">
        <f>B169*10</f>
        <v>0</v>
      </c>
      <c r="D169" s="27">
        <f>B169*0</f>
        <v>0</v>
      </c>
      <c r="E169" s="23">
        <f>B169*0</f>
        <v>0</v>
      </c>
      <c r="F169" s="152">
        <f t="shared" si="5"/>
        <v>0</v>
      </c>
      <c r="G169" s="592">
        <f t="shared" si="6"/>
        <v>0</v>
      </c>
      <c r="H169" s="587">
        <v>0</v>
      </c>
      <c r="I169" s="587">
        <v>0</v>
      </c>
      <c r="J169" s="587">
        <v>0</v>
      </c>
      <c r="K169" s="587">
        <v>0</v>
      </c>
      <c r="L169" s="587">
        <v>0</v>
      </c>
      <c r="M169" s="593">
        <f t="shared" si="7"/>
        <v>0</v>
      </c>
      <c r="N169" s="40" t="str">
        <f t="shared" si="8"/>
        <v>muy bien</v>
      </c>
      <c r="O169" s="542"/>
      <c r="P169" s="542"/>
      <c r="Q169" s="542"/>
      <c r="R169" s="542"/>
      <c r="S169" s="542"/>
      <c r="T169" s="542"/>
      <c r="U169" s="542"/>
      <c r="V169" s="542"/>
    </row>
    <row r="170" spans="1:22" ht="18.75">
      <c r="A170" s="19"/>
      <c r="B170" s="19"/>
      <c r="C170" s="153">
        <f>SUM(C162:C169)</f>
        <v>206</v>
      </c>
      <c r="D170" s="154">
        <f>SUM(D162:D169)</f>
        <v>79</v>
      </c>
      <c r="E170" s="155">
        <f>SUM(E162:E169)</f>
        <v>45</v>
      </c>
      <c r="F170" s="151">
        <f>SUM(F162:F169)</f>
        <v>1545</v>
      </c>
      <c r="G170" s="594"/>
      <c r="H170" s="588">
        <f>($H$162*129)+($H$163*64)+($H$164*60)+($H$165*24)+($H$166*68)+($H$167*121)+($H$168*45)+($H$169*40)</f>
        <v>527</v>
      </c>
      <c r="I170" s="588">
        <f>(I162*129)+(I163*64)+(I164*60)+(I165*24)+(I166*68)+(I167*121)+(I168*45)+(I169*40)</f>
        <v>84</v>
      </c>
      <c r="J170" s="588">
        <f>(J162*129)+(J163*64)+(J164*60)+(J165*24)+(J166*68)+(J167*121)+(J168*45)+(J169*40)</f>
        <v>707</v>
      </c>
      <c r="K170" s="588">
        <f>(K162*129)+(K163*64)+(K164*60)+(K165*24)+(K166*68)+(K167*121)+(K168*45)+(K169*40)</f>
        <v>24</v>
      </c>
      <c r="L170" s="588">
        <f>(L162*129)+(L163*64)+(L164*60)+(L165*24)+(L166*68)+(L167*121)+(L168*45)+(L169*40)</f>
        <v>350</v>
      </c>
      <c r="M170" s="589">
        <f t="shared" si="7"/>
        <v>1692</v>
      </c>
    </row>
    <row r="171" spans="1:22" ht="18.75">
      <c r="A171" s="19"/>
      <c r="B171" s="19"/>
      <c r="C171" s="19"/>
      <c r="D171" s="19"/>
      <c r="E171" s="19"/>
      <c r="F171" s="19"/>
      <c r="G171" s="590" t="s">
        <v>52</v>
      </c>
      <c r="H171" s="591">
        <f>(H170*100)/F170</f>
        <v>34.110032362459549</v>
      </c>
      <c r="I171" s="591">
        <f>(I170*100)/F170</f>
        <v>5.4368932038834954</v>
      </c>
      <c r="J171" s="591">
        <f>(J170*100)/F170</f>
        <v>45.760517799352748</v>
      </c>
      <c r="K171" s="591">
        <f>(K170*100)/F170</f>
        <v>1.5533980582524272</v>
      </c>
      <c r="L171" s="591">
        <f>(L170*100)/F170</f>
        <v>22.653721682847895</v>
      </c>
      <c r="M171" s="590">
        <f t="shared" si="7"/>
        <v>109.51456310679612</v>
      </c>
    </row>
    <row r="172" spans="1:22">
      <c r="A172" s="19"/>
      <c r="B172" s="25" t="s">
        <v>52</v>
      </c>
      <c r="C172" s="25" t="s">
        <v>43</v>
      </c>
      <c r="D172" s="25" t="s">
        <v>67</v>
      </c>
      <c r="E172" s="19"/>
      <c r="F172" s="19"/>
      <c r="G172" s="81"/>
    </row>
    <row r="173" spans="1:22">
      <c r="A173" s="26" t="s">
        <v>55</v>
      </c>
      <c r="B173" s="123">
        <f>(C173*100)/F170</f>
        <v>53.333333333333336</v>
      </c>
      <c r="C173" s="19">
        <f>D173*4</f>
        <v>824</v>
      </c>
      <c r="D173" s="156">
        <f>C170</f>
        <v>206</v>
      </c>
      <c r="E173" s="19"/>
      <c r="F173" s="19"/>
    </row>
    <row r="174" spans="1:22">
      <c r="A174" s="27" t="s">
        <v>29</v>
      </c>
      <c r="B174" s="124">
        <f>(C174*100)/F170</f>
        <v>20.453074433656958</v>
      </c>
      <c r="C174" s="19">
        <f>D174*4</f>
        <v>316</v>
      </c>
      <c r="D174" s="156">
        <f>D170</f>
        <v>79</v>
      </c>
      <c r="E174" s="28" t="s">
        <v>68</v>
      </c>
      <c r="F174" s="28">
        <f>D162+D163</f>
        <v>53</v>
      </c>
      <c r="G174" s="477" t="s">
        <v>69</v>
      </c>
      <c r="H174" s="29">
        <f>(F174*100)/D170</f>
        <v>67.088607594936704</v>
      </c>
      <c r="I174" s="11" t="s">
        <v>52</v>
      </c>
      <c r="J174" s="138" t="s">
        <v>70</v>
      </c>
      <c r="K174" s="29">
        <f>D165+D166+D167</f>
        <v>26</v>
      </c>
      <c r="L174" s="11" t="s">
        <v>69</v>
      </c>
      <c r="M174" s="30">
        <f>(K174*100)/D170</f>
        <v>32.911392405063289</v>
      </c>
      <c r="N174" s="11" t="s">
        <v>52</v>
      </c>
    </row>
    <row r="175" spans="1:22">
      <c r="A175" s="23" t="s">
        <v>56</v>
      </c>
      <c r="B175" s="125">
        <f>(C175*100)/F170</f>
        <v>26.21359223300971</v>
      </c>
      <c r="C175" s="19">
        <f>D175*9</f>
        <v>405</v>
      </c>
      <c r="D175" s="156">
        <f>E170</f>
        <v>45</v>
      </c>
      <c r="E175" s="19"/>
      <c r="F175" s="19"/>
    </row>
    <row r="176" spans="1:22" ht="15.75" thickBot="1">
      <c r="A176" s="135"/>
      <c r="B176" s="135"/>
      <c r="C176" s="19"/>
      <c r="D176" s="72"/>
      <c r="E176" s="19"/>
      <c r="F176" s="19"/>
    </row>
    <row r="177" spans="1:14" ht="16.5" thickBot="1">
      <c r="A177" s="1116" t="s">
        <v>399</v>
      </c>
      <c r="B177" s="1117"/>
      <c r="C177" s="1117"/>
      <c r="D177" s="516">
        <f>D170/D12</f>
        <v>1.3018773400833203</v>
      </c>
      <c r="E177" s="136" t="s">
        <v>69</v>
      </c>
      <c r="F177" s="19"/>
    </row>
    <row r="178" spans="1:14" ht="15.75">
      <c r="A178" s="641"/>
      <c r="B178" s="642"/>
      <c r="C178" s="642"/>
      <c r="D178" s="644"/>
      <c r="E178" s="136"/>
      <c r="F178" s="19"/>
    </row>
    <row r="179" spans="1:14" ht="15.75">
      <c r="A179" s="641"/>
      <c r="B179" s="642"/>
      <c r="C179" s="642"/>
      <c r="D179" s="644"/>
      <c r="E179" s="136"/>
      <c r="F179" s="19"/>
    </row>
    <row r="180" spans="1:14" ht="15.75">
      <c r="A180" s="641"/>
      <c r="B180" s="642"/>
      <c r="C180" s="642"/>
      <c r="D180" s="644"/>
      <c r="E180" s="136"/>
      <c r="F180" s="19"/>
    </row>
    <row r="181" spans="1:14">
      <c r="A181" s="528"/>
      <c r="B181" s="528"/>
      <c r="C181" s="529"/>
      <c r="D181" s="530"/>
      <c r="E181" s="529"/>
      <c r="F181" s="529"/>
      <c r="G181" s="196"/>
      <c r="H181" s="196"/>
      <c r="I181" s="196"/>
      <c r="J181" s="196"/>
      <c r="K181" s="196"/>
      <c r="L181" s="196"/>
      <c r="M181" s="196"/>
      <c r="N181" s="196"/>
    </row>
    <row r="182" spans="1:14">
      <c r="A182" s="357" t="s">
        <v>539</v>
      </c>
      <c r="B182" s="1086"/>
      <c r="C182" s="1086"/>
      <c r="D182" s="1086"/>
      <c r="E182" s="1086"/>
      <c r="F182" s="1086"/>
      <c r="G182" s="1086"/>
      <c r="H182" s="1086"/>
      <c r="I182" s="357"/>
      <c r="J182" s="357"/>
      <c r="K182" s="357"/>
      <c r="L182" s="357"/>
      <c r="M182" s="357"/>
      <c r="N182" s="357"/>
    </row>
    <row r="183" spans="1:14">
      <c r="A183" s="357" t="s">
        <v>540</v>
      </c>
      <c r="B183" s="1118" t="s">
        <v>71</v>
      </c>
      <c r="C183" s="1118"/>
      <c r="D183" s="1118"/>
      <c r="E183" s="1118"/>
      <c r="F183" s="1118"/>
      <c r="G183" s="1118"/>
      <c r="H183" s="1118"/>
      <c r="I183" s="1118"/>
      <c r="J183" s="1118"/>
      <c r="K183" s="1118"/>
      <c r="L183" s="357"/>
      <c r="M183" s="357"/>
      <c r="N183" s="357"/>
    </row>
    <row r="184" spans="1:14">
      <c r="A184" s="500"/>
      <c r="B184" s="1087"/>
      <c r="C184" s="1087"/>
      <c r="D184" s="1087"/>
      <c r="E184" s="1087"/>
      <c r="F184" s="1087"/>
      <c r="G184" s="1087"/>
      <c r="H184" s="1087"/>
      <c r="I184" s="1087"/>
      <c r="J184" s="1087"/>
      <c r="K184" s="500"/>
      <c r="L184" s="500"/>
      <c r="M184" s="500"/>
      <c r="N184" s="500"/>
    </row>
    <row r="185" spans="1:14">
      <c r="A185" s="404" t="s">
        <v>2</v>
      </c>
      <c r="B185" s="409">
        <f>B4</f>
        <v>0</v>
      </c>
      <c r="C185" s="409"/>
      <c r="D185" s="409"/>
      <c r="E185" s="409"/>
      <c r="F185" s="409"/>
      <c r="G185" s="409"/>
      <c r="H185" s="405"/>
      <c r="I185" s="406"/>
      <c r="J185" s="407"/>
      <c r="K185" s="408"/>
      <c r="L185" s="409" t="s">
        <v>291</v>
      </c>
      <c r="M185" s="1119" t="str">
        <f>M4</f>
        <v>3706 83 0015 1M1983 ORD</v>
      </c>
      <c r="N185" s="1120"/>
    </row>
    <row r="186" spans="1:14">
      <c r="A186" s="402" t="s">
        <v>3</v>
      </c>
      <c r="B186" s="1121">
        <f ca="1">B5</f>
        <v>43208</v>
      </c>
      <c r="C186" s="1090"/>
      <c r="D186" s="448"/>
      <c r="E186" s="448" t="s">
        <v>4</v>
      </c>
      <c r="F186" s="178">
        <f>D9</f>
        <v>37</v>
      </c>
      <c r="G186" s="448" t="s">
        <v>72</v>
      </c>
      <c r="H186" s="389"/>
      <c r="I186" s="448" t="s">
        <v>73</v>
      </c>
      <c r="J186" s="370" t="s">
        <v>208</v>
      </c>
      <c r="K186" s="1122" t="s">
        <v>74</v>
      </c>
      <c r="L186" s="1122"/>
      <c r="M186" s="509">
        <f>D10</f>
        <v>74</v>
      </c>
      <c r="N186" s="390" t="s">
        <v>75</v>
      </c>
    </row>
    <row r="187" spans="1:14">
      <c r="A187" s="1109" t="s">
        <v>76</v>
      </c>
      <c r="B187" s="1110"/>
      <c r="C187" s="391">
        <f>D17</f>
        <v>1.68</v>
      </c>
      <c r="D187" s="370" t="s">
        <v>292</v>
      </c>
      <c r="E187" s="1111" t="s">
        <v>8</v>
      </c>
      <c r="F187" s="1111"/>
      <c r="G187" s="448">
        <f>D12</f>
        <v>60.681599999999989</v>
      </c>
      <c r="H187" s="370" t="s">
        <v>75</v>
      </c>
      <c r="I187" s="1111" t="s">
        <v>13</v>
      </c>
      <c r="J187" s="1111"/>
      <c r="K187" s="508">
        <f>D18</f>
        <v>26.218820861678008</v>
      </c>
      <c r="L187" s="370"/>
      <c r="M187" s="387" t="s">
        <v>77</v>
      </c>
      <c r="N187" s="392">
        <f ca="1">N187</f>
        <v>0</v>
      </c>
    </row>
    <row r="188" spans="1:14">
      <c r="A188" s="1112" t="s">
        <v>78</v>
      </c>
      <c r="B188" s="1113"/>
      <c r="C188" s="1114" t="s">
        <v>634</v>
      </c>
      <c r="D188" s="1114"/>
      <c r="E188" s="1114"/>
      <c r="F188" s="1114"/>
      <c r="G188" s="1114"/>
      <c r="H188" s="1114"/>
      <c r="I188" s="1115" t="s">
        <v>79</v>
      </c>
      <c r="J188" s="1115"/>
      <c r="K188" s="1115"/>
      <c r="L188" s="448">
        <f>M170</f>
        <v>1692</v>
      </c>
      <c r="M188" s="518" t="s">
        <v>80</v>
      </c>
      <c r="N188" s="393"/>
    </row>
    <row r="189" spans="1:14">
      <c r="A189" s="1108" t="s">
        <v>81</v>
      </c>
      <c r="B189" s="1108"/>
      <c r="C189" s="1108" t="s">
        <v>82</v>
      </c>
      <c r="D189" s="1108"/>
      <c r="E189" s="1108" t="s">
        <v>83</v>
      </c>
      <c r="F189" s="1108"/>
      <c r="G189" s="1108" t="s">
        <v>84</v>
      </c>
      <c r="H189" s="1108"/>
      <c r="I189" s="1108" t="s">
        <v>85</v>
      </c>
      <c r="J189" s="1108"/>
      <c r="K189" s="1108"/>
      <c r="L189" s="1108" t="s">
        <v>86</v>
      </c>
      <c r="M189" s="1108"/>
      <c r="N189" s="371"/>
    </row>
    <row r="190" spans="1:14">
      <c r="A190" s="1105" t="s">
        <v>87</v>
      </c>
      <c r="B190" s="1105"/>
      <c r="C190" s="185">
        <f t="shared" ref="C190:C197" si="9">H162</f>
        <v>1</v>
      </c>
      <c r="D190" s="186" t="s">
        <v>59</v>
      </c>
      <c r="E190" s="185">
        <f t="shared" ref="E190:E197" si="10">I162</f>
        <v>0</v>
      </c>
      <c r="F190" s="610" t="s">
        <v>59</v>
      </c>
      <c r="G190" s="185">
        <f t="shared" ref="G190:G197" si="11">J162</f>
        <v>0</v>
      </c>
      <c r="H190" s="187" t="s">
        <v>59</v>
      </c>
      <c r="I190" s="185">
        <f t="shared" ref="I190:I197" si="12">K162</f>
        <v>0</v>
      </c>
      <c r="J190" s="1107" t="s">
        <v>59</v>
      </c>
      <c r="K190" s="1107"/>
      <c r="L190" s="185">
        <f t="shared" ref="L190:L197" si="13">L162</f>
        <v>1</v>
      </c>
      <c r="M190" s="187" t="s">
        <v>59</v>
      </c>
      <c r="N190" s="371"/>
    </row>
    <row r="191" spans="1:14">
      <c r="A191" s="1105" t="s">
        <v>88</v>
      </c>
      <c r="B191" s="1105"/>
      <c r="C191" s="185">
        <f t="shared" si="9"/>
        <v>1</v>
      </c>
      <c r="D191" s="186" t="s">
        <v>59</v>
      </c>
      <c r="E191" s="185">
        <f t="shared" si="10"/>
        <v>0</v>
      </c>
      <c r="F191" s="187" t="s">
        <v>59</v>
      </c>
      <c r="G191" s="185">
        <f t="shared" si="11"/>
        <v>3</v>
      </c>
      <c r="H191" s="187" t="s">
        <v>59</v>
      </c>
      <c r="I191" s="185">
        <f t="shared" si="12"/>
        <v>0</v>
      </c>
      <c r="J191" s="1107" t="s">
        <v>59</v>
      </c>
      <c r="K191" s="1107"/>
      <c r="L191" s="185">
        <f t="shared" si="13"/>
        <v>0</v>
      </c>
      <c r="M191" s="187" t="s">
        <v>59</v>
      </c>
      <c r="N191" s="371"/>
    </row>
    <row r="192" spans="1:14">
      <c r="A192" s="1105" t="s">
        <v>89</v>
      </c>
      <c r="B192" s="1105"/>
      <c r="C192" s="185">
        <f t="shared" si="9"/>
        <v>1</v>
      </c>
      <c r="D192" s="186" t="s">
        <v>59</v>
      </c>
      <c r="E192" s="185">
        <f t="shared" si="10"/>
        <v>1</v>
      </c>
      <c r="F192" s="187" t="s">
        <v>59</v>
      </c>
      <c r="G192" s="185">
        <f t="shared" si="11"/>
        <v>2</v>
      </c>
      <c r="H192" s="187" t="s">
        <v>59</v>
      </c>
      <c r="I192" s="185">
        <f t="shared" si="12"/>
        <v>0</v>
      </c>
      <c r="J192" s="1107" t="s">
        <v>59</v>
      </c>
      <c r="K192" s="1107"/>
      <c r="L192" s="185">
        <f t="shared" si="13"/>
        <v>1</v>
      </c>
      <c r="M192" s="187" t="s">
        <v>59</v>
      </c>
      <c r="N192" s="371"/>
    </row>
    <row r="193" spans="1:16">
      <c r="A193" s="450" t="s">
        <v>90</v>
      </c>
      <c r="B193" s="450"/>
      <c r="C193" s="185">
        <f t="shared" si="9"/>
        <v>2</v>
      </c>
      <c r="D193" s="186" t="s">
        <v>59</v>
      </c>
      <c r="E193" s="185">
        <f t="shared" si="10"/>
        <v>1</v>
      </c>
      <c r="F193" s="187" t="s">
        <v>59</v>
      </c>
      <c r="G193" s="185">
        <f t="shared" si="11"/>
        <v>2</v>
      </c>
      <c r="H193" s="187" t="s">
        <v>59</v>
      </c>
      <c r="I193" s="185">
        <f t="shared" si="12"/>
        <v>1</v>
      </c>
      <c r="J193" s="1107" t="s">
        <v>59</v>
      </c>
      <c r="K193" s="1107"/>
      <c r="L193" s="185">
        <f t="shared" si="13"/>
        <v>2</v>
      </c>
      <c r="M193" s="187" t="s">
        <v>59</v>
      </c>
      <c r="N193" s="371"/>
    </row>
    <row r="194" spans="1:16">
      <c r="A194" s="1105" t="s">
        <v>91</v>
      </c>
      <c r="B194" s="1105"/>
      <c r="C194" s="185">
        <f t="shared" si="9"/>
        <v>2</v>
      </c>
      <c r="D194" s="186" t="s">
        <v>59</v>
      </c>
      <c r="E194" s="185">
        <f t="shared" si="10"/>
        <v>0</v>
      </c>
      <c r="F194" s="187" t="s">
        <v>59</v>
      </c>
      <c r="G194" s="185">
        <f t="shared" si="11"/>
        <v>2</v>
      </c>
      <c r="H194" s="187" t="s">
        <v>59</v>
      </c>
      <c r="I194" s="185">
        <f t="shared" si="12"/>
        <v>0</v>
      </c>
      <c r="J194" s="1107" t="s">
        <v>59</v>
      </c>
      <c r="K194" s="1107"/>
      <c r="L194" s="185">
        <f t="shared" si="13"/>
        <v>1</v>
      </c>
      <c r="M194" s="187" t="s">
        <v>59</v>
      </c>
      <c r="N194" s="371"/>
    </row>
    <row r="195" spans="1:16">
      <c r="A195" s="1105" t="s">
        <v>92</v>
      </c>
      <c r="B195" s="1105"/>
      <c r="C195" s="185">
        <f t="shared" si="9"/>
        <v>0</v>
      </c>
      <c r="D195" s="186" t="s">
        <v>59</v>
      </c>
      <c r="E195" s="185">
        <f t="shared" si="10"/>
        <v>0</v>
      </c>
      <c r="F195" s="187" t="s">
        <v>59</v>
      </c>
      <c r="G195" s="185">
        <f t="shared" si="11"/>
        <v>1</v>
      </c>
      <c r="H195" s="187" t="s">
        <v>59</v>
      </c>
      <c r="I195" s="185">
        <f t="shared" si="12"/>
        <v>0</v>
      </c>
      <c r="J195" s="1107" t="s">
        <v>59</v>
      </c>
      <c r="K195" s="1107"/>
      <c r="L195" s="185">
        <f t="shared" si="13"/>
        <v>0</v>
      </c>
      <c r="M195" s="187" t="s">
        <v>59</v>
      </c>
      <c r="N195" s="371"/>
    </row>
    <row r="196" spans="1:16">
      <c r="A196" s="1105" t="s">
        <v>93</v>
      </c>
      <c r="B196" s="1105"/>
      <c r="C196" s="185">
        <f t="shared" si="9"/>
        <v>2</v>
      </c>
      <c r="D196" s="186" t="s">
        <v>59</v>
      </c>
      <c r="E196" s="188">
        <f t="shared" si="10"/>
        <v>0</v>
      </c>
      <c r="F196" s="189" t="s">
        <v>59</v>
      </c>
      <c r="G196" s="185">
        <f t="shared" si="11"/>
        <v>2</v>
      </c>
      <c r="H196" s="187" t="s">
        <v>59</v>
      </c>
      <c r="I196" s="185">
        <f t="shared" si="12"/>
        <v>0</v>
      </c>
      <c r="J196" s="1107" t="s">
        <v>59</v>
      </c>
      <c r="K196" s="1107"/>
      <c r="L196" s="185">
        <f t="shared" si="13"/>
        <v>1</v>
      </c>
      <c r="M196" s="187" t="s">
        <v>59</v>
      </c>
      <c r="N196" s="371"/>
    </row>
    <row r="197" spans="1:16">
      <c r="A197" s="1105" t="s">
        <v>94</v>
      </c>
      <c r="B197" s="1105"/>
      <c r="C197" s="190">
        <f t="shared" si="9"/>
        <v>0</v>
      </c>
      <c r="D197" s="191" t="s">
        <v>59</v>
      </c>
      <c r="E197" s="185">
        <f t="shared" si="10"/>
        <v>0</v>
      </c>
      <c r="F197" s="187" t="s">
        <v>59</v>
      </c>
      <c r="G197" s="190">
        <f t="shared" si="11"/>
        <v>0</v>
      </c>
      <c r="H197" s="192" t="s">
        <v>59</v>
      </c>
      <c r="I197" s="190">
        <f t="shared" si="12"/>
        <v>0</v>
      </c>
      <c r="J197" s="1106" t="s">
        <v>59</v>
      </c>
      <c r="K197" s="1106"/>
      <c r="L197" s="190">
        <f t="shared" si="13"/>
        <v>0</v>
      </c>
      <c r="M197" s="192" t="s">
        <v>59</v>
      </c>
      <c r="N197" s="371"/>
    </row>
    <row r="198" spans="1:16">
      <c r="A198" s="403" t="s">
        <v>95</v>
      </c>
      <c r="B198" s="370"/>
      <c r="C198" s="370"/>
      <c r="D198" s="370"/>
      <c r="E198" s="370"/>
      <c r="F198" s="370"/>
      <c r="G198" s="395" t="s">
        <v>97</v>
      </c>
      <c r="H198" s="395"/>
      <c r="I198" s="395"/>
      <c r="J198" s="395"/>
      <c r="K198" s="395"/>
      <c r="L198" s="395"/>
      <c r="M198" s="370"/>
      <c r="N198" s="371"/>
    </row>
    <row r="199" spans="1:16">
      <c r="A199" s="381" t="s">
        <v>96</v>
      </c>
      <c r="B199" s="370"/>
      <c r="C199" s="370"/>
      <c r="D199" s="370"/>
      <c r="E199" s="370"/>
      <c r="F199" s="370"/>
      <c r="G199" s="370"/>
      <c r="H199" s="439"/>
      <c r="I199" s="1075" t="s">
        <v>254</v>
      </c>
      <c r="J199" s="1075"/>
      <c r="K199" s="439"/>
      <c r="L199" s="370"/>
      <c r="M199" s="442" t="s">
        <v>255</v>
      </c>
      <c r="N199" s="371"/>
    </row>
    <row r="200" spans="1:16">
      <c r="A200" s="381" t="s">
        <v>98</v>
      </c>
      <c r="B200" s="370"/>
      <c r="C200" s="370"/>
      <c r="D200" s="370"/>
      <c r="E200" s="370" t="s">
        <v>241</v>
      </c>
      <c r="F200" s="370"/>
      <c r="G200" s="370"/>
      <c r="H200" s="445"/>
      <c r="I200" s="445" t="s">
        <v>256</v>
      </c>
      <c r="J200" s="445"/>
      <c r="K200" s="445"/>
      <c r="L200" s="370"/>
      <c r="M200" s="442" t="s">
        <v>257</v>
      </c>
      <c r="N200" s="393"/>
      <c r="P200" s="31"/>
    </row>
    <row r="201" spans="1:16">
      <c r="A201" s="381" t="s">
        <v>99</v>
      </c>
      <c r="B201" s="370"/>
      <c r="C201" s="370"/>
      <c r="D201" s="370"/>
      <c r="E201" s="445" t="s">
        <v>242</v>
      </c>
      <c r="F201" s="370"/>
      <c r="G201" s="439"/>
      <c r="H201" s="445"/>
      <c r="I201" s="445" t="s">
        <v>258</v>
      </c>
      <c r="J201" s="445"/>
      <c r="K201" s="445"/>
      <c r="L201" s="439"/>
      <c r="M201" s="442" t="s">
        <v>259</v>
      </c>
      <c r="N201" s="396"/>
    </row>
    <row r="202" spans="1:16">
      <c r="A202" s="381"/>
      <c r="B202" s="370"/>
      <c r="C202" s="370"/>
      <c r="D202" s="370"/>
      <c r="E202" s="370"/>
      <c r="F202" s="370"/>
      <c r="G202" s="439"/>
      <c r="H202" s="445"/>
      <c r="I202" s="445" t="s">
        <v>260</v>
      </c>
      <c r="J202" s="445"/>
      <c r="K202" s="445"/>
      <c r="L202" s="439"/>
      <c r="M202" s="442" t="s">
        <v>259</v>
      </c>
      <c r="N202" s="396"/>
      <c r="O202" s="216" t="s">
        <v>100</v>
      </c>
    </row>
    <row r="203" spans="1:16">
      <c r="A203" s="403" t="s">
        <v>101</v>
      </c>
      <c r="B203" s="370"/>
      <c r="C203" s="370"/>
      <c r="D203" s="397"/>
      <c r="E203" s="397"/>
      <c r="F203" s="397"/>
      <c r="G203" s="86"/>
      <c r="H203" s="445"/>
      <c r="I203" s="445" t="s">
        <v>261</v>
      </c>
      <c r="J203" s="445"/>
      <c r="K203" s="445"/>
      <c r="L203" s="86"/>
      <c r="M203" s="458" t="s">
        <v>241</v>
      </c>
      <c r="N203" s="371"/>
    </row>
    <row r="204" spans="1:16">
      <c r="A204" s="1078" t="s">
        <v>243</v>
      </c>
      <c r="B204" s="1079"/>
      <c r="C204" s="370"/>
      <c r="D204" s="397">
        <v>2</v>
      </c>
      <c r="E204" s="397" t="s">
        <v>238</v>
      </c>
      <c r="F204" s="375"/>
      <c r="G204" s="439"/>
      <c r="H204" s="445"/>
      <c r="I204" s="445" t="s">
        <v>262</v>
      </c>
      <c r="J204" s="445"/>
      <c r="K204" s="445"/>
      <c r="L204" s="439"/>
      <c r="M204" s="442" t="s">
        <v>263</v>
      </c>
      <c r="N204" s="398"/>
    </row>
    <row r="205" spans="1:16">
      <c r="A205" s="1078" t="s">
        <v>244</v>
      </c>
      <c r="B205" s="1079"/>
      <c r="C205" s="370"/>
      <c r="D205" s="397">
        <v>30</v>
      </c>
      <c r="E205" s="397" t="s">
        <v>235</v>
      </c>
      <c r="F205" s="442"/>
      <c r="G205" s="439"/>
      <c r="H205" s="445"/>
      <c r="I205" s="445" t="s">
        <v>264</v>
      </c>
      <c r="J205" s="445"/>
      <c r="K205" s="445"/>
      <c r="L205" s="439"/>
      <c r="M205" s="442" t="s">
        <v>255</v>
      </c>
      <c r="N205" s="393"/>
    </row>
    <row r="206" spans="1:16">
      <c r="A206" s="381" t="s">
        <v>245</v>
      </c>
      <c r="B206" s="370"/>
      <c r="C206" s="370"/>
      <c r="D206" s="397">
        <v>30</v>
      </c>
      <c r="E206" s="397" t="s">
        <v>235</v>
      </c>
      <c r="F206" s="442"/>
      <c r="G206" s="439"/>
      <c r="H206" s="445"/>
      <c r="I206" s="445" t="s">
        <v>265</v>
      </c>
      <c r="J206" s="445"/>
      <c r="K206" s="445"/>
      <c r="L206" s="439"/>
      <c r="M206" s="442" t="s">
        <v>259</v>
      </c>
      <c r="N206" s="393"/>
    </row>
    <row r="207" spans="1:16">
      <c r="A207" s="1078" t="s">
        <v>246</v>
      </c>
      <c r="B207" s="1079"/>
      <c r="C207" s="370"/>
      <c r="D207" s="397">
        <v>45</v>
      </c>
      <c r="E207" s="397" t="s">
        <v>235</v>
      </c>
      <c r="F207" s="442"/>
      <c r="G207" s="370"/>
      <c r="H207" s="445"/>
      <c r="I207" s="445" t="s">
        <v>266</v>
      </c>
      <c r="J207" s="445"/>
      <c r="K207" s="445"/>
      <c r="L207" s="370"/>
      <c r="M207" s="442" t="s">
        <v>259</v>
      </c>
      <c r="N207" s="371"/>
    </row>
    <row r="208" spans="1:16">
      <c r="A208" s="1074" t="s">
        <v>102</v>
      </c>
      <c r="B208" s="1075"/>
      <c r="C208" s="370"/>
      <c r="D208" s="397">
        <v>30</v>
      </c>
      <c r="E208" s="397" t="s">
        <v>235</v>
      </c>
      <c r="F208" s="442"/>
      <c r="G208" s="370"/>
      <c r="H208" s="445"/>
      <c r="I208" s="445" t="s">
        <v>267</v>
      </c>
      <c r="J208" s="445"/>
      <c r="K208" s="445"/>
      <c r="L208" s="370"/>
      <c r="M208" s="442" t="s">
        <v>268</v>
      </c>
      <c r="N208" s="371"/>
    </row>
    <row r="209" spans="1:14">
      <c r="A209" s="1074" t="s">
        <v>104</v>
      </c>
      <c r="B209" s="1075"/>
      <c r="C209" s="370"/>
      <c r="D209" s="397">
        <v>30</v>
      </c>
      <c r="E209" s="397" t="s">
        <v>235</v>
      </c>
      <c r="F209" s="442"/>
      <c r="G209" s="370"/>
      <c r="H209" s="445"/>
      <c r="I209" s="445" t="s">
        <v>269</v>
      </c>
      <c r="J209" s="445"/>
      <c r="K209" s="445"/>
      <c r="L209" s="370"/>
      <c r="M209" s="442" t="s">
        <v>270</v>
      </c>
      <c r="N209" s="371"/>
    </row>
    <row r="210" spans="1:14">
      <c r="A210" s="1074" t="s">
        <v>106</v>
      </c>
      <c r="B210" s="1075"/>
      <c r="C210" s="370"/>
      <c r="D210" s="397">
        <v>30</v>
      </c>
      <c r="E210" s="397" t="s">
        <v>235</v>
      </c>
      <c r="F210" s="442"/>
      <c r="G210" s="370"/>
      <c r="H210" s="445"/>
      <c r="I210" s="445" t="s">
        <v>272</v>
      </c>
      <c r="J210" s="445"/>
      <c r="K210" s="445"/>
      <c r="L210" s="370"/>
      <c r="M210" s="442" t="s">
        <v>271</v>
      </c>
      <c r="N210" s="371"/>
    </row>
    <row r="211" spans="1:14">
      <c r="A211" s="1102" t="s">
        <v>108</v>
      </c>
      <c r="B211" s="1103"/>
      <c r="C211" s="1103"/>
      <c r="D211" s="506">
        <v>1</v>
      </c>
      <c r="E211" s="506" t="s">
        <v>236</v>
      </c>
      <c r="F211" s="506"/>
      <c r="G211" s="370"/>
      <c r="H211" s="445"/>
      <c r="I211" s="445" t="s">
        <v>273</v>
      </c>
      <c r="J211" s="445"/>
      <c r="K211" s="445"/>
      <c r="L211" s="370"/>
      <c r="M211" s="442" t="s">
        <v>274</v>
      </c>
      <c r="N211" s="371"/>
    </row>
    <row r="212" spans="1:14">
      <c r="A212" s="1102" t="s">
        <v>110</v>
      </c>
      <c r="B212" s="1103"/>
      <c r="C212" s="505"/>
      <c r="D212" s="506">
        <v>35</v>
      </c>
      <c r="E212" s="506" t="s">
        <v>235</v>
      </c>
      <c r="F212" s="506"/>
      <c r="G212" s="370"/>
      <c r="H212" s="445"/>
      <c r="I212" s="445" t="s">
        <v>275</v>
      </c>
      <c r="J212" s="445"/>
      <c r="K212" s="445"/>
      <c r="L212" s="370"/>
      <c r="M212" s="442" t="s">
        <v>277</v>
      </c>
      <c r="N212" s="371"/>
    </row>
    <row r="213" spans="1:14">
      <c r="A213" s="381" t="s">
        <v>112</v>
      </c>
      <c r="B213" s="370"/>
      <c r="C213" s="370"/>
      <c r="D213" s="397">
        <v>30</v>
      </c>
      <c r="E213" s="397" t="s">
        <v>235</v>
      </c>
      <c r="F213" s="397"/>
      <c r="G213" s="370"/>
      <c r="H213" s="445"/>
      <c r="I213" s="445" t="s">
        <v>276</v>
      </c>
      <c r="J213" s="445"/>
      <c r="K213" s="445"/>
      <c r="L213" s="370"/>
      <c r="M213" s="442" t="s">
        <v>241</v>
      </c>
      <c r="N213" s="371"/>
    </row>
    <row r="214" spans="1:14">
      <c r="A214" s="507" t="s">
        <v>114</v>
      </c>
      <c r="B214" s="505"/>
      <c r="C214" s="505"/>
      <c r="D214" s="506">
        <v>30</v>
      </c>
      <c r="E214" s="506" t="s">
        <v>235</v>
      </c>
      <c r="F214" s="506"/>
      <c r="G214" s="370"/>
      <c r="H214" s="445"/>
      <c r="I214" s="445" t="s">
        <v>278</v>
      </c>
      <c r="J214" s="445"/>
      <c r="K214" s="445"/>
      <c r="L214" s="370"/>
      <c r="M214" s="442" t="s">
        <v>274</v>
      </c>
      <c r="N214" s="371"/>
    </row>
    <row r="215" spans="1:14">
      <c r="A215" s="381"/>
      <c r="B215" s="370"/>
      <c r="C215" s="370"/>
      <c r="D215" s="370"/>
      <c r="E215" s="370"/>
      <c r="F215" s="370"/>
      <c r="G215" s="370"/>
      <c r="H215" s="445"/>
      <c r="I215" s="445" t="s">
        <v>279</v>
      </c>
      <c r="J215" s="445"/>
      <c r="K215" s="445"/>
      <c r="L215" s="370"/>
      <c r="M215" s="442" t="s">
        <v>263</v>
      </c>
      <c r="N215" s="371"/>
    </row>
    <row r="216" spans="1:14">
      <c r="A216" s="403" t="s">
        <v>117</v>
      </c>
      <c r="B216" s="370"/>
      <c r="C216" s="370"/>
      <c r="D216" s="370"/>
      <c r="E216" s="370"/>
      <c r="F216" s="370"/>
      <c r="G216" s="370"/>
      <c r="H216" s="445"/>
      <c r="I216" s="445" t="s">
        <v>280</v>
      </c>
      <c r="J216" s="445"/>
      <c r="K216" s="445"/>
      <c r="L216" s="370"/>
      <c r="M216" s="442" t="s">
        <v>263</v>
      </c>
      <c r="N216" s="371"/>
    </row>
    <row r="217" spans="1:14">
      <c r="A217" s="381" t="s">
        <v>119</v>
      </c>
      <c r="B217" s="370"/>
      <c r="C217" s="399"/>
      <c r="D217" s="401">
        <v>1</v>
      </c>
      <c r="E217" s="442" t="s">
        <v>247</v>
      </c>
      <c r="F217" s="442"/>
      <c r="G217" s="442"/>
      <c r="H217" s="445"/>
      <c r="I217" s="445" t="s">
        <v>281</v>
      </c>
      <c r="J217" s="445"/>
      <c r="K217" s="445"/>
      <c r="L217" s="370"/>
      <c r="M217" s="442" t="s">
        <v>263</v>
      </c>
      <c r="N217" s="371"/>
    </row>
    <row r="218" spans="1:14">
      <c r="A218" s="381" t="s">
        <v>121</v>
      </c>
      <c r="B218" s="370"/>
      <c r="C218" s="399"/>
      <c r="D218" s="400">
        <v>2</v>
      </c>
      <c r="E218" s="1076" t="s">
        <v>238</v>
      </c>
      <c r="F218" s="1076"/>
      <c r="G218" s="442"/>
      <c r="H218" s="445"/>
      <c r="I218" s="445" t="s">
        <v>282</v>
      </c>
      <c r="J218" s="445"/>
      <c r="K218" s="445"/>
      <c r="L218" s="370"/>
      <c r="M218" s="442" t="s">
        <v>263</v>
      </c>
      <c r="N218" s="371"/>
    </row>
    <row r="219" spans="1:14">
      <c r="A219" s="381" t="s">
        <v>123</v>
      </c>
      <c r="B219" s="370"/>
      <c r="C219" s="399"/>
      <c r="D219" s="400">
        <v>4</v>
      </c>
      <c r="E219" s="1076" t="s">
        <v>238</v>
      </c>
      <c r="F219" s="1076"/>
      <c r="G219" s="442"/>
      <c r="H219" s="445"/>
      <c r="I219" s="445" t="s">
        <v>283</v>
      </c>
      <c r="J219" s="445"/>
      <c r="K219" s="445"/>
      <c r="L219" s="370"/>
      <c r="M219" s="442" t="s">
        <v>270</v>
      </c>
      <c r="N219" s="371"/>
    </row>
    <row r="220" spans="1:14">
      <c r="A220" s="381" t="s">
        <v>125</v>
      </c>
      <c r="B220" s="370"/>
      <c r="C220" s="399"/>
      <c r="D220" s="401">
        <v>0.5</v>
      </c>
      <c r="E220" s="1104" t="s">
        <v>295</v>
      </c>
      <c r="F220" s="1104"/>
      <c r="G220" s="442"/>
      <c r="H220" s="445"/>
      <c r="I220" s="445" t="s">
        <v>284</v>
      </c>
      <c r="J220" s="445"/>
      <c r="K220" s="445"/>
      <c r="L220" s="370"/>
      <c r="M220" s="442" t="s">
        <v>271</v>
      </c>
      <c r="N220" s="371"/>
    </row>
    <row r="221" spans="1:14">
      <c r="A221" s="381" t="s">
        <v>127</v>
      </c>
      <c r="B221" s="370"/>
      <c r="C221" s="399"/>
      <c r="D221" s="401">
        <v>1.5</v>
      </c>
      <c r="E221" s="1282" t="s">
        <v>238</v>
      </c>
      <c r="F221" s="1282"/>
      <c r="G221" s="442"/>
      <c r="H221" s="445"/>
      <c r="I221" s="445" t="s">
        <v>285</v>
      </c>
      <c r="J221" s="445"/>
      <c r="K221" s="445"/>
      <c r="L221" s="370"/>
      <c r="M221" s="442" t="s">
        <v>271</v>
      </c>
      <c r="N221" s="371"/>
    </row>
    <row r="222" spans="1:14">
      <c r="A222" s="381" t="s">
        <v>129</v>
      </c>
      <c r="B222" s="370"/>
      <c r="C222" s="399"/>
      <c r="D222" s="400">
        <v>1</v>
      </c>
      <c r="E222" s="1076" t="s">
        <v>248</v>
      </c>
      <c r="F222" s="1076"/>
      <c r="G222" s="442"/>
      <c r="H222" s="445"/>
      <c r="I222" s="445" t="s">
        <v>286</v>
      </c>
      <c r="J222" s="445"/>
      <c r="K222" s="445"/>
      <c r="L222" s="370"/>
      <c r="M222" s="442" t="s">
        <v>271</v>
      </c>
      <c r="N222" s="371"/>
    </row>
    <row r="223" spans="1:14">
      <c r="A223" s="381" t="s">
        <v>131</v>
      </c>
      <c r="B223" s="370"/>
      <c r="C223" s="399"/>
      <c r="D223" s="400">
        <v>3</v>
      </c>
      <c r="E223" s="1076" t="s">
        <v>296</v>
      </c>
      <c r="F223" s="1076"/>
      <c r="G223" s="442"/>
      <c r="H223" s="445"/>
      <c r="I223" s="445" t="s">
        <v>287</v>
      </c>
      <c r="J223" s="445"/>
      <c r="K223" s="445"/>
      <c r="L223" s="370"/>
      <c r="M223" s="442" t="s">
        <v>271</v>
      </c>
      <c r="N223" s="371"/>
    </row>
    <row r="224" spans="1:14">
      <c r="A224" s="381" t="s">
        <v>133</v>
      </c>
      <c r="B224" s="370"/>
      <c r="C224" s="399"/>
      <c r="D224" s="400">
        <v>3</v>
      </c>
      <c r="E224" s="1076" t="s">
        <v>238</v>
      </c>
      <c r="F224" s="1076"/>
      <c r="G224" s="442"/>
      <c r="H224" s="445"/>
      <c r="I224" s="445" t="s">
        <v>288</v>
      </c>
      <c r="J224" s="445"/>
      <c r="K224" s="445"/>
      <c r="L224" s="370"/>
      <c r="M224" s="442" t="s">
        <v>271</v>
      </c>
      <c r="N224" s="371"/>
    </row>
    <row r="225" spans="1:14">
      <c r="A225" s="381" t="s">
        <v>135</v>
      </c>
      <c r="B225" s="370"/>
      <c r="C225" s="399"/>
      <c r="D225" s="400">
        <v>1</v>
      </c>
      <c r="E225" s="1076" t="s">
        <v>248</v>
      </c>
      <c r="F225" s="1076"/>
      <c r="G225" s="442"/>
      <c r="H225" s="445"/>
      <c r="I225" s="445" t="s">
        <v>289</v>
      </c>
      <c r="J225" s="445"/>
      <c r="K225" s="445"/>
      <c r="L225" s="370"/>
      <c r="M225" s="442" t="s">
        <v>271</v>
      </c>
      <c r="N225" s="371"/>
    </row>
    <row r="226" spans="1:14">
      <c r="A226" s="381" t="s">
        <v>137</v>
      </c>
      <c r="B226" s="370"/>
      <c r="C226" s="399"/>
      <c r="D226" s="401">
        <v>1.5</v>
      </c>
      <c r="E226" s="1282" t="s">
        <v>238</v>
      </c>
      <c r="F226" s="1282"/>
      <c r="G226" s="442"/>
      <c r="H226" s="445"/>
      <c r="I226" s="1075" t="s">
        <v>290</v>
      </c>
      <c r="J226" s="1075"/>
      <c r="K226" s="1075"/>
      <c r="L226" s="370"/>
      <c r="M226" s="442" t="s">
        <v>257</v>
      </c>
      <c r="N226" s="371"/>
    </row>
    <row r="227" spans="1:14">
      <c r="A227" s="410" t="s">
        <v>139</v>
      </c>
      <c r="B227" s="411"/>
      <c r="C227" s="412"/>
      <c r="D227" s="413">
        <v>1</v>
      </c>
      <c r="E227" s="1100" t="s">
        <v>248</v>
      </c>
      <c r="F227" s="1100"/>
      <c r="G227" s="470"/>
      <c r="H227" s="449"/>
      <c r="I227" s="1101"/>
      <c r="J227" s="1101"/>
      <c r="K227" s="1101"/>
      <c r="L227" s="411"/>
      <c r="M227" s="449"/>
      <c r="N227" s="414"/>
    </row>
    <row r="228" spans="1:14">
      <c r="A228" s="420" t="s">
        <v>141</v>
      </c>
      <c r="B228" s="407"/>
      <c r="C228" s="415"/>
      <c r="D228" s="416">
        <v>0.5</v>
      </c>
      <c r="E228" s="1283" t="s">
        <v>295</v>
      </c>
      <c r="F228" s="1283"/>
      <c r="G228" s="471"/>
      <c r="H228" s="407"/>
      <c r="I228" s="407"/>
      <c r="J228" s="407"/>
      <c r="K228" s="407"/>
      <c r="L228" s="407"/>
      <c r="M228" s="407"/>
      <c r="N228" s="422"/>
    </row>
    <row r="229" spans="1:14">
      <c r="A229" s="381" t="s">
        <v>142</v>
      </c>
      <c r="B229" s="370"/>
      <c r="C229" s="417">
        <v>0</v>
      </c>
      <c r="D229" s="400">
        <v>2</v>
      </c>
      <c r="E229" s="1076" t="s">
        <v>238</v>
      </c>
      <c r="F229" s="1076"/>
      <c r="G229" s="442"/>
      <c r="H229" s="370"/>
      <c r="I229" s="370"/>
      <c r="J229" s="370"/>
      <c r="K229" s="370"/>
      <c r="L229" s="370"/>
      <c r="M229" s="370"/>
      <c r="N229" s="371"/>
    </row>
    <row r="230" spans="1:14">
      <c r="A230" s="381" t="s">
        <v>143</v>
      </c>
      <c r="B230" s="370"/>
      <c r="C230" s="399"/>
      <c r="D230" s="400">
        <v>3</v>
      </c>
      <c r="E230" s="1076" t="s">
        <v>238</v>
      </c>
      <c r="F230" s="1076"/>
      <c r="G230" s="442"/>
      <c r="H230" s="370"/>
      <c r="I230" s="370"/>
      <c r="J230" s="370"/>
      <c r="K230" s="370"/>
      <c r="L230" s="370"/>
      <c r="M230" s="370"/>
      <c r="N230" s="371"/>
    </row>
    <row r="231" spans="1:14">
      <c r="A231" s="381" t="s">
        <v>144</v>
      </c>
      <c r="B231" s="370"/>
      <c r="C231" s="399"/>
      <c r="D231" s="400">
        <v>2</v>
      </c>
      <c r="E231" s="1076" t="s">
        <v>298</v>
      </c>
      <c r="F231" s="1076"/>
      <c r="G231" s="442"/>
      <c r="H231" s="370"/>
      <c r="I231" s="370"/>
      <c r="J231" s="370"/>
      <c r="K231" s="370"/>
      <c r="L231" s="370"/>
      <c r="M231" s="370"/>
      <c r="N231" s="371"/>
    </row>
    <row r="232" spans="1:14">
      <c r="A232" s="381" t="s">
        <v>145</v>
      </c>
      <c r="B232" s="370"/>
      <c r="C232" s="399"/>
      <c r="D232" s="401">
        <v>0.5</v>
      </c>
      <c r="E232" s="1104" t="s">
        <v>295</v>
      </c>
      <c r="F232" s="1104"/>
      <c r="G232" s="442"/>
      <c r="H232" s="370"/>
      <c r="I232" s="370"/>
      <c r="J232" s="370"/>
      <c r="K232" s="370"/>
      <c r="L232" s="370"/>
      <c r="M232" s="370"/>
      <c r="N232" s="371"/>
    </row>
    <row r="233" spans="1:14">
      <c r="A233" s="381" t="s">
        <v>146</v>
      </c>
      <c r="B233" s="370"/>
      <c r="C233" s="399"/>
      <c r="D233" s="400">
        <v>1</v>
      </c>
      <c r="E233" s="1076" t="s">
        <v>299</v>
      </c>
      <c r="F233" s="1076"/>
      <c r="G233" s="1076"/>
      <c r="H233" s="370"/>
      <c r="I233" s="394"/>
      <c r="J233" s="370"/>
      <c r="K233" s="370"/>
      <c r="L233" s="370"/>
      <c r="M233" s="370"/>
      <c r="N233" s="371"/>
    </row>
    <row r="234" spans="1:14">
      <c r="A234" s="381" t="s">
        <v>147</v>
      </c>
      <c r="B234" s="370"/>
      <c r="C234" s="399"/>
      <c r="D234" s="401">
        <v>1.5</v>
      </c>
      <c r="E234" s="442" t="s">
        <v>248</v>
      </c>
      <c r="F234" s="442"/>
      <c r="G234" s="442"/>
      <c r="H234" s="370"/>
      <c r="I234" s="370"/>
      <c r="J234" s="370"/>
      <c r="K234" s="370"/>
      <c r="L234" s="370"/>
      <c r="M234" s="370"/>
      <c r="N234" s="371"/>
    </row>
    <row r="235" spans="1:14">
      <c r="A235" s="381" t="s">
        <v>148</v>
      </c>
      <c r="B235" s="370"/>
      <c r="C235" s="399"/>
      <c r="D235" s="400">
        <v>1</v>
      </c>
      <c r="E235" s="1076" t="s">
        <v>300</v>
      </c>
      <c r="F235" s="1076"/>
      <c r="G235" s="442"/>
      <c r="H235" s="370"/>
      <c r="I235" s="394" t="s">
        <v>103</v>
      </c>
      <c r="J235" s="370"/>
      <c r="K235" s="370"/>
      <c r="L235" s="370"/>
      <c r="M235" s="370"/>
      <c r="N235" s="371"/>
    </row>
    <row r="236" spans="1:14">
      <c r="A236" s="381" t="s">
        <v>149</v>
      </c>
      <c r="B236" s="370"/>
      <c r="C236" s="399"/>
      <c r="D236" s="400">
        <v>1</v>
      </c>
      <c r="E236" s="1076" t="s">
        <v>248</v>
      </c>
      <c r="F236" s="1076"/>
      <c r="G236" s="442"/>
      <c r="H236" s="370"/>
      <c r="I236" s="370" t="s">
        <v>105</v>
      </c>
      <c r="J236" s="370"/>
      <c r="K236" s="370"/>
      <c r="L236" s="370"/>
      <c r="M236" s="401">
        <v>0.5</v>
      </c>
      <c r="N236" s="423" t="s">
        <v>295</v>
      </c>
    </row>
    <row r="237" spans="1:14">
      <c r="A237" s="381" t="s">
        <v>150</v>
      </c>
      <c r="B237" s="370"/>
      <c r="C237" s="399"/>
      <c r="D237" s="400">
        <v>1</v>
      </c>
      <c r="E237" s="1076" t="s">
        <v>301</v>
      </c>
      <c r="F237" s="1076"/>
      <c r="G237" s="442"/>
      <c r="H237" s="370"/>
      <c r="I237" s="370" t="s">
        <v>107</v>
      </c>
      <c r="J237" s="370"/>
      <c r="K237" s="370"/>
      <c r="L237" s="370"/>
      <c r="M237" s="400">
        <v>1</v>
      </c>
      <c r="N237" s="423" t="s">
        <v>302</v>
      </c>
    </row>
    <row r="238" spans="1:14">
      <c r="A238" s="381" t="s">
        <v>151</v>
      </c>
      <c r="B238" s="370"/>
      <c r="C238" s="399"/>
      <c r="D238" s="400">
        <v>1</v>
      </c>
      <c r="E238" s="1076" t="s">
        <v>248</v>
      </c>
      <c r="F238" s="1076"/>
      <c r="G238" s="442"/>
      <c r="H238" s="370"/>
      <c r="I238" s="370" t="s">
        <v>109</v>
      </c>
      <c r="J238" s="370"/>
      <c r="K238" s="370"/>
      <c r="L238" s="370"/>
      <c r="M238" s="400">
        <v>1</v>
      </c>
      <c r="N238" s="423" t="s">
        <v>295</v>
      </c>
    </row>
    <row r="239" spans="1:14">
      <c r="A239" s="381" t="s">
        <v>152</v>
      </c>
      <c r="B239" s="370"/>
      <c r="C239" s="399"/>
      <c r="D239" s="400">
        <v>10</v>
      </c>
      <c r="E239" s="1076" t="s">
        <v>238</v>
      </c>
      <c r="F239" s="1076"/>
      <c r="G239" s="442"/>
      <c r="H239" s="370"/>
      <c r="I239" s="370" t="s">
        <v>111</v>
      </c>
      <c r="J239" s="370"/>
      <c r="K239" s="370"/>
      <c r="L239" s="370"/>
      <c r="M239" s="400"/>
      <c r="N239" s="423"/>
    </row>
    <row r="240" spans="1:14">
      <c r="A240" s="381" t="s">
        <v>153</v>
      </c>
      <c r="B240" s="370"/>
      <c r="C240" s="399"/>
      <c r="D240" s="400">
        <v>1</v>
      </c>
      <c r="E240" s="1076" t="s">
        <v>301</v>
      </c>
      <c r="F240" s="1076"/>
      <c r="G240" s="442"/>
      <c r="H240" s="370"/>
      <c r="I240" s="370" t="s">
        <v>113</v>
      </c>
      <c r="J240" s="370"/>
      <c r="K240" s="370"/>
      <c r="L240" s="370"/>
      <c r="M240" s="400"/>
      <c r="N240" s="423"/>
    </row>
    <row r="241" spans="1:14" ht="17.25">
      <c r="A241" s="381"/>
      <c r="B241" s="370"/>
      <c r="C241" s="399"/>
      <c r="D241" s="203"/>
      <c r="E241" s="204"/>
      <c r="F241" s="400"/>
      <c r="G241" s="397"/>
      <c r="H241" s="370"/>
      <c r="I241" s="370" t="s">
        <v>115</v>
      </c>
      <c r="J241" s="376" t="s">
        <v>251</v>
      </c>
      <c r="K241" s="376"/>
      <c r="L241" s="370"/>
      <c r="M241" s="401">
        <v>0.33333333333333331</v>
      </c>
      <c r="N241" s="423" t="s">
        <v>248</v>
      </c>
    </row>
    <row r="242" spans="1:14">
      <c r="A242" s="381"/>
      <c r="B242" s="370"/>
      <c r="C242" s="399"/>
      <c r="D242" s="399"/>
      <c r="E242" s="399"/>
      <c r="F242" s="399"/>
      <c r="G242" s="370"/>
      <c r="H242" s="370"/>
      <c r="I242" s="505" t="s">
        <v>116</v>
      </c>
      <c r="J242" s="505"/>
      <c r="K242" s="505"/>
      <c r="L242" s="505"/>
      <c r="M242" s="514">
        <v>5</v>
      </c>
      <c r="N242" s="515" t="s">
        <v>238</v>
      </c>
    </row>
    <row r="243" spans="1:14">
      <c r="A243" s="403" t="s">
        <v>92</v>
      </c>
      <c r="B243" s="370"/>
      <c r="C243" s="370"/>
      <c r="D243" s="370"/>
      <c r="E243" s="370"/>
      <c r="F243" s="370"/>
      <c r="G243" s="370"/>
      <c r="H243" s="394"/>
      <c r="I243" s="370" t="s">
        <v>118</v>
      </c>
      <c r="J243" s="370"/>
      <c r="K243" s="370"/>
      <c r="L243" s="370"/>
      <c r="M243" s="401">
        <v>0.75</v>
      </c>
      <c r="N243" s="423" t="s">
        <v>248</v>
      </c>
    </row>
    <row r="244" spans="1:14">
      <c r="A244" s="381" t="s">
        <v>130</v>
      </c>
      <c r="B244" s="370"/>
      <c r="C244" s="370"/>
      <c r="D244" s="370"/>
      <c r="E244" s="418">
        <v>0.5</v>
      </c>
      <c r="F244" s="442" t="s">
        <v>248</v>
      </c>
      <c r="G244" s="397"/>
      <c r="H244" s="370"/>
      <c r="I244" s="370" t="s">
        <v>120</v>
      </c>
      <c r="J244" s="370"/>
      <c r="K244" s="370"/>
      <c r="L244" s="370"/>
      <c r="M244" s="400">
        <v>5</v>
      </c>
      <c r="N244" s="423" t="s">
        <v>303</v>
      </c>
    </row>
    <row r="245" spans="1:14">
      <c r="A245" s="381" t="s">
        <v>132</v>
      </c>
      <c r="B245" s="370"/>
      <c r="C245" s="370"/>
      <c r="D245" s="370"/>
      <c r="E245" s="418">
        <v>0.5</v>
      </c>
      <c r="F245" s="442" t="s">
        <v>248</v>
      </c>
      <c r="G245" s="397"/>
      <c r="H245" s="370"/>
      <c r="I245" s="370" t="s">
        <v>122</v>
      </c>
      <c r="J245" s="370"/>
      <c r="K245" s="370"/>
      <c r="L245" s="370"/>
      <c r="M245" s="400">
        <v>1</v>
      </c>
      <c r="N245" s="423" t="s">
        <v>302</v>
      </c>
    </row>
    <row r="246" spans="1:14">
      <c r="A246" s="381" t="s">
        <v>134</v>
      </c>
      <c r="B246" s="370"/>
      <c r="C246" s="370"/>
      <c r="D246" s="370"/>
      <c r="E246" s="418">
        <v>0.5</v>
      </c>
      <c r="F246" s="442" t="s">
        <v>248</v>
      </c>
      <c r="G246" s="397"/>
      <c r="H246" s="370"/>
      <c r="I246" s="370" t="s">
        <v>124</v>
      </c>
      <c r="J246" s="370"/>
      <c r="K246" s="370"/>
      <c r="L246" s="370"/>
      <c r="M246" s="400">
        <v>6</v>
      </c>
      <c r="N246" s="423" t="s">
        <v>238</v>
      </c>
    </row>
    <row r="247" spans="1:14">
      <c r="A247" s="381" t="s">
        <v>136</v>
      </c>
      <c r="B247" s="370"/>
      <c r="C247" s="370"/>
      <c r="D247" s="370"/>
      <c r="E247" s="418">
        <v>0.5</v>
      </c>
      <c r="F247" s="442" t="s">
        <v>248</v>
      </c>
      <c r="G247" s="397"/>
      <c r="H247" s="370"/>
      <c r="I247" s="370" t="s">
        <v>126</v>
      </c>
      <c r="J247" s="1079" t="s">
        <v>252</v>
      </c>
      <c r="K247" s="1079"/>
      <c r="L247" s="370"/>
      <c r="M247" s="401">
        <v>0.5</v>
      </c>
      <c r="N247" s="423" t="s">
        <v>238</v>
      </c>
    </row>
    <row r="248" spans="1:14">
      <c r="A248" s="381" t="s">
        <v>138</v>
      </c>
      <c r="B248" s="370"/>
      <c r="C248" s="370"/>
      <c r="D248" s="370"/>
      <c r="E248" s="418">
        <v>0.5</v>
      </c>
      <c r="F248" s="442" t="s">
        <v>248</v>
      </c>
      <c r="G248" s="397"/>
      <c r="H248" s="370"/>
      <c r="I248" s="370" t="s">
        <v>128</v>
      </c>
      <c r="J248" s="1079" t="s">
        <v>253</v>
      </c>
      <c r="K248" s="1079"/>
      <c r="L248" s="370"/>
      <c r="M248" s="400">
        <v>90</v>
      </c>
      <c r="N248" s="423" t="s">
        <v>235</v>
      </c>
    </row>
    <row r="249" spans="1:14">
      <c r="A249" s="381" t="s">
        <v>140</v>
      </c>
      <c r="B249" s="370"/>
      <c r="C249" s="370"/>
      <c r="D249" s="417">
        <v>0</v>
      </c>
      <c r="E249" s="400">
        <v>30</v>
      </c>
      <c r="F249" s="442" t="s">
        <v>235</v>
      </c>
      <c r="G249" s="397"/>
      <c r="H249" s="370"/>
      <c r="I249" s="370"/>
      <c r="J249" s="370"/>
      <c r="K249" s="370"/>
      <c r="L249" s="370"/>
      <c r="M249" s="441"/>
      <c r="N249" s="377"/>
    </row>
    <row r="250" spans="1:14">
      <c r="A250" s="381" t="s">
        <v>249</v>
      </c>
      <c r="B250" s="370"/>
      <c r="C250" s="370"/>
      <c r="D250" s="370"/>
      <c r="E250" s="419">
        <v>1.5</v>
      </c>
      <c r="F250" s="442" t="s">
        <v>248</v>
      </c>
      <c r="G250" s="397"/>
      <c r="H250" s="370"/>
      <c r="I250" s="370"/>
      <c r="J250" s="370"/>
      <c r="K250" s="370"/>
      <c r="L250" s="370"/>
      <c r="M250" s="397"/>
      <c r="N250" s="424"/>
    </row>
    <row r="251" spans="1:14">
      <c r="A251" s="381" t="s">
        <v>250</v>
      </c>
      <c r="B251" s="370"/>
      <c r="C251" s="370"/>
      <c r="D251" s="370"/>
      <c r="E251" s="419">
        <v>0.5</v>
      </c>
      <c r="F251" s="442" t="s">
        <v>248</v>
      </c>
      <c r="G251" s="397"/>
      <c r="H251" s="370"/>
      <c r="I251" s="370"/>
      <c r="J251" s="370"/>
      <c r="K251" s="370"/>
      <c r="L251" s="370"/>
      <c r="M251" s="370"/>
      <c r="N251" s="371"/>
    </row>
    <row r="252" spans="1:14">
      <c r="A252" s="403" t="s">
        <v>154</v>
      </c>
      <c r="B252" s="370"/>
      <c r="C252" s="370"/>
      <c r="D252" s="370"/>
      <c r="E252" s="370"/>
      <c r="F252" s="370"/>
      <c r="G252" s="370"/>
      <c r="H252" s="370"/>
      <c r="I252" s="370"/>
      <c r="J252" s="370"/>
      <c r="K252" s="370"/>
      <c r="L252" s="370"/>
      <c r="M252" s="370"/>
      <c r="N252" s="371"/>
    </row>
    <row r="253" spans="1:14">
      <c r="A253" s="421" t="s">
        <v>155</v>
      </c>
      <c r="B253" s="370"/>
      <c r="C253" s="370"/>
      <c r="D253" s="370"/>
      <c r="E253" s="370"/>
      <c r="F253" s="370"/>
      <c r="G253" s="370"/>
      <c r="H253" s="370"/>
      <c r="I253" s="370"/>
      <c r="J253" s="370"/>
      <c r="K253" s="370"/>
      <c r="L253" s="370"/>
      <c r="M253" s="370"/>
      <c r="N253" s="371"/>
    </row>
    <row r="254" spans="1:14">
      <c r="A254" s="381" t="s">
        <v>156</v>
      </c>
      <c r="B254" s="370"/>
      <c r="C254" s="370"/>
      <c r="D254" s="370"/>
      <c r="E254" s="370"/>
      <c r="F254" s="370"/>
      <c r="G254" s="370"/>
      <c r="H254" s="370"/>
      <c r="I254" s="370"/>
      <c r="J254" s="370"/>
      <c r="K254" s="370"/>
      <c r="L254" s="370"/>
      <c r="M254" s="370"/>
      <c r="N254" s="371"/>
    </row>
    <row r="255" spans="1:14">
      <c r="A255" s="381" t="s">
        <v>157</v>
      </c>
      <c r="B255" s="370"/>
      <c r="C255" s="370"/>
      <c r="D255" s="397">
        <v>40</v>
      </c>
      <c r="E255" s="397" t="s">
        <v>235</v>
      </c>
      <c r="F255" s="397"/>
      <c r="G255" s="370"/>
      <c r="H255" s="370"/>
      <c r="I255" s="370"/>
      <c r="J255" s="370"/>
      <c r="K255" s="370"/>
      <c r="L255" s="370"/>
      <c r="M255" s="370"/>
      <c r="N255" s="371"/>
    </row>
    <row r="256" spans="1:14">
      <c r="A256" s="507" t="s">
        <v>158</v>
      </c>
      <c r="B256" s="511"/>
      <c r="C256" s="511"/>
      <c r="D256" s="506">
        <v>10</v>
      </c>
      <c r="E256" s="506" t="s">
        <v>238</v>
      </c>
      <c r="F256" s="512"/>
      <c r="G256" s="370"/>
      <c r="H256" s="370"/>
      <c r="I256" s="370"/>
      <c r="J256" s="370"/>
      <c r="K256" s="370"/>
      <c r="L256" s="370"/>
      <c r="M256" s="370"/>
      <c r="N256" s="371"/>
    </row>
    <row r="257" spans="1:24">
      <c r="A257" s="507" t="s">
        <v>159</v>
      </c>
      <c r="B257" s="505"/>
      <c r="C257" s="505"/>
      <c r="D257" s="506">
        <v>6</v>
      </c>
      <c r="E257" s="506" t="s">
        <v>238</v>
      </c>
      <c r="F257" s="506"/>
      <c r="G257" s="370"/>
      <c r="H257" s="370"/>
      <c r="I257" s="370"/>
      <c r="J257" s="370"/>
      <c r="K257" s="370"/>
      <c r="L257" s="370"/>
      <c r="M257" s="370"/>
      <c r="N257" s="371"/>
    </row>
    <row r="258" spans="1:24">
      <c r="A258" s="381" t="s">
        <v>160</v>
      </c>
      <c r="B258" s="370"/>
      <c r="C258" s="370"/>
      <c r="D258" s="397">
        <v>3</v>
      </c>
      <c r="E258" s="397" t="s">
        <v>238</v>
      </c>
      <c r="F258" s="397"/>
      <c r="G258" s="370"/>
      <c r="H258" s="370"/>
      <c r="I258" s="370"/>
      <c r="J258" s="370"/>
      <c r="K258" s="370"/>
      <c r="L258" s="370"/>
      <c r="M258" s="370"/>
      <c r="N258" s="371"/>
    </row>
    <row r="259" spans="1:24">
      <c r="A259" s="381" t="s">
        <v>161</v>
      </c>
      <c r="B259" s="370"/>
      <c r="C259" s="370"/>
      <c r="D259" s="1081" t="s">
        <v>239</v>
      </c>
      <c r="E259" s="1081"/>
      <c r="F259" s="1081"/>
      <c r="G259" s="370"/>
      <c r="H259" s="370"/>
      <c r="I259" s="370"/>
      <c r="J259" s="370"/>
      <c r="K259" s="370"/>
      <c r="L259" s="370"/>
      <c r="M259" s="370"/>
      <c r="N259" s="371"/>
    </row>
    <row r="260" spans="1:24">
      <c r="A260" s="507" t="s">
        <v>162</v>
      </c>
      <c r="B260" s="505"/>
      <c r="C260" s="505"/>
      <c r="D260" s="506">
        <v>6</v>
      </c>
      <c r="E260" s="506" t="s">
        <v>238</v>
      </c>
      <c r="F260" s="506"/>
      <c r="G260" s="370"/>
      <c r="H260" s="370"/>
      <c r="I260" s="370"/>
      <c r="J260" s="370"/>
      <c r="K260" s="370"/>
      <c r="L260" s="370"/>
      <c r="M260" s="370"/>
      <c r="N260" s="371"/>
    </row>
    <row r="261" spans="1:24">
      <c r="A261" s="381" t="s">
        <v>240</v>
      </c>
      <c r="B261" s="370"/>
      <c r="C261" s="370"/>
      <c r="D261" s="397">
        <v>10</v>
      </c>
      <c r="E261" s="397" t="s">
        <v>238</v>
      </c>
      <c r="F261" s="397"/>
      <c r="G261" s="370"/>
      <c r="H261" s="370"/>
      <c r="I261" s="370"/>
      <c r="J261" s="370"/>
      <c r="K261" s="370"/>
      <c r="L261" s="370"/>
      <c r="M261" s="370"/>
      <c r="N261" s="371"/>
    </row>
    <row r="262" spans="1:24">
      <c r="A262" s="403" t="s">
        <v>163</v>
      </c>
      <c r="B262" s="370"/>
      <c r="C262" s="370"/>
      <c r="D262" s="370"/>
      <c r="E262" s="370"/>
      <c r="F262" s="370"/>
      <c r="G262" s="370"/>
      <c r="H262" s="370"/>
      <c r="I262" s="370"/>
      <c r="J262" s="370"/>
      <c r="K262" s="370"/>
      <c r="L262" s="370"/>
      <c r="M262" s="370"/>
      <c r="N262" s="371"/>
    </row>
    <row r="263" spans="1:24">
      <c r="A263" s="381" t="s">
        <v>164</v>
      </c>
      <c r="B263" s="370"/>
      <c r="C263" s="370"/>
      <c r="D263" s="370"/>
      <c r="E263" s="370"/>
      <c r="F263" s="370"/>
      <c r="G263" s="370"/>
      <c r="H263" s="370"/>
      <c r="I263" s="370"/>
      <c r="J263" s="370"/>
      <c r="K263" s="370"/>
      <c r="L263" s="370"/>
      <c r="M263" s="370"/>
      <c r="N263" s="371"/>
    </row>
    <row r="264" spans="1:24">
      <c r="A264" s="381" t="s">
        <v>165</v>
      </c>
      <c r="B264" s="370"/>
      <c r="C264" s="370"/>
      <c r="D264" s="370"/>
      <c r="E264" s="370"/>
      <c r="F264" s="370"/>
      <c r="G264" s="370"/>
      <c r="H264" s="370"/>
      <c r="I264" s="370"/>
      <c r="J264" s="370"/>
      <c r="K264" s="370"/>
      <c r="L264" s="370"/>
      <c r="M264" s="370"/>
      <c r="N264" s="371"/>
    </row>
    <row r="265" spans="1:24">
      <c r="A265" s="381" t="s">
        <v>166</v>
      </c>
      <c r="B265" s="370"/>
      <c r="C265" s="370"/>
      <c r="D265" s="370"/>
      <c r="E265" s="370"/>
      <c r="F265" s="370"/>
      <c r="G265" s="370"/>
      <c r="H265" s="370"/>
      <c r="I265" s="370"/>
      <c r="J265" s="370"/>
      <c r="K265" s="370"/>
      <c r="L265" s="370"/>
      <c r="M265" s="370"/>
      <c r="N265" s="371"/>
    </row>
    <row r="266" spans="1:24">
      <c r="A266" s="381" t="s">
        <v>167</v>
      </c>
      <c r="B266" s="370"/>
      <c r="C266" s="370"/>
      <c r="D266" s="370"/>
      <c r="E266" s="370"/>
      <c r="F266" s="370"/>
      <c r="G266" s="370"/>
      <c r="H266" s="370"/>
      <c r="I266" s="370"/>
      <c r="J266" s="370"/>
      <c r="K266" s="370"/>
      <c r="L266" s="370"/>
      <c r="M266" s="370"/>
      <c r="N266" s="371"/>
    </row>
    <row r="267" spans="1:24">
      <c r="A267" s="381" t="s">
        <v>168</v>
      </c>
      <c r="B267" s="370"/>
      <c r="C267" s="370"/>
      <c r="D267" s="370"/>
      <c r="E267" s="370"/>
      <c r="F267" s="370"/>
      <c r="G267" s="370"/>
      <c r="H267" s="370"/>
      <c r="I267" s="370"/>
      <c r="J267" s="370"/>
      <c r="K267" s="370"/>
      <c r="L267" s="370"/>
      <c r="M267" s="370"/>
      <c r="N267" s="371"/>
    </row>
    <row r="268" spans="1:24">
      <c r="A268" s="510" t="s">
        <v>294</v>
      </c>
      <c r="B268" s="511"/>
      <c r="C268" s="511"/>
      <c r="D268" s="511"/>
      <c r="E268" s="511"/>
      <c r="F268" s="511"/>
      <c r="G268" s="511"/>
      <c r="H268" s="511"/>
      <c r="I268" s="511"/>
      <c r="J268" s="511"/>
      <c r="K268" s="511"/>
      <c r="L268" s="511"/>
      <c r="M268" s="511"/>
      <c r="N268" s="517"/>
    </row>
    <row r="269" spans="1:24">
      <c r="A269" s="1093" t="s">
        <v>293</v>
      </c>
      <c r="B269" s="1094"/>
      <c r="C269" s="1094"/>
      <c r="D269" s="1094"/>
      <c r="E269" s="1094"/>
      <c r="F269" s="1094"/>
      <c r="G269" s="1094"/>
      <c r="H269" s="1094"/>
      <c r="I269" s="1094"/>
      <c r="J269" s="1094"/>
      <c r="K269" s="1094"/>
      <c r="L269" s="1094"/>
      <c r="M269" s="1094"/>
      <c r="N269" s="1095"/>
    </row>
    <row r="270" spans="1:24">
      <c r="A270" s="526" t="s">
        <v>553</v>
      </c>
      <c r="B270" s="511"/>
      <c r="C270" s="511"/>
      <c r="D270" s="511"/>
      <c r="E270" s="511"/>
      <c r="F270" s="511"/>
      <c r="G270" s="511"/>
      <c r="H270" s="511"/>
      <c r="I270" s="511"/>
      <c r="J270" s="511"/>
      <c r="K270" s="511"/>
      <c r="L270" s="511"/>
      <c r="M270" s="511"/>
      <c r="N270" s="517"/>
      <c r="P270" s="80"/>
      <c r="Q270" s="80"/>
      <c r="R270" s="80"/>
      <c r="S270" s="80"/>
      <c r="T270" s="80"/>
      <c r="U270" s="80"/>
      <c r="V270" s="80"/>
      <c r="W270" s="80"/>
      <c r="X270" s="80"/>
    </row>
    <row r="271" spans="1:24">
      <c r="A271" s="381" t="s">
        <v>170</v>
      </c>
      <c r="B271" s="370"/>
      <c r="C271" s="370"/>
      <c r="D271" s="370"/>
      <c r="E271" s="370"/>
      <c r="F271" s="370"/>
      <c r="G271" s="370"/>
      <c r="H271" s="370"/>
      <c r="I271" s="370"/>
      <c r="J271" s="370"/>
      <c r="K271" s="370"/>
      <c r="L271" s="370"/>
      <c r="M271" s="370"/>
      <c r="N271" s="371"/>
      <c r="P271" s="80"/>
      <c r="Q271" s="80"/>
      <c r="R271" s="80"/>
      <c r="S271" s="80"/>
      <c r="T271" s="80"/>
      <c r="U271" s="80"/>
      <c r="V271" s="80"/>
      <c r="W271" s="80"/>
      <c r="X271" s="80"/>
    </row>
    <row r="272" spans="1:24">
      <c r="A272" s="381"/>
      <c r="B272" s="1096" t="s">
        <v>548</v>
      </c>
      <c r="C272" s="1096"/>
      <c r="D272" s="1097" t="str">
        <f>C42</f>
        <v>NTTA DTTA VICTOR HUGO HERNANDEZ MARTINEZ MAT. 8904707</v>
      </c>
      <c r="E272" s="1098"/>
      <c r="F272" s="1098"/>
      <c r="G272" s="1098"/>
      <c r="H272" s="1098"/>
      <c r="I272" s="1098"/>
      <c r="J272" s="1098"/>
      <c r="K272" s="1098"/>
      <c r="L272" s="1098"/>
      <c r="M272" s="1099"/>
      <c r="N272" s="371"/>
      <c r="P272" s="80"/>
      <c r="Q272" s="80"/>
      <c r="R272" s="80"/>
      <c r="S272" s="80"/>
      <c r="T272" s="80"/>
      <c r="U272" s="80"/>
      <c r="V272" s="80"/>
      <c r="W272" s="80"/>
      <c r="X272" s="80"/>
    </row>
    <row r="273" spans="1:24">
      <c r="A273" s="381"/>
      <c r="B273" s="527"/>
      <c r="C273" s="527"/>
      <c r="D273" s="643"/>
      <c r="E273" s="643"/>
      <c r="F273" s="643"/>
      <c r="G273" s="643"/>
      <c r="H273" s="643"/>
      <c r="I273" s="643"/>
      <c r="J273" s="643"/>
      <c r="K273" s="643"/>
      <c r="L273" s="643"/>
      <c r="M273" s="643"/>
      <c r="N273" s="371"/>
      <c r="P273" s="80"/>
      <c r="Q273" s="80"/>
      <c r="R273" s="80"/>
      <c r="S273" s="80"/>
      <c r="T273" s="80"/>
      <c r="U273" s="80"/>
      <c r="V273" s="80"/>
      <c r="W273" s="80"/>
      <c r="X273" s="80"/>
    </row>
    <row r="274" spans="1:24">
      <c r="A274" s="410"/>
      <c r="B274" s="527"/>
      <c r="C274" s="527"/>
      <c r="D274" s="539"/>
      <c r="E274" s="539"/>
      <c r="F274" s="539"/>
      <c r="G274" s="539"/>
      <c r="H274" s="539"/>
      <c r="I274" s="539"/>
      <c r="J274" s="539"/>
      <c r="K274" s="539"/>
      <c r="L274" s="539"/>
      <c r="M274" s="539"/>
      <c r="N274" s="414"/>
      <c r="O274" s="80"/>
      <c r="P274" s="215"/>
      <c r="Q274" s="215"/>
      <c r="R274" s="215" t="s">
        <v>329</v>
      </c>
      <c r="S274" s="215"/>
      <c r="T274" s="215">
        <v>1</v>
      </c>
      <c r="U274" s="215">
        <v>1</v>
      </c>
      <c r="V274" s="80"/>
      <c r="W274" s="80"/>
      <c r="X274" s="80"/>
    </row>
    <row r="275" spans="1:24">
      <c r="A275" s="370"/>
      <c r="B275" s="538"/>
      <c r="C275" s="538"/>
      <c r="D275" s="537"/>
      <c r="E275" s="537"/>
      <c r="F275" s="537"/>
      <c r="G275" s="537"/>
      <c r="H275" s="537"/>
      <c r="I275" s="537"/>
      <c r="J275" s="537"/>
      <c r="K275" s="537"/>
      <c r="L275" s="537"/>
      <c r="M275" s="537"/>
      <c r="N275" s="370"/>
      <c r="O275" s="80"/>
      <c r="P275" s="215"/>
      <c r="Q275" s="215"/>
      <c r="R275" s="215"/>
      <c r="S275" s="215"/>
      <c r="T275" s="215"/>
      <c r="U275" s="215"/>
      <c r="V275" s="80"/>
      <c r="W275" s="80"/>
      <c r="X275" s="80"/>
    </row>
    <row r="276" spans="1:24">
      <c r="A276" s="357" t="s">
        <v>539</v>
      </c>
      <c r="B276" s="1086" t="s">
        <v>71</v>
      </c>
      <c r="C276" s="1086"/>
      <c r="D276" s="1086"/>
      <c r="E276" s="1086"/>
      <c r="F276" s="1086"/>
      <c r="G276" s="1086"/>
      <c r="H276" s="1086"/>
      <c r="I276" s="357"/>
      <c r="J276" s="357"/>
      <c r="K276" s="357"/>
      <c r="L276" s="357"/>
      <c r="M276" s="357"/>
      <c r="N276" s="357"/>
      <c r="O276" s="80"/>
      <c r="P276" s="215" t="s">
        <v>397</v>
      </c>
      <c r="Q276" s="215"/>
      <c r="R276" s="215" t="s">
        <v>330</v>
      </c>
      <c r="S276" s="215"/>
      <c r="T276" s="215">
        <v>2</v>
      </c>
      <c r="U276" s="215">
        <v>2</v>
      </c>
      <c r="V276" s="80"/>
      <c r="W276" s="80"/>
      <c r="X276" s="80"/>
    </row>
    <row r="277" spans="1:24">
      <c r="A277" s="357" t="s">
        <v>540</v>
      </c>
      <c r="B277" s="1086" t="s">
        <v>547</v>
      </c>
      <c r="C277" s="1086"/>
      <c r="D277" s="1086"/>
      <c r="E277" s="1086"/>
      <c r="F277" s="1086"/>
      <c r="G277" s="1086"/>
      <c r="H277" s="1086"/>
      <c r="I277" s="357"/>
      <c r="J277" s="357"/>
      <c r="K277" s="357"/>
      <c r="L277" s="357"/>
      <c r="M277" s="357"/>
      <c r="N277" s="357"/>
      <c r="O277" s="80"/>
      <c r="P277" s="215" t="s">
        <v>324</v>
      </c>
      <c r="Q277" s="215"/>
      <c r="R277" s="215" t="s">
        <v>331</v>
      </c>
      <c r="S277" s="215"/>
      <c r="T277" s="215">
        <v>3</v>
      </c>
      <c r="U277" s="215">
        <v>3</v>
      </c>
      <c r="V277" s="80"/>
      <c r="W277" s="80"/>
      <c r="X277" s="80"/>
    </row>
    <row r="278" spans="1:24">
      <c r="A278" s="500"/>
      <c r="B278" s="1087" t="s">
        <v>1</v>
      </c>
      <c r="C278" s="1087"/>
      <c r="D278" s="1087"/>
      <c r="E278" s="1087"/>
      <c r="F278" s="1087"/>
      <c r="G278" s="1087"/>
      <c r="H278" s="1087"/>
      <c r="I278" s="1087"/>
      <c r="J278" s="1087"/>
      <c r="K278" s="500"/>
      <c r="L278" s="500"/>
      <c r="M278" s="500"/>
      <c r="N278" s="500"/>
      <c r="O278" s="80"/>
      <c r="P278" s="215" t="s">
        <v>325</v>
      </c>
      <c r="Q278" s="215"/>
      <c r="R278" s="215" t="s">
        <v>332</v>
      </c>
      <c r="S278" s="215"/>
      <c r="T278" s="215">
        <v>4</v>
      </c>
      <c r="U278" s="215">
        <v>4</v>
      </c>
      <c r="V278" s="80"/>
      <c r="W278" s="80"/>
      <c r="X278" s="80"/>
    </row>
    <row r="279" spans="1:24" ht="15.75">
      <c r="A279" s="402" t="s">
        <v>2</v>
      </c>
      <c r="B279" s="1088">
        <f>B4</f>
        <v>0</v>
      </c>
      <c r="C279" s="1088"/>
      <c r="D279" s="1088"/>
      <c r="E279" s="1088"/>
      <c r="F279" s="1088"/>
      <c r="G279" s="1088"/>
      <c r="H279" s="386" t="s">
        <v>396</v>
      </c>
      <c r="I279" s="1089">
        <f ca="1">B5</f>
        <v>43208</v>
      </c>
      <c r="J279" s="1090"/>
      <c r="K279" s="387"/>
      <c r="L279" s="388" t="s">
        <v>291</v>
      </c>
      <c r="M279" s="1091" t="str">
        <f>M4</f>
        <v>3706 83 0015 1M1983 ORD</v>
      </c>
      <c r="N279" s="1092"/>
      <c r="O279" s="80"/>
      <c r="P279" s="215" t="s">
        <v>326</v>
      </c>
      <c r="Q279" s="215"/>
      <c r="R279" s="215" t="s">
        <v>333</v>
      </c>
      <c r="S279" s="215"/>
      <c r="T279" s="215">
        <v>5</v>
      </c>
      <c r="U279" s="215">
        <v>5</v>
      </c>
      <c r="V279" s="80"/>
      <c r="W279" s="80"/>
      <c r="X279" s="80"/>
    </row>
    <row r="280" spans="1:24">
      <c r="A280" s="1080" t="s">
        <v>322</v>
      </c>
      <c r="B280" s="1081"/>
      <c r="C280" s="1081"/>
      <c r="D280" s="1081"/>
      <c r="E280" s="1081"/>
      <c r="F280" s="1081"/>
      <c r="G280" s="370"/>
      <c r="H280" s="370"/>
      <c r="I280" s="370"/>
      <c r="J280" s="370"/>
      <c r="K280" s="370"/>
      <c r="L280" s="370"/>
      <c r="M280" s="370"/>
      <c r="N280" s="371"/>
      <c r="O280" s="80"/>
      <c r="P280" s="215" t="s">
        <v>327</v>
      </c>
      <c r="Q280" s="215"/>
      <c r="R280" s="215" t="s">
        <v>334</v>
      </c>
      <c r="S280" s="215"/>
      <c r="T280" s="215">
        <v>6</v>
      </c>
      <c r="U280" s="215">
        <v>6</v>
      </c>
      <c r="V280" s="80"/>
      <c r="W280" s="80"/>
      <c r="X280" s="80"/>
    </row>
    <row r="281" spans="1:24">
      <c r="A281" s="381" t="s">
        <v>4</v>
      </c>
      <c r="B281" s="370">
        <f>D9</f>
        <v>37</v>
      </c>
      <c r="C281" s="370" t="s">
        <v>72</v>
      </c>
      <c r="D281" s="1082" t="s">
        <v>323</v>
      </c>
      <c r="E281" s="1082"/>
      <c r="F281" s="1083" t="str">
        <f>F28</f>
        <v>SECUNDARIA</v>
      </c>
      <c r="G281" s="1083"/>
      <c r="H281" s="370"/>
      <c r="I281" s="1082" t="s">
        <v>328</v>
      </c>
      <c r="J281" s="1082"/>
      <c r="K281" s="1079" t="str">
        <f>K28</f>
        <v>COMERCIANTE</v>
      </c>
      <c r="L281" s="1079"/>
      <c r="M281" s="1079"/>
      <c r="N281" s="371"/>
      <c r="O281" s="80"/>
      <c r="P281" s="215"/>
      <c r="Q281" s="215"/>
      <c r="R281" s="215"/>
      <c r="S281" s="215"/>
      <c r="T281" s="215">
        <v>7</v>
      </c>
      <c r="U281" s="215">
        <v>7</v>
      </c>
      <c r="V281" s="80"/>
      <c r="W281" s="80"/>
      <c r="X281" s="80"/>
    </row>
    <row r="282" spans="1:24">
      <c r="A282" s="381" t="s">
        <v>335</v>
      </c>
      <c r="B282" s="370"/>
      <c r="C282" s="370" t="s">
        <v>336</v>
      </c>
      <c r="D282" s="373">
        <f>D29</f>
        <v>4</v>
      </c>
      <c r="E282" s="1079" t="s">
        <v>337</v>
      </c>
      <c r="F282" s="1079"/>
      <c r="G282" s="441">
        <f>G29</f>
        <v>3</v>
      </c>
      <c r="H282" s="370"/>
      <c r="I282" s="370"/>
      <c r="J282" s="370"/>
      <c r="K282" s="370"/>
      <c r="L282" s="370"/>
      <c r="M282" s="370"/>
      <c r="N282" s="371"/>
      <c r="O282" s="80"/>
      <c r="P282" s="215" t="s">
        <v>340</v>
      </c>
      <c r="Q282" s="215"/>
      <c r="R282" s="217" t="s">
        <v>362</v>
      </c>
      <c r="S282" s="218"/>
      <c r="T282" s="215"/>
      <c r="U282" s="215">
        <v>8</v>
      </c>
      <c r="V282" s="80"/>
      <c r="W282" s="80"/>
      <c r="X282" s="80"/>
    </row>
    <row r="283" spans="1:24">
      <c r="A283" s="381"/>
      <c r="B283" s="370"/>
      <c r="C283" s="370"/>
      <c r="D283" s="370"/>
      <c r="E283" s="370"/>
      <c r="F283" s="370"/>
      <c r="G283" s="370"/>
      <c r="H283" s="370"/>
      <c r="I283" s="370"/>
      <c r="J283" s="370"/>
      <c r="K283" s="370"/>
      <c r="L283" s="370"/>
      <c r="M283" s="370"/>
      <c r="N283" s="371"/>
      <c r="O283" s="80"/>
      <c r="P283" s="215" t="s">
        <v>341</v>
      </c>
      <c r="Q283" s="215"/>
      <c r="R283" s="219" t="s">
        <v>361</v>
      </c>
      <c r="S283" s="220"/>
      <c r="T283" s="215"/>
      <c r="U283" s="215"/>
      <c r="V283" s="80"/>
      <c r="W283" s="80"/>
      <c r="X283" s="80"/>
    </row>
    <row r="284" spans="1:24">
      <c r="A284" s="381"/>
      <c r="B284" s="370"/>
      <c r="C284" s="370"/>
      <c r="D284" s="370"/>
      <c r="E284" s="370"/>
      <c r="F284" s="370"/>
      <c r="G284" s="370"/>
      <c r="H284" s="370"/>
      <c r="I284" s="370"/>
      <c r="J284" s="370"/>
      <c r="K284" s="370"/>
      <c r="L284" s="370"/>
      <c r="M284" s="370"/>
      <c r="N284" s="371"/>
      <c r="O284" s="80"/>
      <c r="P284" s="80"/>
      <c r="Q284" s="80"/>
      <c r="R284" s="80"/>
      <c r="S284" s="80"/>
      <c r="T284" s="80"/>
      <c r="U284" s="80"/>
      <c r="V284" s="80"/>
      <c r="W284" s="80"/>
      <c r="X284" s="80"/>
    </row>
    <row r="285" spans="1:24">
      <c r="A285" s="381" t="s">
        <v>338</v>
      </c>
      <c r="B285" s="370"/>
      <c r="C285" s="370"/>
      <c r="D285" s="370"/>
      <c r="E285" s="370"/>
      <c r="F285" s="374"/>
      <c r="G285" s="370"/>
      <c r="H285" s="370"/>
      <c r="I285" s="370"/>
      <c r="J285" s="370"/>
      <c r="K285" s="370"/>
      <c r="L285" s="370"/>
      <c r="M285" s="370"/>
      <c r="N285" s="371"/>
      <c r="O285" s="80"/>
      <c r="P285" s="80"/>
      <c r="Q285" s="80"/>
      <c r="R285" s="80"/>
      <c r="S285" s="80"/>
      <c r="T285" s="80"/>
      <c r="U285" s="80"/>
      <c r="V285" s="80"/>
      <c r="W285" s="80"/>
      <c r="X285" s="80"/>
    </row>
    <row r="286" spans="1:24">
      <c r="A286" s="1084" t="s">
        <v>339</v>
      </c>
      <c r="B286" s="1085"/>
      <c r="C286" s="370" t="s">
        <v>340</v>
      </c>
      <c r="D286" s="370"/>
      <c r="E286" s="370"/>
      <c r="F286" s="370"/>
      <c r="G286" s="370"/>
      <c r="H286" s="370"/>
      <c r="I286" s="370"/>
      <c r="J286" s="370"/>
      <c r="K286" s="370"/>
      <c r="L286" s="370"/>
      <c r="M286" s="370"/>
      <c r="N286" s="371"/>
      <c r="O286" s="80"/>
      <c r="P286" s="80"/>
      <c r="Q286" s="80"/>
      <c r="R286" s="80"/>
      <c r="S286" s="80"/>
      <c r="T286" s="80"/>
      <c r="U286" s="80"/>
      <c r="V286" s="80"/>
      <c r="W286" s="80"/>
      <c r="X286" s="80"/>
    </row>
    <row r="287" spans="1:24">
      <c r="A287" s="381"/>
      <c r="B287" s="370"/>
      <c r="C287" s="370"/>
      <c r="D287" s="370"/>
      <c r="E287" s="370"/>
      <c r="F287" s="370"/>
      <c r="G287" s="370"/>
      <c r="H287" s="370"/>
      <c r="I287" s="370"/>
      <c r="J287" s="370"/>
      <c r="K287" s="370"/>
      <c r="L287" s="370"/>
      <c r="M287" s="370"/>
      <c r="N287" s="371"/>
      <c r="O287" s="80"/>
      <c r="P287" s="80"/>
      <c r="Q287" s="80"/>
      <c r="R287" s="80"/>
      <c r="S287" s="80"/>
      <c r="T287" s="80"/>
      <c r="U287" s="80"/>
      <c r="V287" s="80"/>
      <c r="W287" s="80"/>
      <c r="X287" s="80"/>
    </row>
    <row r="288" spans="1:24">
      <c r="A288" s="1078" t="s">
        <v>342</v>
      </c>
      <c r="B288" s="1079"/>
      <c r="C288" s="370"/>
      <c r="D288" s="370"/>
      <c r="E288" s="370"/>
      <c r="F288" s="370"/>
      <c r="G288" s="370"/>
      <c r="H288" s="370"/>
      <c r="I288" s="370"/>
      <c r="J288" s="370"/>
      <c r="K288" s="370"/>
      <c r="L288" s="370"/>
      <c r="M288" s="370"/>
      <c r="N288" s="371"/>
      <c r="O288" s="80"/>
      <c r="P288" s="80"/>
      <c r="Q288" s="80"/>
      <c r="R288" s="80"/>
      <c r="S288" s="80"/>
      <c r="T288" s="80"/>
      <c r="U288" s="80"/>
      <c r="V288" s="80"/>
      <c r="W288" s="80"/>
      <c r="X288" s="80"/>
    </row>
    <row r="289" spans="1:24">
      <c r="A289" s="1080" t="s">
        <v>343</v>
      </c>
      <c r="B289" s="1081"/>
      <c r="C289" s="370"/>
      <c r="D289" s="375" t="s">
        <v>348</v>
      </c>
      <c r="E289" s="375"/>
      <c r="F289" s="375"/>
      <c r="G289" s="376"/>
      <c r="H289" s="1076" t="s">
        <v>353</v>
      </c>
      <c r="I289" s="1076"/>
      <c r="J289" s="1076"/>
      <c r="K289" s="370"/>
      <c r="L289" s="1076" t="s">
        <v>357</v>
      </c>
      <c r="M289" s="1076"/>
      <c r="N289" s="371"/>
      <c r="O289" s="80"/>
      <c r="P289" s="80"/>
      <c r="Q289" s="80"/>
      <c r="R289" s="80"/>
      <c r="S289" s="80"/>
      <c r="T289" s="80"/>
      <c r="U289" s="80"/>
      <c r="V289" s="80"/>
      <c r="W289" s="80"/>
      <c r="X289" s="80"/>
    </row>
    <row r="290" spans="1:24">
      <c r="A290" s="1074" t="s">
        <v>344</v>
      </c>
      <c r="B290" s="1075"/>
      <c r="C290" s="441">
        <f>C37</f>
        <v>0</v>
      </c>
      <c r="D290" s="370" t="s">
        <v>349</v>
      </c>
      <c r="E290" s="370"/>
      <c r="F290" s="370"/>
      <c r="G290" s="442">
        <f>G37</f>
        <v>0</v>
      </c>
      <c r="H290" s="370" t="s">
        <v>354</v>
      </c>
      <c r="I290" s="370"/>
      <c r="J290" s="441">
        <f>J37</f>
        <v>0</v>
      </c>
      <c r="K290" s="370"/>
      <c r="L290" s="370" t="s">
        <v>358</v>
      </c>
      <c r="M290" s="370"/>
      <c r="N290" s="435">
        <f>N37</f>
        <v>0</v>
      </c>
      <c r="O290" s="80"/>
      <c r="P290" s="80"/>
      <c r="Q290" s="80"/>
      <c r="R290" s="80"/>
      <c r="S290" s="80"/>
      <c r="T290" s="80"/>
      <c r="U290" s="80"/>
      <c r="V290" s="80"/>
      <c r="W290" s="80"/>
      <c r="X290" s="80"/>
    </row>
    <row r="291" spans="1:24">
      <c r="A291" s="1074" t="s">
        <v>345</v>
      </c>
      <c r="B291" s="1075"/>
      <c r="C291" s="441">
        <f>C38</f>
        <v>0</v>
      </c>
      <c r="D291" s="370" t="s">
        <v>350</v>
      </c>
      <c r="E291" s="370"/>
      <c r="F291" s="370"/>
      <c r="G291" s="442" t="str">
        <f>G38</f>
        <v>X</v>
      </c>
      <c r="H291" s="370" t="s">
        <v>355</v>
      </c>
      <c r="I291" s="370"/>
      <c r="J291" s="441">
        <f>J38</f>
        <v>0</v>
      </c>
      <c r="K291" s="370"/>
      <c r="L291" s="370" t="s">
        <v>359</v>
      </c>
      <c r="M291" s="370"/>
      <c r="N291" s="423">
        <f>N38</f>
        <v>0</v>
      </c>
      <c r="O291" s="80"/>
      <c r="P291" s="80"/>
      <c r="Q291" s="80"/>
      <c r="R291" s="80"/>
      <c r="S291" s="80"/>
      <c r="T291" s="80"/>
      <c r="U291" s="80"/>
      <c r="V291" s="80"/>
      <c r="W291" s="80"/>
      <c r="X291" s="80"/>
    </row>
    <row r="292" spans="1:24">
      <c r="A292" s="1074" t="s">
        <v>346</v>
      </c>
      <c r="B292" s="1075"/>
      <c r="C292" s="441">
        <f>C39</f>
        <v>0</v>
      </c>
      <c r="D292" s="370" t="s">
        <v>351</v>
      </c>
      <c r="E292" s="370"/>
      <c r="F292" s="370"/>
      <c r="G292" s="442">
        <f>G39</f>
        <v>0</v>
      </c>
      <c r="H292" s="370" t="s">
        <v>356</v>
      </c>
      <c r="I292" s="370"/>
      <c r="J292" s="441">
        <f>J39</f>
        <v>0</v>
      </c>
      <c r="K292" s="370"/>
      <c r="L292" s="1076" t="s">
        <v>360</v>
      </c>
      <c r="M292" s="1076"/>
      <c r="N292" s="469"/>
      <c r="O292" s="80"/>
      <c r="P292" s="80"/>
      <c r="Q292" s="80"/>
      <c r="R292" s="80"/>
      <c r="S292" s="80"/>
      <c r="T292" s="80"/>
      <c r="U292" s="80"/>
      <c r="V292" s="80"/>
      <c r="W292" s="80"/>
      <c r="X292" s="80"/>
    </row>
    <row r="293" spans="1:24">
      <c r="A293" s="1074" t="s">
        <v>347</v>
      </c>
      <c r="B293" s="1075"/>
      <c r="C293" s="441">
        <f>C40</f>
        <v>0</v>
      </c>
      <c r="D293" s="370" t="s">
        <v>352</v>
      </c>
      <c r="E293" s="370"/>
      <c r="F293" s="370"/>
      <c r="G293" s="442" t="str">
        <f>G40</f>
        <v>X</v>
      </c>
      <c r="H293" s="370"/>
      <c r="I293" s="370"/>
      <c r="J293" s="370"/>
      <c r="K293" s="370"/>
      <c r="L293" s="1075" t="s">
        <v>362</v>
      </c>
      <c r="M293" s="1075"/>
      <c r="N293" s="469">
        <f>N40</f>
        <v>0</v>
      </c>
      <c r="O293" s="80"/>
      <c r="P293" s="80"/>
      <c r="Q293" s="80"/>
      <c r="R293" s="80"/>
      <c r="S293" s="80"/>
      <c r="T293" s="80"/>
      <c r="U293" s="80"/>
      <c r="V293" s="80"/>
      <c r="W293" s="80"/>
      <c r="X293" s="80"/>
    </row>
    <row r="294" spans="1:24">
      <c r="A294" s="381"/>
      <c r="B294" s="370"/>
      <c r="C294" s="370"/>
      <c r="D294" s="370"/>
      <c r="E294" s="370"/>
      <c r="F294" s="370"/>
      <c r="G294" s="370"/>
      <c r="H294" s="370"/>
      <c r="I294" s="370"/>
      <c r="J294" s="370"/>
      <c r="K294" s="370"/>
      <c r="L294" s="370"/>
      <c r="M294" s="370"/>
      <c r="N294" s="371"/>
      <c r="O294" s="80"/>
      <c r="P294" s="80"/>
      <c r="Q294" s="80"/>
      <c r="R294" s="80"/>
      <c r="S294" s="80"/>
      <c r="T294" s="80"/>
      <c r="U294" s="80"/>
      <c r="V294" s="80"/>
      <c r="W294" s="80"/>
      <c r="X294" s="80"/>
    </row>
    <row r="295" spans="1:24">
      <c r="A295" s="433" t="s">
        <v>363</v>
      </c>
      <c r="B295" s="370"/>
      <c r="C295" s="370"/>
      <c r="D295" s="370"/>
      <c r="E295" s="370"/>
      <c r="F295" s="370"/>
      <c r="G295" s="370"/>
      <c r="H295" s="370"/>
      <c r="I295" s="370"/>
      <c r="J295" s="370"/>
      <c r="K295" s="370"/>
      <c r="L295" s="370"/>
      <c r="M295" s="370"/>
      <c r="N295" s="371"/>
      <c r="O295" s="80"/>
      <c r="P295" s="80"/>
      <c r="Q295" s="80"/>
      <c r="R295" s="80"/>
      <c r="S295" s="80"/>
      <c r="T295" s="80"/>
      <c r="U295" s="80"/>
      <c r="V295" s="80"/>
      <c r="W295" s="80"/>
      <c r="X295" s="80"/>
    </row>
    <row r="296" spans="1:24">
      <c r="A296" s="381"/>
      <c r="B296" s="370"/>
      <c r="C296" s="210" t="s">
        <v>88</v>
      </c>
      <c r="D296" s="210" t="s">
        <v>87</v>
      </c>
      <c r="E296" s="210" t="s">
        <v>367</v>
      </c>
      <c r="F296" s="210" t="s">
        <v>368</v>
      </c>
      <c r="G296" s="210" t="s">
        <v>369</v>
      </c>
      <c r="H296" s="210" t="s">
        <v>370</v>
      </c>
      <c r="I296" s="210" t="s">
        <v>371</v>
      </c>
      <c r="J296" s="210" t="s">
        <v>372</v>
      </c>
      <c r="K296" s="370"/>
      <c r="L296" s="370"/>
      <c r="M296" s="370"/>
      <c r="N296" s="371"/>
      <c r="O296" s="80"/>
      <c r="P296" s="80"/>
      <c r="Q296" s="80"/>
      <c r="R296" s="80"/>
      <c r="S296" s="80"/>
      <c r="T296" s="80"/>
      <c r="U296" s="80"/>
      <c r="V296" s="80"/>
      <c r="W296" s="80"/>
      <c r="X296" s="80"/>
    </row>
    <row r="297" spans="1:24">
      <c r="A297" s="434" t="s">
        <v>82</v>
      </c>
      <c r="B297" s="370"/>
      <c r="C297" s="106">
        <f>B97</f>
        <v>3</v>
      </c>
      <c r="D297" s="106">
        <f>B96</f>
        <v>0</v>
      </c>
      <c r="E297" s="106">
        <f>B98</f>
        <v>0</v>
      </c>
      <c r="F297" s="106">
        <f>B99</f>
        <v>1</v>
      </c>
      <c r="G297" s="106">
        <f>B100</f>
        <v>3</v>
      </c>
      <c r="H297" s="106">
        <f>B101</f>
        <v>0</v>
      </c>
      <c r="I297" s="106">
        <f>B103</f>
        <v>0</v>
      </c>
      <c r="J297" s="106">
        <f>B102</f>
        <v>2</v>
      </c>
      <c r="K297" s="370"/>
      <c r="L297" s="370"/>
      <c r="M297" s="370"/>
      <c r="N297" s="371"/>
      <c r="O297" s="80"/>
      <c r="P297" s="80"/>
      <c r="Q297" s="80"/>
      <c r="R297" s="80"/>
      <c r="S297" s="80"/>
      <c r="T297" s="80"/>
      <c r="U297" s="80"/>
      <c r="V297" s="80"/>
      <c r="W297" s="80"/>
      <c r="X297" s="80"/>
    </row>
    <row r="298" spans="1:24">
      <c r="A298" s="434" t="s">
        <v>84</v>
      </c>
      <c r="B298" s="370"/>
      <c r="C298" s="106">
        <f>B112</f>
        <v>0</v>
      </c>
      <c r="D298" s="106">
        <f>B111</f>
        <v>1</v>
      </c>
      <c r="E298" s="106">
        <f>B113</f>
        <v>0</v>
      </c>
      <c r="F298" s="106">
        <f>B114</f>
        <v>0</v>
      </c>
      <c r="G298" s="106">
        <f>B115</f>
        <v>2</v>
      </c>
      <c r="H298" s="106">
        <f>B116</f>
        <v>0</v>
      </c>
      <c r="I298" s="106">
        <f>B118</f>
        <v>3</v>
      </c>
      <c r="J298" s="106">
        <f>B117</f>
        <v>3</v>
      </c>
      <c r="K298" s="370"/>
      <c r="L298" s="370"/>
      <c r="M298" s="370"/>
      <c r="N298" s="371"/>
      <c r="O298" s="80"/>
      <c r="P298" s="80"/>
      <c r="Q298" s="80"/>
      <c r="R298" s="80"/>
      <c r="S298" s="80"/>
      <c r="T298" s="80"/>
      <c r="U298" s="80"/>
      <c r="V298" s="80"/>
      <c r="W298" s="80"/>
      <c r="X298" s="80"/>
    </row>
    <row r="299" spans="1:24">
      <c r="A299" s="434" t="s">
        <v>364</v>
      </c>
      <c r="B299" s="370"/>
      <c r="C299" s="106">
        <f>B127</f>
        <v>6</v>
      </c>
      <c r="D299" s="106">
        <f>B126</f>
        <v>0</v>
      </c>
      <c r="E299" s="106">
        <f>B128</f>
        <v>0</v>
      </c>
      <c r="F299" s="106">
        <f>B129</f>
        <v>0</v>
      </c>
      <c r="G299" s="106">
        <f>B130</f>
        <v>4</v>
      </c>
      <c r="H299" s="106">
        <f>B131</f>
        <v>0</v>
      </c>
      <c r="I299" s="106">
        <f>B133</f>
        <v>0</v>
      </c>
      <c r="J299" s="106">
        <f>B132</f>
        <v>3</v>
      </c>
      <c r="K299" s="370"/>
      <c r="L299" s="370"/>
      <c r="M299" s="370"/>
      <c r="N299" s="371"/>
      <c r="O299" s="80"/>
    </row>
    <row r="300" spans="1:24">
      <c r="A300" s="434" t="s">
        <v>365</v>
      </c>
      <c r="B300" s="370"/>
      <c r="C300" s="106"/>
      <c r="D300" s="106"/>
      <c r="E300" s="106"/>
      <c r="F300" s="106"/>
      <c r="G300" s="106"/>
      <c r="H300" s="106"/>
      <c r="I300" s="106"/>
      <c r="J300" s="106"/>
      <c r="K300" s="370"/>
      <c r="L300" s="370"/>
      <c r="M300" s="370"/>
      <c r="N300" s="371"/>
      <c r="O300" s="80"/>
    </row>
    <row r="301" spans="1:24">
      <c r="A301" s="434" t="s">
        <v>366</v>
      </c>
      <c r="B301" s="370"/>
      <c r="C301" s="106">
        <f>SUM(C297:C300)</f>
        <v>9</v>
      </c>
      <c r="D301" s="106">
        <f t="shared" ref="D301:J301" si="14">SUM(D297:D300)</f>
        <v>1</v>
      </c>
      <c r="E301" s="106">
        <f t="shared" si="14"/>
        <v>0</v>
      </c>
      <c r="F301" s="106">
        <f t="shared" si="14"/>
        <v>1</v>
      </c>
      <c r="G301" s="106">
        <f t="shared" si="14"/>
        <v>9</v>
      </c>
      <c r="H301" s="106">
        <f t="shared" si="14"/>
        <v>0</v>
      </c>
      <c r="I301" s="106">
        <f t="shared" si="14"/>
        <v>3</v>
      </c>
      <c r="J301" s="106">
        <f t="shared" si="14"/>
        <v>8</v>
      </c>
      <c r="K301" s="370"/>
      <c r="L301" s="370"/>
      <c r="M301" s="370"/>
      <c r="N301" s="371"/>
    </row>
    <row r="302" spans="1:24" ht="15" customHeight="1">
      <c r="A302" s="331"/>
      <c r="B302" s="86"/>
      <c r="C302" s="86"/>
      <c r="D302" s="86"/>
      <c r="E302" s="86"/>
      <c r="F302" s="86"/>
      <c r="G302" s="86"/>
      <c r="H302" s="86"/>
      <c r="I302" s="86"/>
      <c r="J302" s="86"/>
      <c r="K302" s="86"/>
      <c r="L302" s="86"/>
      <c r="M302" s="86"/>
      <c r="N302" s="325"/>
    </row>
    <row r="303" spans="1:24">
      <c r="A303" s="1046" t="s">
        <v>373</v>
      </c>
      <c r="B303" s="1047"/>
      <c r="C303" s="1047"/>
      <c r="D303" s="1047"/>
      <c r="E303" s="1077" t="s">
        <v>376</v>
      </c>
      <c r="F303" s="1077"/>
      <c r="G303" s="468"/>
      <c r="H303" s="1077" t="s">
        <v>378</v>
      </c>
      <c r="I303" s="1077"/>
      <c r="J303" s="468"/>
      <c r="K303" s="1077" t="s">
        <v>377</v>
      </c>
      <c r="L303" s="1077"/>
      <c r="M303" s="1077"/>
      <c r="N303" s="425"/>
    </row>
    <row r="304" spans="1:24" ht="15" customHeight="1">
      <c r="A304" s="1068" t="s">
        <v>374</v>
      </c>
      <c r="B304" s="1069"/>
      <c r="C304" s="1069"/>
      <c r="D304" s="1069"/>
      <c r="E304" s="86">
        <f>C150</f>
        <v>181</v>
      </c>
      <c r="F304" s="86"/>
      <c r="G304" s="86"/>
      <c r="H304" s="89">
        <f>B152</f>
        <v>54</v>
      </c>
      <c r="I304" s="86"/>
      <c r="J304" s="86"/>
      <c r="K304" s="1060">
        <f>D152</f>
        <v>724</v>
      </c>
      <c r="L304" s="1030"/>
      <c r="M304" s="86"/>
      <c r="N304" s="325"/>
    </row>
    <row r="305" spans="1:14">
      <c r="A305" s="1070" t="s">
        <v>29</v>
      </c>
      <c r="B305" s="1071"/>
      <c r="C305" s="1071"/>
      <c r="D305" s="1071"/>
      <c r="E305" s="87">
        <f>D150</f>
        <v>92</v>
      </c>
      <c r="F305" s="87"/>
      <c r="G305" s="87"/>
      <c r="H305" s="90">
        <f>B153</f>
        <v>18</v>
      </c>
      <c r="I305" s="87"/>
      <c r="J305" s="87"/>
      <c r="K305" s="1072">
        <f>D153</f>
        <v>368</v>
      </c>
      <c r="L305" s="1073"/>
      <c r="M305" s="87"/>
      <c r="N305" s="436"/>
    </row>
    <row r="306" spans="1:14">
      <c r="A306" s="1068" t="s">
        <v>56</v>
      </c>
      <c r="B306" s="1069"/>
      <c r="C306" s="1069"/>
      <c r="D306" s="1069"/>
      <c r="E306" s="87">
        <f>E150</f>
        <v>81</v>
      </c>
      <c r="F306" s="87"/>
      <c r="G306" s="87"/>
      <c r="H306" s="90">
        <f>B154</f>
        <v>28</v>
      </c>
      <c r="I306" s="87"/>
      <c r="J306" s="87"/>
      <c r="K306" s="1072">
        <f>D154</f>
        <v>729</v>
      </c>
      <c r="L306" s="1073"/>
      <c r="M306" s="87"/>
      <c r="N306" s="436"/>
    </row>
    <row r="307" spans="1:14">
      <c r="A307" s="1058" t="s">
        <v>375</v>
      </c>
      <c r="B307" s="1059"/>
      <c r="C307" s="1059"/>
      <c r="D307" s="1059"/>
      <c r="E307" s="86"/>
      <c r="F307" s="86"/>
      <c r="G307" s="86"/>
      <c r="H307" s="91">
        <f>SUM(H304:H306)</f>
        <v>100</v>
      </c>
      <c r="I307" s="86"/>
      <c r="J307" s="86"/>
      <c r="K307" s="1060">
        <f>SUM(K304:K306)</f>
        <v>1821</v>
      </c>
      <c r="L307" s="1030"/>
      <c r="M307" s="86"/>
      <c r="N307" s="325"/>
    </row>
    <row r="308" spans="1:14">
      <c r="A308" s="1061" t="s">
        <v>379</v>
      </c>
      <c r="B308" s="1062"/>
      <c r="C308" s="1062"/>
      <c r="D308" s="1062"/>
      <c r="E308" s="1062"/>
      <c r="F308" s="1062"/>
      <c r="G308" s="86"/>
      <c r="H308" s="86"/>
      <c r="I308" s="86"/>
      <c r="J308" s="86"/>
      <c r="K308" s="86"/>
      <c r="L308" s="86"/>
      <c r="M308" s="86"/>
      <c r="N308" s="325"/>
    </row>
    <row r="309" spans="1:14" ht="14.1" customHeight="1">
      <c r="A309" s="466"/>
      <c r="B309" s="467"/>
      <c r="C309" s="1063" t="s">
        <v>388</v>
      </c>
      <c r="D309" s="1063"/>
      <c r="E309" s="462"/>
      <c r="F309" s="1064" t="s">
        <v>389</v>
      </c>
      <c r="G309" s="1064"/>
      <c r="H309" s="1064"/>
      <c r="I309" s="1064"/>
      <c r="J309" s="1064"/>
      <c r="K309" s="1064"/>
      <c r="L309" s="1064"/>
      <c r="M309" s="1064"/>
      <c r="N309" s="1065"/>
    </row>
    <row r="310" spans="1:14">
      <c r="A310" s="95" t="s">
        <v>380</v>
      </c>
      <c r="B310" s="86"/>
      <c r="C310" s="105">
        <f>D10</f>
        <v>74</v>
      </c>
      <c r="D310" s="86"/>
      <c r="E310" s="99"/>
      <c r="F310" s="462"/>
      <c r="G310" s="99"/>
      <c r="H310" s="462"/>
      <c r="I310" s="99"/>
      <c r="J310" s="462"/>
      <c r="K310" s="99"/>
      <c r="L310" s="462"/>
      <c r="M310" s="99"/>
      <c r="N310" s="463"/>
    </row>
    <row r="311" spans="1:14" ht="14.1" customHeight="1">
      <c r="A311" s="95" t="s">
        <v>381</v>
      </c>
      <c r="B311" s="86"/>
      <c r="C311" s="105">
        <f>D14</f>
        <v>70.277759999999986</v>
      </c>
      <c r="D311" s="86"/>
      <c r="E311" s="93"/>
      <c r="F311" s="86"/>
      <c r="G311" s="93"/>
      <c r="H311" s="86"/>
      <c r="I311" s="93"/>
      <c r="J311" s="86"/>
      <c r="K311" s="93"/>
      <c r="L311" s="86"/>
      <c r="M311" s="93"/>
      <c r="N311" s="325"/>
    </row>
    <row r="312" spans="1:14">
      <c r="A312" s="96" t="s">
        <v>382</v>
      </c>
      <c r="B312" s="473"/>
      <c r="C312" s="106"/>
      <c r="D312" s="473"/>
      <c r="E312" s="100"/>
      <c r="F312" s="98"/>
      <c r="G312" s="100"/>
      <c r="H312" s="98"/>
      <c r="I312" s="100"/>
      <c r="J312" s="98"/>
      <c r="K312" s="100"/>
      <c r="L312" s="98"/>
      <c r="M312" s="100"/>
      <c r="N312" s="437"/>
    </row>
    <row r="313" spans="1:14">
      <c r="A313" s="301" t="s">
        <v>76</v>
      </c>
      <c r="B313" s="86"/>
      <c r="C313" s="105">
        <f>D17</f>
        <v>1.68</v>
      </c>
      <c r="D313" s="86"/>
      <c r="E313" s="100"/>
      <c r="F313" s="98"/>
      <c r="G313" s="100"/>
      <c r="H313" s="98"/>
      <c r="I313" s="100"/>
      <c r="J313" s="98"/>
      <c r="K313" s="100"/>
      <c r="L313" s="98"/>
      <c r="M313" s="100"/>
      <c r="N313" s="437"/>
    </row>
    <row r="314" spans="1:14" ht="14.1" customHeight="1">
      <c r="A314" s="95" t="s">
        <v>13</v>
      </c>
      <c r="B314" s="86"/>
      <c r="C314" s="107">
        <f>D18</f>
        <v>26.218820861678008</v>
      </c>
      <c r="D314" s="86"/>
      <c r="E314" s="93"/>
      <c r="F314" s="86"/>
      <c r="G314" s="93"/>
      <c r="H314" s="86"/>
      <c r="I314" s="93"/>
      <c r="J314" s="86"/>
      <c r="K314" s="93"/>
      <c r="L314" s="86"/>
      <c r="M314" s="93"/>
      <c r="N314" s="325"/>
    </row>
    <row r="315" spans="1:14">
      <c r="A315" s="96" t="s">
        <v>383</v>
      </c>
      <c r="B315" s="473"/>
      <c r="C315" s="106">
        <f>E49</f>
        <v>0</v>
      </c>
      <c r="D315" s="473"/>
      <c r="E315" s="99"/>
      <c r="F315" s="462"/>
      <c r="G315" s="99"/>
      <c r="H315" s="462"/>
      <c r="I315" s="99"/>
      <c r="J315" s="462"/>
      <c r="K315" s="99"/>
      <c r="L315" s="462"/>
      <c r="M315" s="99"/>
      <c r="N315" s="463"/>
    </row>
    <row r="316" spans="1:14">
      <c r="A316" s="95" t="s">
        <v>384</v>
      </c>
      <c r="B316" s="86"/>
      <c r="C316" s="105">
        <f>E51</f>
        <v>0</v>
      </c>
      <c r="D316" s="86"/>
      <c r="E316" s="99"/>
      <c r="F316" s="462"/>
      <c r="G316" s="99"/>
      <c r="H316" s="462"/>
      <c r="I316" s="99"/>
      <c r="J316" s="462"/>
      <c r="K316" s="99"/>
      <c r="L316" s="462"/>
      <c r="M316" s="99"/>
      <c r="N316" s="463"/>
    </row>
    <row r="317" spans="1:14">
      <c r="A317" s="95" t="s">
        <v>385</v>
      </c>
      <c r="B317" s="86"/>
      <c r="C317" s="105">
        <f>E52</f>
        <v>0</v>
      </c>
      <c r="D317" s="86"/>
      <c r="E317" s="93"/>
      <c r="F317" s="86"/>
      <c r="G317" s="93"/>
      <c r="H317" s="86"/>
      <c r="I317" s="93"/>
      <c r="J317" s="86"/>
      <c r="K317" s="93"/>
      <c r="L317" s="86"/>
      <c r="M317" s="93"/>
      <c r="N317" s="325"/>
    </row>
    <row r="318" spans="1:14">
      <c r="A318" s="94" t="s">
        <v>77</v>
      </c>
      <c r="B318" s="92"/>
      <c r="C318" s="102">
        <v>0</v>
      </c>
      <c r="D318" s="92"/>
      <c r="E318" s="93"/>
      <c r="F318" s="86"/>
      <c r="G318" s="93"/>
      <c r="H318" s="86"/>
      <c r="I318" s="93"/>
      <c r="J318" s="86"/>
      <c r="K318" s="93"/>
      <c r="L318" s="86"/>
      <c r="M318" s="93"/>
      <c r="N318" s="325"/>
    </row>
    <row r="319" spans="1:14" ht="15" customHeight="1">
      <c r="A319" s="95" t="s">
        <v>386</v>
      </c>
      <c r="B319" s="86"/>
      <c r="C319" s="105"/>
      <c r="D319" s="86"/>
      <c r="E319" s="93"/>
      <c r="F319" s="86"/>
      <c r="G319" s="93"/>
      <c r="H319" s="86"/>
      <c r="I319" s="93"/>
      <c r="J319" s="86"/>
      <c r="K319" s="93"/>
      <c r="L319" s="86"/>
      <c r="M319" s="93"/>
      <c r="N319" s="325"/>
    </row>
    <row r="320" spans="1:14" ht="15" customHeight="1">
      <c r="A320" s="97" t="s">
        <v>387</v>
      </c>
      <c r="B320" s="467"/>
      <c r="C320" s="108"/>
      <c r="D320" s="467"/>
      <c r="E320" s="101"/>
      <c r="F320" s="468"/>
      <c r="G320" s="101"/>
      <c r="H320" s="468"/>
      <c r="I320" s="101"/>
      <c r="J320" s="468"/>
      <c r="K320" s="101"/>
      <c r="L320" s="468"/>
      <c r="M320" s="101"/>
      <c r="N320" s="425"/>
    </row>
    <row r="321" spans="1:14">
      <c r="A321" s="95" t="s">
        <v>357</v>
      </c>
      <c r="B321" s="335"/>
      <c r="C321" s="105"/>
      <c r="D321" s="335"/>
      <c r="E321" s="101"/>
      <c r="F321" s="426"/>
      <c r="G321" s="101"/>
      <c r="H321" s="426"/>
      <c r="I321" s="101"/>
      <c r="J321" s="426"/>
      <c r="K321" s="101"/>
      <c r="L321" s="426"/>
      <c r="M321" s="101"/>
      <c r="N321" s="429"/>
    </row>
    <row r="322" spans="1:14">
      <c r="A322" s="336" t="s">
        <v>20</v>
      </c>
      <c r="B322" s="355"/>
      <c r="C322" s="355"/>
      <c r="D322" s="112" t="s">
        <v>392</v>
      </c>
      <c r="E322" s="1066" t="s">
        <v>388</v>
      </c>
      <c r="F322" s="1067"/>
      <c r="G322" s="427"/>
      <c r="H322" s="430"/>
      <c r="I322" s="427"/>
      <c r="J322" s="427"/>
      <c r="K322" s="427"/>
      <c r="L322" s="427"/>
      <c r="M322" s="427"/>
      <c r="N322" s="428"/>
    </row>
    <row r="323" spans="1:14">
      <c r="A323" s="1054" t="s">
        <v>22</v>
      </c>
      <c r="B323" s="1055"/>
      <c r="C323" s="1055"/>
      <c r="D323" s="161" t="str">
        <f>C55</f>
        <v>12.0-16.0</v>
      </c>
      <c r="E323" s="468"/>
      <c r="F323" s="116">
        <f>E55</f>
        <v>6</v>
      </c>
      <c r="G323" s="468"/>
      <c r="H323" s="116">
        <f>G55</f>
        <v>0</v>
      </c>
      <c r="I323" s="468"/>
      <c r="J323" s="116">
        <f>I55</f>
        <v>0</v>
      </c>
      <c r="K323" s="468"/>
      <c r="L323" s="116">
        <f>K55</f>
        <v>0</v>
      </c>
      <c r="M323" s="158" t="str">
        <f>L55</f>
        <v>ND</v>
      </c>
      <c r="N323" s="425"/>
    </row>
    <row r="324" spans="1:14">
      <c r="A324" s="1054" t="s">
        <v>390</v>
      </c>
      <c r="B324" s="1055"/>
      <c r="C324" s="1055"/>
      <c r="D324" s="162" t="str">
        <f>C57</f>
        <v>36.0-47</v>
      </c>
      <c r="E324" s="86"/>
      <c r="F324" s="95">
        <f>E57</f>
        <v>0</v>
      </c>
      <c r="G324" s="86"/>
      <c r="H324" s="95">
        <f>G57</f>
        <v>0</v>
      </c>
      <c r="I324" s="86"/>
      <c r="J324" s="95">
        <f>I57</f>
        <v>0</v>
      </c>
      <c r="K324" s="86"/>
      <c r="L324" s="95">
        <f>K57</f>
        <v>0</v>
      </c>
      <c r="M324" s="159" t="str">
        <f>L57</f>
        <v>ND</v>
      </c>
      <c r="N324" s="325"/>
    </row>
    <row r="325" spans="1:14" ht="15" customHeight="1">
      <c r="A325" s="1054" t="s">
        <v>391</v>
      </c>
      <c r="B325" s="1055"/>
      <c r="C325" s="1055"/>
      <c r="D325" s="162" t="str">
        <f>C59</f>
        <v>4000-11200</v>
      </c>
      <c r="E325" s="86"/>
      <c r="F325" s="95">
        <f>E59</f>
        <v>0</v>
      </c>
      <c r="G325" s="86"/>
      <c r="H325" s="95">
        <f>G59</f>
        <v>0</v>
      </c>
      <c r="I325" s="86"/>
      <c r="J325" s="95">
        <f>I59</f>
        <v>0</v>
      </c>
      <c r="K325" s="86"/>
      <c r="L325" s="95">
        <f>K59</f>
        <v>0</v>
      </c>
      <c r="M325" s="159" t="str">
        <f>L59</f>
        <v>ND</v>
      </c>
      <c r="N325" s="325"/>
    </row>
    <row r="326" spans="1:14">
      <c r="A326" s="1056" t="s">
        <v>25</v>
      </c>
      <c r="B326" s="1057"/>
      <c r="C326" s="1057"/>
      <c r="D326" s="163" t="str">
        <f>C62</f>
        <v>65-110</v>
      </c>
      <c r="E326" s="462"/>
      <c r="F326" s="157">
        <f>E62</f>
        <v>107</v>
      </c>
      <c r="G326" s="462"/>
      <c r="H326" s="157">
        <f>G62</f>
        <v>0</v>
      </c>
      <c r="I326" s="462"/>
      <c r="J326" s="157">
        <f>I62</f>
        <v>0</v>
      </c>
      <c r="K326" s="462"/>
      <c r="L326" s="157">
        <f>K62</f>
        <v>0</v>
      </c>
      <c r="M326" s="160" t="str">
        <f>L62</f>
        <v>ND</v>
      </c>
      <c r="N326" s="463"/>
    </row>
    <row r="327" spans="1:14">
      <c r="A327" s="1054" t="s">
        <v>26</v>
      </c>
      <c r="B327" s="1055"/>
      <c r="C327" s="1055"/>
      <c r="D327" s="164" t="str">
        <f>C64</f>
        <v>14.0-44</v>
      </c>
      <c r="E327" s="462"/>
      <c r="F327" s="157">
        <f>E64</f>
        <v>21</v>
      </c>
      <c r="G327" s="462"/>
      <c r="H327" s="157">
        <f>G64</f>
        <v>0</v>
      </c>
      <c r="I327" s="462"/>
      <c r="J327" s="157">
        <f>I64</f>
        <v>0</v>
      </c>
      <c r="K327" s="462"/>
      <c r="L327" s="157">
        <f>K64</f>
        <v>0</v>
      </c>
      <c r="M327" s="160" t="str">
        <f>L64</f>
        <v>ND</v>
      </c>
      <c r="N327" s="463"/>
    </row>
    <row r="328" spans="1:14">
      <c r="A328" s="1054" t="s">
        <v>27</v>
      </c>
      <c r="B328" s="1055"/>
      <c r="C328" s="1055"/>
      <c r="D328" s="164" t="str">
        <f>C66</f>
        <v>3.4-7.0</v>
      </c>
      <c r="E328" s="462"/>
      <c r="F328" s="157">
        <f>E66</f>
        <v>0</v>
      </c>
      <c r="G328" s="462"/>
      <c r="H328" s="157">
        <f>G66</f>
        <v>0</v>
      </c>
      <c r="I328" s="462"/>
      <c r="J328" s="157">
        <f>I66</f>
        <v>0</v>
      </c>
      <c r="K328" s="462"/>
      <c r="L328" s="157">
        <f>K66</f>
        <v>0</v>
      </c>
      <c r="M328" s="160" t="str">
        <f>L66</f>
        <v>ND</v>
      </c>
      <c r="N328" s="463"/>
    </row>
    <row r="329" spans="1:14">
      <c r="A329" s="1054" t="s">
        <v>28</v>
      </c>
      <c r="B329" s="1055"/>
      <c r="C329" s="1055"/>
      <c r="D329" s="162" t="str">
        <f>C68</f>
        <v>0.5-1.6</v>
      </c>
      <c r="E329" s="462"/>
      <c r="F329" s="157">
        <f>E68</f>
        <v>0.6</v>
      </c>
      <c r="G329" s="462"/>
      <c r="H329" s="157">
        <f>G68</f>
        <v>0</v>
      </c>
      <c r="I329" s="462"/>
      <c r="J329" s="157">
        <f>I68</f>
        <v>0</v>
      </c>
      <c r="K329" s="462"/>
      <c r="L329" s="157">
        <f>K68</f>
        <v>0</v>
      </c>
      <c r="M329" s="160" t="str">
        <f>L68</f>
        <v>ND</v>
      </c>
      <c r="N329" s="463"/>
    </row>
    <row r="330" spans="1:14">
      <c r="A330" s="1054" t="s">
        <v>30</v>
      </c>
      <c r="B330" s="1055"/>
      <c r="C330" s="1055"/>
      <c r="D330" s="162" t="str">
        <f>C71</f>
        <v>6.4-8.3</v>
      </c>
      <c r="E330" s="462"/>
      <c r="F330" s="157">
        <f>E71</f>
        <v>0</v>
      </c>
      <c r="G330" s="462"/>
      <c r="H330" s="157">
        <f>G71</f>
        <v>0</v>
      </c>
      <c r="I330" s="462"/>
      <c r="J330" s="157">
        <f>I71</f>
        <v>0</v>
      </c>
      <c r="K330" s="462"/>
      <c r="L330" s="157">
        <f>K71</f>
        <v>0</v>
      </c>
      <c r="M330" s="160" t="str">
        <f>L71</f>
        <v>ND</v>
      </c>
      <c r="N330" s="463"/>
    </row>
    <row r="331" spans="1:14">
      <c r="A331" s="1054" t="s">
        <v>31</v>
      </c>
      <c r="B331" s="1055"/>
      <c r="C331" s="1055"/>
      <c r="D331" s="162" t="str">
        <f>C73</f>
        <v>3.4- 5.0</v>
      </c>
      <c r="E331" s="462"/>
      <c r="F331" s="157">
        <f>E73</f>
        <v>1.7</v>
      </c>
      <c r="G331" s="462"/>
      <c r="H331" s="157">
        <f>G73</f>
        <v>0</v>
      </c>
      <c r="I331" s="462"/>
      <c r="J331" s="157">
        <f>I73</f>
        <v>0</v>
      </c>
      <c r="K331" s="462"/>
      <c r="L331" s="157">
        <f>K73</f>
        <v>0</v>
      </c>
      <c r="M331" s="160" t="str">
        <f>L73</f>
        <v>ND</v>
      </c>
      <c r="N331" s="463"/>
    </row>
    <row r="332" spans="1:14">
      <c r="A332" s="1054" t="s">
        <v>36</v>
      </c>
      <c r="B332" s="1055"/>
      <c r="C332" s="1055"/>
      <c r="D332" s="162"/>
      <c r="E332" s="462"/>
      <c r="F332" s="157"/>
      <c r="G332" s="462"/>
      <c r="H332" s="157"/>
      <c r="I332" s="462"/>
      <c r="J332" s="157"/>
      <c r="K332" s="462"/>
      <c r="L332" s="157"/>
      <c r="M332" s="160"/>
      <c r="N332" s="463"/>
    </row>
    <row r="333" spans="1:14">
      <c r="A333" s="1054" t="s">
        <v>32</v>
      </c>
      <c r="B333" s="1055"/>
      <c r="C333" s="1055"/>
      <c r="D333" s="162"/>
      <c r="E333" s="462"/>
      <c r="F333" s="157"/>
      <c r="G333" s="462"/>
      <c r="H333" s="157"/>
      <c r="I333" s="462"/>
      <c r="J333" s="157"/>
      <c r="K333" s="462"/>
      <c r="L333" s="157"/>
      <c r="M333" s="160"/>
      <c r="N333" s="463"/>
    </row>
    <row r="334" spans="1:14" ht="15" customHeight="1">
      <c r="A334" s="1054" t="s">
        <v>33</v>
      </c>
      <c r="B334" s="1055"/>
      <c r="C334" s="1055"/>
      <c r="D334" s="162" t="str">
        <f>C76</f>
        <v>140-200mg</v>
      </c>
      <c r="E334" s="86"/>
      <c r="F334" s="95">
        <f>E76</f>
        <v>0</v>
      </c>
      <c r="G334" s="86"/>
      <c r="H334" s="95">
        <f>G76</f>
        <v>0</v>
      </c>
      <c r="I334" s="86"/>
      <c r="J334" s="95">
        <f>I76</f>
        <v>0</v>
      </c>
      <c r="K334" s="86"/>
      <c r="L334" s="95">
        <f>K76</f>
        <v>0</v>
      </c>
      <c r="M334" s="159" t="str">
        <f>L76</f>
        <v>ND</v>
      </c>
      <c r="N334" s="325"/>
    </row>
    <row r="335" spans="1:14">
      <c r="A335" s="1052" t="s">
        <v>34</v>
      </c>
      <c r="B335" s="1053"/>
      <c r="C335" s="1053"/>
      <c r="D335" s="165" t="str">
        <f>C78</f>
        <v>40-160</v>
      </c>
      <c r="E335" s="468"/>
      <c r="F335" s="116">
        <f>E78</f>
        <v>0</v>
      </c>
      <c r="G335" s="468"/>
      <c r="H335" s="116">
        <f>G78</f>
        <v>0</v>
      </c>
      <c r="I335" s="468"/>
      <c r="J335" s="116">
        <f>I78</f>
        <v>0</v>
      </c>
      <c r="K335" s="468"/>
      <c r="L335" s="116">
        <f>K78</f>
        <v>0</v>
      </c>
      <c r="M335" s="158" t="str">
        <f>L78</f>
        <v>ND</v>
      </c>
      <c r="N335" s="425"/>
    </row>
    <row r="336" spans="1:14">
      <c r="A336" s="1054" t="s">
        <v>35</v>
      </c>
      <c r="B336" s="1055"/>
      <c r="C336" s="1055"/>
      <c r="D336" s="162"/>
      <c r="E336" s="468"/>
      <c r="F336" s="116"/>
      <c r="G336" s="468"/>
      <c r="H336" s="116"/>
      <c r="I336" s="468"/>
      <c r="J336" s="116"/>
      <c r="K336" s="468"/>
      <c r="L336" s="116"/>
      <c r="M336" s="158"/>
      <c r="N336" s="425"/>
    </row>
    <row r="337" spans="1:14">
      <c r="A337" s="1054" t="s">
        <v>357</v>
      </c>
      <c r="B337" s="1055"/>
      <c r="C337" s="1055"/>
      <c r="D337" s="162"/>
      <c r="E337" s="468"/>
      <c r="F337" s="116"/>
      <c r="G337" s="468"/>
      <c r="H337" s="116"/>
      <c r="I337" s="468"/>
      <c r="J337" s="116"/>
      <c r="K337" s="468"/>
      <c r="L337" s="116"/>
      <c r="M337" s="158"/>
      <c r="N337" s="425"/>
    </row>
    <row r="338" spans="1:14">
      <c r="A338" s="331"/>
      <c r="B338" s="86"/>
      <c r="C338" s="86"/>
      <c r="D338" s="86"/>
      <c r="E338" s="468"/>
      <c r="F338" s="468"/>
      <c r="G338" s="468"/>
      <c r="H338" s="468"/>
      <c r="I338" s="468"/>
      <c r="J338" s="468"/>
      <c r="K338" s="468"/>
      <c r="L338" s="468"/>
      <c r="M338" s="468"/>
      <c r="N338" s="425"/>
    </row>
    <row r="339" spans="1:14" ht="15" customHeight="1">
      <c r="A339" s="1037"/>
      <c r="B339" s="1038"/>
      <c r="C339" s="1038"/>
      <c r="D339" s="1038"/>
      <c r="E339" s="1038"/>
      <c r="F339" s="1038"/>
      <c r="G339" s="1038"/>
      <c r="H339" s="1038"/>
      <c r="I339" s="1038"/>
      <c r="J339" s="1038"/>
      <c r="K339" s="1038"/>
      <c r="L339" s="1038"/>
      <c r="M339" s="1038"/>
      <c r="N339" s="1039"/>
    </row>
    <row r="340" spans="1:14">
      <c r="A340" s="1002"/>
      <c r="B340" s="1003"/>
      <c r="C340" s="1003"/>
      <c r="D340" s="1003"/>
      <c r="E340" s="1003"/>
      <c r="F340" s="1003"/>
      <c r="G340" s="1003"/>
      <c r="H340" s="1003"/>
      <c r="I340" s="1003"/>
      <c r="J340" s="1003"/>
      <c r="K340" s="1003"/>
      <c r="L340" s="1003"/>
      <c r="M340" s="1003"/>
      <c r="N340" s="1040"/>
    </row>
    <row r="341" spans="1:14">
      <c r="A341" s="1002"/>
      <c r="B341" s="1003"/>
      <c r="C341" s="1003"/>
      <c r="D341" s="1003"/>
      <c r="E341" s="1003"/>
      <c r="F341" s="1003"/>
      <c r="G341" s="1003"/>
      <c r="H341" s="1003"/>
      <c r="I341" s="1003"/>
      <c r="J341" s="1003"/>
      <c r="K341" s="1003"/>
      <c r="L341" s="1003"/>
      <c r="M341" s="1003"/>
      <c r="N341" s="1040"/>
    </row>
    <row r="342" spans="1:14">
      <c r="A342" s="1002"/>
      <c r="B342" s="1003"/>
      <c r="C342" s="1003"/>
      <c r="D342" s="1003"/>
      <c r="E342" s="1003"/>
      <c r="F342" s="1003"/>
      <c r="G342" s="1003"/>
      <c r="H342" s="1003"/>
      <c r="I342" s="1003"/>
      <c r="J342" s="1003"/>
      <c r="K342" s="1003"/>
      <c r="L342" s="1003"/>
      <c r="M342" s="1003"/>
      <c r="N342" s="1040"/>
    </row>
    <row r="343" spans="1:14">
      <c r="A343" s="1041"/>
      <c r="B343" s="1042"/>
      <c r="C343" s="1042"/>
      <c r="D343" s="1042"/>
      <c r="E343" s="1042"/>
      <c r="F343" s="1042"/>
      <c r="G343" s="1042"/>
      <c r="H343" s="1042"/>
      <c r="I343" s="1042"/>
      <c r="J343" s="1042"/>
      <c r="K343" s="1042"/>
      <c r="L343" s="1042"/>
      <c r="M343" s="1042"/>
      <c r="N343" s="1043"/>
    </row>
    <row r="344" spans="1:14">
      <c r="A344" s="1037"/>
      <c r="B344" s="1038"/>
      <c r="C344" s="1038"/>
      <c r="D344" s="1038"/>
      <c r="E344" s="1038"/>
      <c r="F344" s="1038"/>
      <c r="G344" s="1038"/>
      <c r="H344" s="1038"/>
      <c r="I344" s="1038"/>
      <c r="J344" s="1038"/>
      <c r="K344" s="1038"/>
      <c r="L344" s="1038"/>
      <c r="M344" s="1038"/>
      <c r="N344" s="1039"/>
    </row>
    <row r="345" spans="1:14" ht="17.100000000000001" customHeight="1">
      <c r="A345" s="1002"/>
      <c r="B345" s="1003"/>
      <c r="C345" s="1003"/>
      <c r="D345" s="1003"/>
      <c r="E345" s="1003"/>
      <c r="F345" s="1003"/>
      <c r="G345" s="1003"/>
      <c r="H345" s="1003"/>
      <c r="I345" s="1003"/>
      <c r="J345" s="1003"/>
      <c r="K345" s="1003"/>
      <c r="L345" s="1003"/>
      <c r="M345" s="1003"/>
      <c r="N345" s="1040"/>
    </row>
    <row r="346" spans="1:14" ht="15" customHeight="1">
      <c r="A346" s="1002"/>
      <c r="B346" s="1003"/>
      <c r="C346" s="1003"/>
      <c r="D346" s="1003"/>
      <c r="E346" s="1003"/>
      <c r="F346" s="1003"/>
      <c r="G346" s="1003"/>
      <c r="H346" s="1003"/>
      <c r="I346" s="1003"/>
      <c r="J346" s="1003"/>
      <c r="K346" s="1003"/>
      <c r="L346" s="1003"/>
      <c r="M346" s="1003"/>
      <c r="N346" s="1040"/>
    </row>
    <row r="347" spans="1:14" ht="15.75" customHeight="1">
      <c r="A347" s="1002"/>
      <c r="B347" s="1003"/>
      <c r="C347" s="1003"/>
      <c r="D347" s="1003"/>
      <c r="E347" s="1003"/>
      <c r="F347" s="1003"/>
      <c r="G347" s="1003"/>
      <c r="H347" s="1003"/>
      <c r="I347" s="1003"/>
      <c r="J347" s="1003"/>
      <c r="K347" s="1003"/>
      <c r="L347" s="1003"/>
      <c r="M347" s="1003"/>
      <c r="N347" s="1040"/>
    </row>
    <row r="348" spans="1:14">
      <c r="A348" s="1041"/>
      <c r="B348" s="1042"/>
      <c r="C348" s="1042"/>
      <c r="D348" s="1042"/>
      <c r="E348" s="1042"/>
      <c r="F348" s="1042"/>
      <c r="G348" s="1042"/>
      <c r="H348" s="1042"/>
      <c r="I348" s="1042"/>
      <c r="J348" s="1042"/>
      <c r="K348" s="1042"/>
      <c r="L348" s="1042"/>
      <c r="M348" s="1042"/>
      <c r="N348" s="1043"/>
    </row>
    <row r="349" spans="1:14">
      <c r="A349" s="1037"/>
      <c r="B349" s="1038"/>
      <c r="C349" s="1038"/>
      <c r="D349" s="1038"/>
      <c r="E349" s="1038"/>
      <c r="F349" s="1038"/>
      <c r="G349" s="1038"/>
      <c r="H349" s="1038"/>
      <c r="I349" s="1038"/>
      <c r="J349" s="1038"/>
      <c r="K349" s="1038"/>
      <c r="L349" s="1038"/>
      <c r="M349" s="1038"/>
      <c r="N349" s="1039"/>
    </row>
    <row r="350" spans="1:14">
      <c r="A350" s="1002"/>
      <c r="B350" s="1003"/>
      <c r="C350" s="1003"/>
      <c r="D350" s="1003"/>
      <c r="E350" s="1003"/>
      <c r="F350" s="1003"/>
      <c r="G350" s="1003"/>
      <c r="H350" s="1003"/>
      <c r="I350" s="1003"/>
      <c r="J350" s="1003"/>
      <c r="K350" s="1003"/>
      <c r="L350" s="1003"/>
      <c r="M350" s="1003"/>
      <c r="N350" s="1040"/>
    </row>
    <row r="351" spans="1:14">
      <c r="A351" s="1002"/>
      <c r="B351" s="1003"/>
      <c r="C351" s="1003"/>
      <c r="D351" s="1003"/>
      <c r="E351" s="1003"/>
      <c r="F351" s="1003"/>
      <c r="G351" s="1003"/>
      <c r="H351" s="1003"/>
      <c r="I351" s="1003"/>
      <c r="J351" s="1003"/>
      <c r="K351" s="1003"/>
      <c r="L351" s="1003"/>
      <c r="M351" s="1003"/>
      <c r="N351" s="1040"/>
    </row>
    <row r="352" spans="1:14">
      <c r="A352" s="1002"/>
      <c r="B352" s="1003"/>
      <c r="C352" s="1003"/>
      <c r="D352" s="1003"/>
      <c r="E352" s="1003"/>
      <c r="F352" s="1003"/>
      <c r="G352" s="1003"/>
      <c r="H352" s="1003"/>
      <c r="I352" s="1003"/>
      <c r="J352" s="1003"/>
      <c r="K352" s="1003"/>
      <c r="L352" s="1003"/>
      <c r="M352" s="1003"/>
      <c r="N352" s="1040"/>
    </row>
    <row r="353" spans="1:18">
      <c r="A353" s="1041"/>
      <c r="B353" s="1042"/>
      <c r="C353" s="1042"/>
      <c r="D353" s="1042"/>
      <c r="E353" s="1042"/>
      <c r="F353" s="1042"/>
      <c r="G353" s="1042"/>
      <c r="H353" s="1042"/>
      <c r="I353" s="1042"/>
      <c r="J353" s="1042"/>
      <c r="K353" s="1042"/>
      <c r="L353" s="1042"/>
      <c r="M353" s="1042"/>
      <c r="N353" s="1043"/>
    </row>
    <row r="354" spans="1:18">
      <c r="A354" s="1037"/>
      <c r="B354" s="1038"/>
      <c r="C354" s="1038"/>
      <c r="D354" s="1038"/>
      <c r="E354" s="1038"/>
      <c r="F354" s="1038"/>
      <c r="G354" s="1038"/>
      <c r="H354" s="1038"/>
      <c r="I354" s="1038"/>
      <c r="J354" s="1038"/>
      <c r="K354" s="1038"/>
      <c r="L354" s="1038"/>
      <c r="M354" s="1038"/>
      <c r="N354" s="1039"/>
    </row>
    <row r="355" spans="1:18">
      <c r="A355" s="1002"/>
      <c r="B355" s="1003"/>
      <c r="C355" s="1003"/>
      <c r="D355" s="1003"/>
      <c r="E355" s="1003"/>
      <c r="F355" s="1003"/>
      <c r="G355" s="1003"/>
      <c r="H355" s="1003"/>
      <c r="I355" s="1003"/>
      <c r="J355" s="1003"/>
      <c r="K355" s="1003"/>
      <c r="L355" s="1003"/>
      <c r="M355" s="1003"/>
      <c r="N355" s="1040"/>
    </row>
    <row r="356" spans="1:18" ht="15.75" customHeight="1">
      <c r="A356" s="1002"/>
      <c r="B356" s="1003"/>
      <c r="C356" s="1003"/>
      <c r="D356" s="1003"/>
      <c r="E356" s="1003"/>
      <c r="F356" s="1003"/>
      <c r="G356" s="1003"/>
      <c r="H356" s="1003"/>
      <c r="I356" s="1003"/>
      <c r="J356" s="1003"/>
      <c r="K356" s="1003"/>
      <c r="L356" s="1003"/>
      <c r="M356" s="1003"/>
      <c r="N356" s="1040"/>
    </row>
    <row r="357" spans="1:18">
      <c r="A357" s="1002"/>
      <c r="B357" s="1003"/>
      <c r="C357" s="1003"/>
      <c r="D357" s="1003"/>
      <c r="E357" s="1003"/>
      <c r="F357" s="1003"/>
      <c r="G357" s="1003"/>
      <c r="H357" s="1003"/>
      <c r="I357" s="1003"/>
      <c r="J357" s="1003"/>
      <c r="K357" s="1003"/>
      <c r="L357" s="1003"/>
      <c r="M357" s="1003"/>
      <c r="N357" s="1040"/>
    </row>
    <row r="358" spans="1:18">
      <c r="A358" s="1041"/>
      <c r="B358" s="1042"/>
      <c r="C358" s="1042"/>
      <c r="D358" s="1042"/>
      <c r="E358" s="1042"/>
      <c r="F358" s="1042"/>
      <c r="G358" s="1042"/>
      <c r="H358" s="1042"/>
      <c r="I358" s="1042"/>
      <c r="J358" s="1042"/>
      <c r="K358" s="1042"/>
      <c r="L358" s="1042"/>
      <c r="M358" s="1042"/>
      <c r="N358" s="1043"/>
      <c r="P358" s="2"/>
      <c r="Q358" s="2"/>
      <c r="R358" s="2"/>
    </row>
    <row r="359" spans="1:18">
      <c r="A359" s="331"/>
      <c r="B359" s="86"/>
      <c r="C359" s="86"/>
      <c r="D359" s="86"/>
      <c r="E359" s="86"/>
      <c r="F359" s="86"/>
      <c r="G359" s="86"/>
      <c r="H359" s="86"/>
      <c r="I359" s="86"/>
      <c r="J359" s="86"/>
      <c r="K359" s="86"/>
      <c r="L359" s="86"/>
      <c r="M359" s="86"/>
      <c r="N359" s="325"/>
      <c r="P359" s="2"/>
      <c r="Q359" s="2"/>
      <c r="R359" s="2"/>
    </row>
    <row r="360" spans="1:18">
      <c r="A360" s="331"/>
      <c r="B360" s="86"/>
      <c r="C360" s="86"/>
      <c r="D360" s="86"/>
      <c r="E360" s="86"/>
      <c r="F360" s="86"/>
      <c r="G360" s="86"/>
      <c r="H360" s="86"/>
      <c r="I360" s="86"/>
      <c r="J360" s="86"/>
      <c r="K360" s="86"/>
      <c r="L360" s="86"/>
      <c r="M360" s="86"/>
      <c r="N360" s="325"/>
      <c r="O360" s="2"/>
    </row>
    <row r="361" spans="1:18" ht="15.75">
      <c r="A361" s="1044"/>
      <c r="B361" s="1045"/>
      <c r="C361" s="86"/>
      <c r="D361" s="86"/>
      <c r="E361" s="86"/>
      <c r="F361" s="86"/>
      <c r="G361" s="86"/>
      <c r="H361" s="86"/>
      <c r="I361" s="86"/>
      <c r="J361" s="86"/>
      <c r="K361" s="86"/>
      <c r="L361" s="86"/>
      <c r="M361" s="86"/>
      <c r="N361" s="325"/>
      <c r="O361" s="2"/>
      <c r="P361" s="2"/>
      <c r="Q361" s="2"/>
      <c r="R361" s="2"/>
    </row>
    <row r="362" spans="1:18">
      <c r="A362" s="331"/>
      <c r="B362" s="86"/>
      <c r="C362" s="86"/>
      <c r="D362" s="86"/>
      <c r="E362" s="86"/>
      <c r="F362" s="86"/>
      <c r="G362" s="86"/>
      <c r="H362" s="86"/>
      <c r="I362" s="86"/>
      <c r="J362" s="86"/>
      <c r="K362" s="86"/>
      <c r="L362" s="86"/>
      <c r="M362" s="86"/>
      <c r="N362" s="325"/>
      <c r="O362" s="4"/>
      <c r="P362" s="36"/>
      <c r="Q362" s="36"/>
      <c r="R362" s="36"/>
    </row>
    <row r="363" spans="1:18">
      <c r="A363" s="1046" t="s">
        <v>404</v>
      </c>
      <c r="B363" s="1047"/>
      <c r="C363" s="1047"/>
      <c r="D363" s="1047"/>
      <c r="E363" s="1047"/>
      <c r="F363" s="88" t="str">
        <f>C42</f>
        <v>NTTA DTTA VICTOR HUGO HERNANDEZ MARTINEZ MAT. 8904707</v>
      </c>
      <c r="G363" s="110"/>
      <c r="H363" s="110"/>
      <c r="I363" s="110"/>
      <c r="J363" s="110"/>
      <c r="K363" s="110"/>
      <c r="L363" s="110"/>
      <c r="M363" s="110"/>
      <c r="N363" s="431"/>
      <c r="O363" s="2"/>
      <c r="P363" s="2"/>
    </row>
    <row r="364" spans="1:18" ht="15" customHeight="1">
      <c r="A364" s="1048"/>
      <c r="B364" s="1030"/>
      <c r="C364" s="86"/>
      <c r="D364" s="86"/>
      <c r="E364" s="86"/>
      <c r="F364" s="86"/>
      <c r="G364" s="86"/>
      <c r="H364" s="86"/>
      <c r="I364" s="86"/>
      <c r="J364" s="86"/>
      <c r="K364" s="86"/>
      <c r="L364" s="86"/>
      <c r="M364" s="86"/>
      <c r="N364" s="325"/>
      <c r="O364" s="36"/>
      <c r="P364" s="2"/>
    </row>
    <row r="365" spans="1:18">
      <c r="A365" s="1046"/>
      <c r="B365" s="1047"/>
      <c r="C365" s="1047"/>
      <c r="D365" s="1047"/>
      <c r="E365" s="1047"/>
      <c r="F365" s="221"/>
      <c r="G365" s="221"/>
      <c r="H365" s="221"/>
      <c r="I365" s="221"/>
      <c r="J365" s="221"/>
      <c r="K365" s="221"/>
      <c r="L365" s="221"/>
      <c r="M365" s="221"/>
      <c r="N365" s="305"/>
      <c r="O365" s="2"/>
    </row>
    <row r="366" spans="1:18">
      <c r="A366" s="503"/>
      <c r="B366" s="504"/>
      <c r="C366" s="504"/>
      <c r="D366" s="504"/>
      <c r="E366" s="504"/>
      <c r="F366" s="221"/>
      <c r="G366" s="221"/>
      <c r="H366" s="221"/>
      <c r="I366" s="221"/>
      <c r="J366" s="221"/>
      <c r="K366" s="221"/>
      <c r="L366" s="221"/>
      <c r="M366" s="221"/>
      <c r="N366" s="305"/>
      <c r="O366" s="2"/>
    </row>
    <row r="367" spans="1:18">
      <c r="A367" s="351"/>
      <c r="B367" s="335"/>
      <c r="C367" s="335"/>
      <c r="D367" s="335"/>
      <c r="E367" s="335"/>
      <c r="F367" s="306"/>
      <c r="G367" s="306"/>
      <c r="H367" s="306"/>
      <c r="I367" s="306"/>
      <c r="J367" s="306"/>
      <c r="K367" s="306"/>
      <c r="L367" s="306"/>
      <c r="M367" s="306"/>
      <c r="N367" s="432"/>
      <c r="O367" s="4"/>
    </row>
    <row r="368" spans="1:18">
      <c r="A368" s="336"/>
      <c r="B368" s="343" t="s">
        <v>71</v>
      </c>
      <c r="C368" s="343"/>
      <c r="D368" s="343"/>
      <c r="E368" s="343"/>
      <c r="F368" s="344"/>
      <c r="G368" s="344"/>
      <c r="H368" s="344"/>
      <c r="I368" s="344"/>
      <c r="J368" s="344"/>
      <c r="K368" s="344"/>
      <c r="L368" s="344"/>
      <c r="M368" s="344"/>
      <c r="N368" s="345"/>
      <c r="O368" s="37"/>
    </row>
    <row r="369" spans="1:21">
      <c r="A369" s="337"/>
      <c r="B369" s="334" t="s">
        <v>471</v>
      </c>
      <c r="C369" s="334"/>
      <c r="D369" s="334"/>
      <c r="E369" s="334"/>
      <c r="F369" s="334"/>
      <c r="G369" s="334"/>
      <c r="H369" s="333"/>
      <c r="I369" s="333"/>
      <c r="J369" s="333"/>
      <c r="K369" s="333"/>
      <c r="L369" s="333"/>
      <c r="M369" s="333"/>
      <c r="N369" s="346"/>
    </row>
    <row r="370" spans="1:21">
      <c r="A370" s="1049" t="s">
        <v>1</v>
      </c>
      <c r="B370" s="1050"/>
      <c r="C370" s="1050"/>
      <c r="D370" s="1050"/>
      <c r="E370" s="1050"/>
      <c r="F370" s="1050"/>
      <c r="G370" s="1050"/>
      <c r="H370" s="1050"/>
      <c r="I370" s="1050"/>
      <c r="J370" s="1050"/>
      <c r="K370" s="1050"/>
      <c r="L370" s="1050"/>
      <c r="M370" s="1050"/>
      <c r="N370" s="1051"/>
    </row>
    <row r="371" spans="1:21">
      <c r="A371" s="1027" t="s">
        <v>472</v>
      </c>
      <c r="B371" s="1028"/>
      <c r="C371" s="1028"/>
      <c r="D371" s="1028"/>
      <c r="E371" s="1028"/>
      <c r="F371" s="1028"/>
      <c r="G371" s="1028"/>
      <c r="H371" s="1028"/>
      <c r="I371" s="1028"/>
      <c r="J371" s="1028"/>
      <c r="K371" s="1028"/>
      <c r="L371" s="1028"/>
      <c r="M371" s="1028"/>
      <c r="N371" s="1029"/>
      <c r="O371" s="497">
        <v>8</v>
      </c>
    </row>
    <row r="372" spans="1:21">
      <c r="A372" s="338" t="s">
        <v>473</v>
      </c>
      <c r="B372" s="1030" t="s">
        <v>474</v>
      </c>
      <c r="C372" s="1030"/>
      <c r="D372" s="1030"/>
      <c r="E372" s="86"/>
      <c r="F372" s="86"/>
      <c r="G372" s="86"/>
      <c r="H372" s="86" t="s">
        <v>396</v>
      </c>
      <c r="I372" s="460"/>
      <c r="J372" s="460"/>
      <c r="K372" s="460"/>
      <c r="L372" s="86"/>
      <c r="M372" s="86"/>
      <c r="N372" s="347"/>
      <c r="O372" s="497">
        <v>7</v>
      </c>
    </row>
    <row r="373" spans="1:21">
      <c r="A373" s="459" t="s">
        <v>475</v>
      </c>
      <c r="B373" s="1030"/>
      <c r="C373" s="1030"/>
      <c r="D373" s="1030"/>
      <c r="E373" s="1030"/>
      <c r="F373" s="1030"/>
      <c r="G373" s="1030"/>
      <c r="H373" s="1030"/>
      <c r="I373" s="1030"/>
      <c r="J373" s="1030"/>
      <c r="K373" s="1030"/>
      <c r="L373" s="1030"/>
      <c r="M373" s="1030"/>
      <c r="N373" s="325"/>
      <c r="O373" s="497">
        <v>6</v>
      </c>
      <c r="P373" s="2"/>
      <c r="Q373" s="2"/>
      <c r="R373" s="2"/>
      <c r="S373" s="2"/>
      <c r="T373" s="2"/>
      <c r="U373" s="2"/>
    </row>
    <row r="374" spans="1:21" ht="15.75" thickBot="1">
      <c r="A374" s="339" t="s">
        <v>291</v>
      </c>
      <c r="B374" s="1030"/>
      <c r="C374" s="1030"/>
      <c r="D374" s="1030"/>
      <c r="E374" s="1030"/>
      <c r="F374" s="86"/>
      <c r="G374" s="86" t="s">
        <v>476</v>
      </c>
      <c r="H374" s="461">
        <v>8</v>
      </c>
      <c r="I374" s="444"/>
      <c r="J374" s="86" t="s">
        <v>477</v>
      </c>
      <c r="K374" s="86"/>
      <c r="L374" s="86"/>
      <c r="M374" s="86"/>
      <c r="N374" s="325"/>
      <c r="O374" s="497">
        <v>5</v>
      </c>
      <c r="P374" s="633" t="s">
        <v>576</v>
      </c>
      <c r="Q374" s="213"/>
      <c r="R374" s="213"/>
      <c r="S374" s="213"/>
      <c r="T374" s="2"/>
      <c r="U374" s="2"/>
    </row>
    <row r="375" spans="1:21" ht="15" customHeight="1" thickBot="1">
      <c r="A375" s="340" t="s">
        <v>480</v>
      </c>
      <c r="B375" s="311"/>
      <c r="C375" s="623"/>
      <c r="D375" s="623"/>
      <c r="E375" s="623"/>
      <c r="F375" s="624"/>
      <c r="G375" s="624"/>
      <c r="H375" s="624"/>
      <c r="I375" s="624"/>
      <c r="J375" s="625"/>
      <c r="K375" s="1268" t="s">
        <v>15</v>
      </c>
      <c r="L375" s="1269"/>
      <c r="M375" s="1269"/>
      <c r="N375" s="1270"/>
      <c r="O375" s="497">
        <v>4</v>
      </c>
      <c r="P375" s="213" t="s">
        <v>577</v>
      </c>
      <c r="Q375" s="213"/>
      <c r="R375" s="213"/>
      <c r="S375" s="213"/>
      <c r="T375" s="2"/>
      <c r="U375" s="2"/>
    </row>
    <row r="376" spans="1:21" ht="15" customHeight="1">
      <c r="A376" s="620"/>
      <c r="B376" s="615"/>
      <c r="C376" s="615"/>
      <c r="D376" s="615"/>
      <c r="E376" s="615"/>
      <c r="F376" s="302"/>
      <c r="G376" s="302"/>
      <c r="H376" s="302"/>
      <c r="I376" s="302"/>
      <c r="J376" s="302"/>
      <c r="K376" s="1271" t="s">
        <v>571</v>
      </c>
      <c r="L376" s="1271"/>
      <c r="M376" s="622" t="s">
        <v>572</v>
      </c>
      <c r="N376" s="622" t="s">
        <v>573</v>
      </c>
      <c r="O376" s="497"/>
      <c r="P376" s="215" t="s">
        <v>578</v>
      </c>
      <c r="Q376" s="281"/>
      <c r="R376" s="215"/>
      <c r="S376" s="215"/>
    </row>
    <row r="377" spans="1:21" ht="15.75" thickBot="1">
      <c r="A377" s="331" t="s">
        <v>481</v>
      </c>
      <c r="B377" s="86"/>
      <c r="C377" s="86"/>
      <c r="D377" s="86"/>
      <c r="E377" s="86"/>
      <c r="F377" s="302"/>
      <c r="G377" s="621"/>
      <c r="H377" s="302" t="s">
        <v>402</v>
      </c>
      <c r="I377" s="302"/>
      <c r="J377" s="303"/>
      <c r="K377" s="302"/>
      <c r="L377" s="303"/>
      <c r="M377" s="303"/>
      <c r="N377" s="303"/>
      <c r="O377" s="497" t="s">
        <v>478</v>
      </c>
    </row>
    <row r="378" spans="1:21">
      <c r="A378" s="331" t="s">
        <v>482</v>
      </c>
      <c r="B378" s="86"/>
      <c r="C378" s="86"/>
      <c r="D378" s="1030" t="s">
        <v>582</v>
      </c>
      <c r="E378" s="1030"/>
      <c r="F378" s="1030"/>
      <c r="G378" s="1030"/>
      <c r="H378" s="1030"/>
      <c r="I378" s="1030"/>
      <c r="J378" s="1261"/>
      <c r="K378" s="1272" t="s">
        <v>405</v>
      </c>
      <c r="L378" s="1273"/>
      <c r="M378" s="425"/>
      <c r="N378" s="425"/>
      <c r="O378" s="498" t="s">
        <v>479</v>
      </c>
    </row>
    <row r="379" spans="1:21" ht="15.75" thickBot="1">
      <c r="A379" s="331" t="s">
        <v>483</v>
      </c>
      <c r="B379" s="86"/>
      <c r="C379" s="86"/>
      <c r="D379" s="316"/>
      <c r="E379" s="86"/>
      <c r="F379" s="302"/>
      <c r="G379" s="302"/>
      <c r="H379" s="302"/>
      <c r="I379" s="302"/>
      <c r="J379" s="303"/>
      <c r="K379" s="1272"/>
      <c r="L379" s="1273"/>
      <c r="M379" s="303"/>
      <c r="N379" s="303"/>
      <c r="O379" s="498">
        <v>2</v>
      </c>
    </row>
    <row r="380" spans="1:21" ht="15.75" thickBot="1">
      <c r="A380" s="331" t="s">
        <v>484</v>
      </c>
      <c r="B380" s="86"/>
      <c r="C380" s="86"/>
      <c r="D380" s="313"/>
      <c r="E380" s="86"/>
      <c r="F380" s="302"/>
      <c r="G380" s="302"/>
      <c r="H380" s="302"/>
      <c r="I380" s="302"/>
      <c r="J380" s="303"/>
      <c r="K380" s="1272"/>
      <c r="L380" s="1273"/>
      <c r="M380" s="303"/>
      <c r="N380" s="303"/>
      <c r="O380" s="32"/>
    </row>
    <row r="381" spans="1:21" ht="15.75" thickBot="1">
      <c r="A381" s="331" t="s">
        <v>485</v>
      </c>
      <c r="B381" s="86"/>
      <c r="C381" s="316"/>
      <c r="D381" s="86"/>
      <c r="E381" s="86"/>
      <c r="F381" s="302"/>
      <c r="G381" s="302"/>
      <c r="H381" s="302"/>
      <c r="I381" s="302"/>
      <c r="J381" s="303"/>
      <c r="K381" s="1274"/>
      <c r="L381" s="1275"/>
      <c r="M381" s="303"/>
      <c r="N381" s="303"/>
      <c r="O381" s="32"/>
    </row>
    <row r="382" spans="1:21" ht="15.75" thickBot="1">
      <c r="A382" s="332" t="s">
        <v>486</v>
      </c>
      <c r="B382" s="313"/>
      <c r="C382" s="313"/>
      <c r="D382" s="313"/>
      <c r="E382" s="313"/>
      <c r="F382" s="312"/>
      <c r="G382" s="312"/>
      <c r="H382" s="312"/>
      <c r="I382" s="312"/>
      <c r="J382" s="312"/>
      <c r="K382" s="312"/>
      <c r="L382" s="312"/>
      <c r="M382" s="312"/>
      <c r="N382" s="348"/>
      <c r="O382" s="33"/>
    </row>
    <row r="383" spans="1:21" ht="15.75" thickBot="1">
      <c r="A383" s="331" t="s">
        <v>487</v>
      </c>
      <c r="B383" s="313"/>
      <c r="C383" s="1262" t="s">
        <v>580</v>
      </c>
      <c r="D383" s="1262"/>
      <c r="E383" s="1262"/>
      <c r="F383" s="1262"/>
      <c r="G383" s="1262"/>
      <c r="H383" s="1262"/>
      <c r="I383" s="1262"/>
      <c r="J383" s="1263"/>
      <c r="K383" s="1276"/>
      <c r="L383" s="1277"/>
      <c r="M383" s="634" t="s">
        <v>405</v>
      </c>
      <c r="N383" s="320"/>
      <c r="O383" s="33"/>
      <c r="P383" s="215" t="s">
        <v>579</v>
      </c>
      <c r="Q383" s="215"/>
      <c r="R383" s="215"/>
      <c r="S383" s="215"/>
    </row>
    <row r="384" spans="1:21" ht="15" customHeight="1" thickBot="1">
      <c r="A384" s="331" t="s">
        <v>488</v>
      </c>
      <c r="B384" s="313"/>
      <c r="C384" s="86"/>
      <c r="D384" s="86"/>
      <c r="E384" s="86"/>
      <c r="F384" s="464"/>
      <c r="G384" s="464"/>
      <c r="H384" s="464"/>
      <c r="I384" s="464"/>
      <c r="J384" s="465"/>
      <c r="K384" s="464"/>
      <c r="L384" s="465"/>
      <c r="M384" s="321"/>
      <c r="N384" s="321"/>
      <c r="O384" s="33"/>
      <c r="P384" s="215" t="s">
        <v>580</v>
      </c>
      <c r="Q384" s="215"/>
      <c r="R384" s="215"/>
      <c r="S384" s="215"/>
    </row>
    <row r="385" spans="1:19" ht="15.75" thickBot="1">
      <c r="A385" s="472" t="s">
        <v>489</v>
      </c>
      <c r="B385" s="311"/>
      <c r="C385" s="473"/>
      <c r="D385" s="473"/>
      <c r="E385" s="473"/>
      <c r="F385" s="221"/>
      <c r="G385" s="221"/>
      <c r="H385" s="221"/>
      <c r="I385" s="221"/>
      <c r="J385" s="305"/>
      <c r="K385" s="1278"/>
      <c r="L385" s="1279"/>
      <c r="M385" s="626"/>
      <c r="N385" s="626"/>
      <c r="O385" s="33"/>
      <c r="P385" s="215" t="s">
        <v>581</v>
      </c>
      <c r="Q385" s="215"/>
      <c r="R385" s="215"/>
      <c r="S385" s="215"/>
    </row>
    <row r="386" spans="1:19" ht="15.75" thickBot="1">
      <c r="A386" s="332" t="s">
        <v>490</v>
      </c>
      <c r="B386" s="314"/>
      <c r="C386" s="314"/>
      <c r="D386" s="313"/>
      <c r="E386" s="313"/>
      <c r="F386" s="315"/>
      <c r="G386" s="315"/>
      <c r="H386" s="315"/>
      <c r="I386" s="315"/>
      <c r="J386" s="315"/>
      <c r="K386" s="315"/>
      <c r="L386" s="315"/>
      <c r="M386" s="315"/>
      <c r="N386" s="349"/>
      <c r="O386" s="37"/>
    </row>
    <row r="387" spans="1:19" ht="15.75" thickBot="1">
      <c r="A387" s="331" t="s">
        <v>491</v>
      </c>
      <c r="B387" s="86"/>
      <c r="C387" s="313" t="s">
        <v>403</v>
      </c>
      <c r="D387" s="1262"/>
      <c r="E387" s="1262"/>
      <c r="F387" s="1262"/>
      <c r="G387" s="1262"/>
      <c r="H387" s="1262"/>
      <c r="I387" s="1262"/>
      <c r="J387" s="1263"/>
      <c r="K387" s="1280" t="str">
        <f>C387</f>
        <v>x</v>
      </c>
      <c r="L387" s="1281"/>
      <c r="M387" s="326"/>
      <c r="N387" s="326"/>
      <c r="O387" s="37"/>
      <c r="P387" s="1" t="s">
        <v>583</v>
      </c>
    </row>
    <row r="388" spans="1:19">
      <c r="A388" s="331" t="s">
        <v>488</v>
      </c>
      <c r="B388" s="86"/>
      <c r="C388" s="636"/>
      <c r="D388" s="86"/>
      <c r="E388" s="1030"/>
      <c r="F388" s="1030"/>
      <c r="G388" s="1030"/>
      <c r="H388" s="1030"/>
      <c r="I388" s="1030"/>
      <c r="J388" s="1261"/>
      <c r="K388" s="1267"/>
      <c r="L388" s="1237"/>
      <c r="M388" s="626">
        <f>C388</f>
        <v>0</v>
      </c>
      <c r="N388" s="304"/>
      <c r="O388" s="33"/>
      <c r="P388" s="1" t="s">
        <v>584</v>
      </c>
    </row>
    <row r="389" spans="1:19" ht="15" customHeight="1" thickBot="1">
      <c r="A389" s="331" t="s">
        <v>489</v>
      </c>
      <c r="B389" s="316"/>
      <c r="C389" s="86"/>
      <c r="D389" s="86"/>
      <c r="E389" s="86"/>
      <c r="F389" s="221"/>
      <c r="G389" s="221"/>
      <c r="H389" s="221"/>
      <c r="I389" s="221"/>
      <c r="J389" s="305"/>
      <c r="K389" s="1267"/>
      <c r="L389" s="1237"/>
      <c r="M389" s="322"/>
      <c r="N389" s="322"/>
      <c r="O389" s="33"/>
    </row>
    <row r="390" spans="1:19">
      <c r="A390" s="341" t="s">
        <v>492</v>
      </c>
      <c r="B390" s="166"/>
      <c r="C390" s="166"/>
      <c r="D390" s="86"/>
      <c r="E390" s="86"/>
      <c r="F390" s="86"/>
      <c r="G390" s="86"/>
      <c r="H390" s="86"/>
      <c r="I390" s="86"/>
      <c r="J390" s="325"/>
      <c r="K390" s="1048"/>
      <c r="L390" s="1261"/>
      <c r="M390" s="327"/>
      <c r="N390" s="635">
        <f>B389</f>
        <v>0</v>
      </c>
      <c r="O390" s="33"/>
    </row>
    <row r="391" spans="1:19" ht="15.75" thickBot="1">
      <c r="A391" s="472" t="s">
        <v>493</v>
      </c>
      <c r="B391" s="473"/>
      <c r="C391" s="473"/>
      <c r="D391" s="317"/>
      <c r="E391" s="473"/>
      <c r="F391" s="221"/>
      <c r="G391" s="221"/>
      <c r="H391" s="221"/>
      <c r="I391" s="221"/>
      <c r="J391" s="305"/>
      <c r="K391" s="1267"/>
      <c r="L391" s="1237"/>
      <c r="M391" s="322"/>
      <c r="N391" s="322"/>
      <c r="O391" s="38"/>
    </row>
    <row r="392" spans="1:19" ht="15.75" thickBot="1">
      <c r="A392" s="331" t="s">
        <v>494</v>
      </c>
      <c r="B392" s="86"/>
      <c r="C392" s="86"/>
      <c r="D392" s="316"/>
      <c r="E392" s="86"/>
      <c r="F392" s="221"/>
      <c r="G392" s="221"/>
      <c r="H392" s="221"/>
      <c r="I392" s="221"/>
      <c r="J392" s="305"/>
      <c r="K392" s="1267"/>
      <c r="L392" s="1237"/>
      <c r="M392" s="322"/>
      <c r="N392" s="322"/>
      <c r="O392" s="38"/>
    </row>
    <row r="393" spans="1:19" ht="15.75" thickBot="1">
      <c r="A393" s="331" t="s">
        <v>495</v>
      </c>
      <c r="B393" s="86"/>
      <c r="C393" s="86"/>
      <c r="D393" s="316"/>
      <c r="E393" s="86"/>
      <c r="F393" s="221"/>
      <c r="G393" s="221"/>
      <c r="H393" s="221"/>
      <c r="I393" s="221"/>
      <c r="J393" s="305"/>
      <c r="K393" s="1267"/>
      <c r="L393" s="1237"/>
      <c r="M393" s="322"/>
      <c r="N393" s="322"/>
      <c r="O393" s="38"/>
    </row>
    <row r="394" spans="1:19" ht="15.75" thickBot="1">
      <c r="A394" s="331" t="s">
        <v>496</v>
      </c>
      <c r="B394" s="86"/>
      <c r="C394" s="86"/>
      <c r="D394" s="316"/>
      <c r="E394" s="86"/>
      <c r="F394" s="221"/>
      <c r="G394" s="221"/>
      <c r="H394" s="221"/>
      <c r="I394" s="221"/>
      <c r="J394" s="305"/>
      <c r="K394" s="1267"/>
      <c r="L394" s="1237"/>
      <c r="M394" s="322"/>
      <c r="N394" s="322"/>
      <c r="O394" s="38"/>
    </row>
    <row r="395" spans="1:19" ht="15.75" thickBot="1">
      <c r="A395" s="331" t="s">
        <v>497</v>
      </c>
      <c r="B395" s="86"/>
      <c r="C395" s="86"/>
      <c r="D395" s="316"/>
      <c r="E395" s="86"/>
      <c r="F395" s="221"/>
      <c r="G395" s="221"/>
      <c r="H395" s="221"/>
      <c r="I395" s="221"/>
      <c r="J395" s="305"/>
      <c r="K395" s="1267"/>
      <c r="L395" s="1237"/>
      <c r="M395" s="322"/>
      <c r="N395" s="322"/>
      <c r="O395" s="38"/>
    </row>
    <row r="396" spans="1:19" ht="15.75" thickBot="1">
      <c r="A396" s="331"/>
      <c r="B396" s="86"/>
      <c r="C396" s="86"/>
      <c r="D396" s="86"/>
      <c r="E396" s="86"/>
      <c r="F396" s="221"/>
      <c r="G396" s="221"/>
      <c r="H396" s="221"/>
      <c r="I396" s="221"/>
      <c r="J396" s="319"/>
      <c r="K396" s="221"/>
      <c r="L396" s="319"/>
      <c r="M396" s="323"/>
      <c r="N396" s="323"/>
      <c r="O396" s="38"/>
    </row>
    <row r="397" spans="1:19" ht="15.75" thickBot="1">
      <c r="A397" s="332" t="s">
        <v>498</v>
      </c>
      <c r="B397" s="314"/>
      <c r="C397" s="314"/>
      <c r="D397" s="314"/>
      <c r="E397" s="314"/>
      <c r="F397" s="315"/>
      <c r="G397" s="315"/>
      <c r="H397" s="315"/>
      <c r="I397" s="315"/>
      <c r="J397" s="315"/>
      <c r="K397" s="315"/>
      <c r="L397" s="315"/>
      <c r="M397" s="315"/>
      <c r="N397" s="349"/>
    </row>
    <row r="398" spans="1:19">
      <c r="A398" s="331" t="s">
        <v>499</v>
      </c>
      <c r="B398" s="86"/>
      <c r="C398" s="86"/>
      <c r="D398" s="86"/>
      <c r="E398" s="86"/>
      <c r="F398" s="86"/>
      <c r="G398" s="86"/>
      <c r="H398" s="86"/>
      <c r="I398" s="86"/>
      <c r="J398" s="328"/>
      <c r="K398" s="86"/>
      <c r="L398" s="328"/>
      <c r="M398" s="330"/>
      <c r="N398" s="330"/>
    </row>
    <row r="399" spans="1:19" ht="15.75" thickBot="1">
      <c r="A399" s="342" t="s">
        <v>500</v>
      </c>
      <c r="B399" s="316"/>
      <c r="C399" s="310" t="s">
        <v>549</v>
      </c>
      <c r="D399" s="316"/>
      <c r="E399" s="310" t="s">
        <v>501</v>
      </c>
      <c r="F399" s="316"/>
      <c r="G399" s="310" t="s">
        <v>502</v>
      </c>
      <c r="H399" s="316"/>
      <c r="I399" s="86"/>
      <c r="J399" s="325"/>
      <c r="K399" s="1048"/>
      <c r="L399" s="1261"/>
      <c r="M399" s="327"/>
      <c r="N399" s="327"/>
    </row>
    <row r="400" spans="1:19">
      <c r="A400" s="342" t="s">
        <v>503</v>
      </c>
      <c r="B400" s="86"/>
      <c r="C400" s="86"/>
      <c r="D400" s="86"/>
      <c r="E400" s="86"/>
      <c r="F400" s="86"/>
      <c r="G400" s="86"/>
      <c r="H400" s="86"/>
      <c r="I400" s="86"/>
      <c r="J400" s="325"/>
      <c r="K400" s="1048"/>
      <c r="L400" s="1261"/>
      <c r="M400" s="327"/>
      <c r="N400" s="327"/>
    </row>
    <row r="401" spans="1:15">
      <c r="A401" s="342"/>
      <c r="B401" s="343"/>
      <c r="C401" s="86"/>
      <c r="D401" s="86"/>
      <c r="E401" s="86"/>
      <c r="F401" s="86"/>
      <c r="G401" s="86"/>
      <c r="H401" s="86"/>
      <c r="I401" s="86"/>
      <c r="J401" s="325"/>
      <c r="K401" s="86"/>
      <c r="L401" s="325"/>
      <c r="M401" s="327"/>
      <c r="N401" s="327"/>
      <c r="O401" s="33"/>
    </row>
    <row r="402" spans="1:15" ht="15.75" thickBot="1">
      <c r="A402" s="342"/>
      <c r="B402" s="316"/>
      <c r="C402" s="86"/>
      <c r="D402" s="86"/>
      <c r="E402" s="86"/>
      <c r="F402" s="86"/>
      <c r="G402" s="86"/>
      <c r="H402" s="86"/>
      <c r="I402" s="86"/>
      <c r="J402" s="329"/>
      <c r="K402" s="86"/>
      <c r="L402" s="329"/>
      <c r="M402" s="308"/>
      <c r="N402" s="308"/>
    </row>
    <row r="403" spans="1:15" ht="15.75" thickBot="1">
      <c r="A403" s="332" t="s">
        <v>504</v>
      </c>
      <c r="B403" s="314"/>
      <c r="C403" s="314"/>
      <c r="D403" s="313"/>
      <c r="E403" s="313"/>
      <c r="F403" s="313"/>
      <c r="G403" s="313"/>
      <c r="H403" s="313"/>
      <c r="I403" s="313"/>
      <c r="J403" s="313"/>
      <c r="K403" s="313"/>
      <c r="L403" s="313"/>
      <c r="M403" s="313"/>
      <c r="N403" s="350"/>
    </row>
    <row r="404" spans="1:15">
      <c r="A404" s="331" t="s">
        <v>510</v>
      </c>
      <c r="B404" s="86"/>
      <c r="C404" s="86"/>
      <c r="D404" s="86"/>
      <c r="E404" s="86"/>
      <c r="F404" s="86"/>
      <c r="G404" s="86"/>
      <c r="H404" s="86"/>
      <c r="I404" s="86"/>
      <c r="J404" s="328"/>
      <c r="K404" s="86"/>
      <c r="L404" s="328"/>
      <c r="M404" s="330"/>
      <c r="N404" s="330"/>
    </row>
    <row r="405" spans="1:15">
      <c r="A405" s="331" t="s">
        <v>505</v>
      </c>
      <c r="B405" s="86"/>
      <c r="C405" s="86"/>
      <c r="D405" s="86"/>
      <c r="E405" s="86"/>
      <c r="F405" s="86"/>
      <c r="G405" s="86"/>
      <c r="H405" s="86"/>
      <c r="I405" s="86"/>
      <c r="J405" s="325"/>
      <c r="K405" s="86"/>
      <c r="L405" s="325"/>
      <c r="M405" s="327"/>
      <c r="N405" s="327"/>
    </row>
    <row r="406" spans="1:15" ht="15.75" thickBot="1">
      <c r="A406" s="354" t="s">
        <v>500</v>
      </c>
      <c r="B406" s="316"/>
      <c r="C406" s="86"/>
      <c r="D406" s="86"/>
      <c r="E406" s="86"/>
      <c r="F406" s="86"/>
      <c r="G406" s="86"/>
      <c r="H406" s="86"/>
      <c r="I406" s="86"/>
      <c r="J406" s="325"/>
      <c r="K406" s="1048"/>
      <c r="L406" s="1261"/>
      <c r="M406" s="327"/>
      <c r="N406" s="327"/>
    </row>
    <row r="407" spans="1:15" ht="15.75" thickBot="1">
      <c r="A407" s="354" t="s">
        <v>506</v>
      </c>
      <c r="B407" s="316"/>
      <c r="C407" s="86"/>
      <c r="D407" s="86"/>
      <c r="E407" s="86"/>
      <c r="F407" s="86"/>
      <c r="G407" s="86"/>
      <c r="H407" s="86"/>
      <c r="I407" s="86"/>
      <c r="J407" s="325"/>
      <c r="K407" s="1048"/>
      <c r="L407" s="1261"/>
      <c r="M407" s="327"/>
      <c r="N407" s="327"/>
    </row>
    <row r="408" spans="1:15" ht="15.75" thickBot="1">
      <c r="A408" s="354" t="s">
        <v>311</v>
      </c>
      <c r="B408" s="316"/>
      <c r="C408" s="86"/>
      <c r="D408" s="86"/>
      <c r="E408" s="86"/>
      <c r="F408" s="86"/>
      <c r="G408" s="86"/>
      <c r="H408" s="86"/>
      <c r="I408" s="86"/>
      <c r="J408" s="325"/>
      <c r="K408" s="1048"/>
      <c r="L408" s="1261"/>
      <c r="M408" s="327"/>
      <c r="N408" s="327"/>
    </row>
    <row r="409" spans="1:15">
      <c r="A409" s="331" t="s">
        <v>507</v>
      </c>
      <c r="B409" s="86"/>
      <c r="C409" s="86"/>
      <c r="D409" s="86"/>
      <c r="E409" s="86"/>
      <c r="F409" s="86"/>
      <c r="G409" s="86"/>
      <c r="H409" s="86"/>
      <c r="I409" s="86"/>
      <c r="J409" s="325"/>
      <c r="K409" s="1048"/>
      <c r="L409" s="1261"/>
      <c r="M409" s="327"/>
      <c r="N409" s="327"/>
    </row>
    <row r="410" spans="1:15" ht="15.75" thickBot="1">
      <c r="A410" s="342" t="s">
        <v>508</v>
      </c>
      <c r="B410" s="316"/>
      <c r="C410" s="86"/>
      <c r="D410" s="86"/>
      <c r="E410" s="86"/>
      <c r="F410" s="86"/>
      <c r="G410" s="86"/>
      <c r="H410" s="86"/>
      <c r="I410" s="86"/>
      <c r="J410" s="325"/>
      <c r="K410" s="86"/>
      <c r="L410" s="325"/>
      <c r="M410" s="327"/>
      <c r="N410" s="327"/>
    </row>
    <row r="411" spans="1:15" ht="15.75" thickBot="1">
      <c r="A411" s="342" t="s">
        <v>488</v>
      </c>
      <c r="B411" s="316"/>
      <c r="C411" s="86"/>
      <c r="D411" s="86"/>
      <c r="E411" s="86"/>
      <c r="F411" s="86"/>
      <c r="G411" s="86"/>
      <c r="H411" s="86"/>
      <c r="I411" s="86"/>
      <c r="J411" s="325"/>
      <c r="K411" s="1048"/>
      <c r="L411" s="1261"/>
      <c r="M411" s="327"/>
      <c r="N411" s="327"/>
    </row>
    <row r="412" spans="1:15">
      <c r="A412" s="351" t="s">
        <v>509</v>
      </c>
      <c r="B412" s="335"/>
      <c r="C412" s="335"/>
      <c r="D412" s="335"/>
      <c r="E412" s="335"/>
      <c r="F412" s="335"/>
      <c r="G412" s="335"/>
      <c r="H412" s="335"/>
      <c r="I412" s="335"/>
      <c r="J412" s="352"/>
      <c r="K412" s="1234"/>
      <c r="L412" s="1264"/>
      <c r="M412" s="307"/>
      <c r="N412" s="307"/>
    </row>
    <row r="413" spans="1:15">
      <c r="A413" s="336"/>
      <c r="B413" s="343" t="s">
        <v>71</v>
      </c>
      <c r="C413" s="343"/>
      <c r="D413" s="343"/>
      <c r="E413" s="343"/>
      <c r="F413" s="344"/>
      <c r="G413" s="344"/>
      <c r="H413" s="344"/>
      <c r="I413" s="344"/>
      <c r="J413" s="344"/>
      <c r="K413" s="344"/>
      <c r="L413" s="344"/>
      <c r="M413" s="344"/>
      <c r="N413" s="345"/>
    </row>
    <row r="414" spans="1:15">
      <c r="A414" s="337"/>
      <c r="B414" s="334" t="s">
        <v>471</v>
      </c>
      <c r="C414" s="334"/>
      <c r="D414" s="334"/>
      <c r="E414" s="334"/>
      <c r="F414" s="334"/>
      <c r="G414" s="334"/>
      <c r="H414" s="333"/>
      <c r="I414" s="333"/>
      <c r="J414" s="333"/>
      <c r="K414" s="333"/>
      <c r="L414" s="333"/>
      <c r="M414" s="333"/>
      <c r="N414" s="346"/>
    </row>
    <row r="415" spans="1:15">
      <c r="A415" s="629" t="s">
        <v>511</v>
      </c>
      <c r="B415" s="630"/>
      <c r="C415" s="630"/>
      <c r="D415" s="630"/>
      <c r="E415" s="353"/>
      <c r="F415" s="353"/>
      <c r="G415" s="353"/>
      <c r="H415" s="353"/>
      <c r="I415" s="353"/>
      <c r="J415" s="353"/>
      <c r="K415" s="617"/>
      <c r="L415" s="618"/>
      <c r="M415" s="637" t="s">
        <v>15</v>
      </c>
      <c r="N415" s="619"/>
    </row>
    <row r="416" spans="1:15">
      <c r="A416" s="331"/>
      <c r="B416" s="86"/>
      <c r="C416" s="86"/>
      <c r="D416" s="86"/>
      <c r="E416" s="86"/>
      <c r="F416" s="86"/>
      <c r="G416" s="86"/>
      <c r="H416" s="86"/>
      <c r="I416" s="86"/>
      <c r="J416" s="86"/>
      <c r="K416" s="628"/>
      <c r="L416" s="628" t="s">
        <v>571</v>
      </c>
      <c r="M416" s="103" t="s">
        <v>572</v>
      </c>
      <c r="N416" s="103" t="s">
        <v>573</v>
      </c>
    </row>
    <row r="417" spans="1:14">
      <c r="A417" s="331" t="s">
        <v>512</v>
      </c>
      <c r="B417" s="86"/>
      <c r="C417" s="86"/>
      <c r="D417" s="86"/>
      <c r="E417" s="86"/>
      <c r="F417" s="86"/>
      <c r="G417" s="86"/>
      <c r="H417" s="86"/>
      <c r="I417" s="86"/>
      <c r="J417" s="86"/>
      <c r="K417" s="338"/>
      <c r="L417" s="86"/>
      <c r="M417" s="338"/>
      <c r="N417" s="127"/>
    </row>
    <row r="418" spans="1:14">
      <c r="A418" s="331" t="s">
        <v>513</v>
      </c>
      <c r="B418" s="335"/>
      <c r="C418" s="86"/>
      <c r="D418" s="86"/>
      <c r="E418" s="86"/>
      <c r="F418" s="86"/>
      <c r="G418" s="86"/>
      <c r="H418" s="86"/>
      <c r="I418" s="86"/>
      <c r="J418" s="86"/>
      <c r="K418" s="1048"/>
      <c r="L418" s="1261"/>
      <c r="M418" s="331"/>
      <c r="N418" s="327"/>
    </row>
    <row r="419" spans="1:14">
      <c r="A419" s="331" t="s">
        <v>515</v>
      </c>
      <c r="B419" s="335"/>
      <c r="C419" s="86"/>
      <c r="D419" s="86"/>
      <c r="E419" s="86"/>
      <c r="F419" s="86"/>
      <c r="G419" s="86"/>
      <c r="H419" s="86"/>
      <c r="I419" s="86"/>
      <c r="J419" s="86"/>
      <c r="K419" s="616"/>
      <c r="L419" s="614"/>
      <c r="M419" s="331"/>
      <c r="N419" s="327"/>
    </row>
    <row r="420" spans="1:14">
      <c r="A420" s="331" t="s">
        <v>514</v>
      </c>
      <c r="B420" s="335"/>
      <c r="C420" s="86"/>
      <c r="D420" s="86"/>
      <c r="E420" s="86"/>
      <c r="F420" s="86"/>
      <c r="G420" s="86"/>
      <c r="H420" s="86"/>
      <c r="I420" s="86"/>
      <c r="J420" s="86"/>
      <c r="K420" s="616"/>
      <c r="L420" s="614"/>
      <c r="M420" s="331"/>
      <c r="N420" s="327"/>
    </row>
    <row r="421" spans="1:14">
      <c r="A421" s="335"/>
      <c r="B421" s="353"/>
      <c r="C421" s="335"/>
      <c r="D421" s="335"/>
      <c r="E421" s="335"/>
      <c r="F421" s="335"/>
      <c r="G421" s="335"/>
      <c r="H421" s="335"/>
      <c r="I421" s="335"/>
      <c r="J421" s="335"/>
      <c r="K421" s="1234"/>
      <c r="L421" s="1264"/>
      <c r="M421" s="351"/>
      <c r="N421" s="307"/>
    </row>
    <row r="422" spans="1:14">
      <c r="A422" s="341" t="s">
        <v>516</v>
      </c>
      <c r="B422" s="166"/>
      <c r="C422" s="166"/>
      <c r="D422" s="166"/>
      <c r="E422" s="86"/>
      <c r="F422" s="86"/>
      <c r="G422" s="86"/>
      <c r="H422" s="86"/>
      <c r="I422" s="86"/>
      <c r="J422" s="86"/>
      <c r="K422" s="338"/>
      <c r="L422" s="86"/>
      <c r="M422" s="338"/>
      <c r="N422" s="127"/>
    </row>
    <row r="423" spans="1:14" ht="15" customHeight="1">
      <c r="A423" s="331" t="s">
        <v>517</v>
      </c>
      <c r="B423" s="86"/>
      <c r="C423" s="86"/>
      <c r="D423" s="335"/>
      <c r="E423" s="86"/>
      <c r="F423" s="86"/>
      <c r="G423" s="86"/>
      <c r="H423" s="86"/>
      <c r="I423" s="86"/>
      <c r="J423" s="86"/>
      <c r="K423" s="331"/>
      <c r="L423" s="86"/>
      <c r="M423" s="331"/>
      <c r="N423" s="327"/>
    </row>
    <row r="424" spans="1:14">
      <c r="A424" s="86" t="s">
        <v>518</v>
      </c>
      <c r="B424" s="86"/>
      <c r="C424" s="86"/>
      <c r="D424" s="353"/>
      <c r="E424" s="86"/>
      <c r="F424" s="86"/>
      <c r="G424" s="86"/>
      <c r="H424" s="86"/>
      <c r="I424" s="86"/>
      <c r="J424" s="86"/>
      <c r="K424" s="331"/>
      <c r="L424" s="86"/>
      <c r="M424" s="331"/>
      <c r="N424" s="327"/>
    </row>
    <row r="425" spans="1:14">
      <c r="A425" s="86" t="s">
        <v>519</v>
      </c>
      <c r="B425" s="86"/>
      <c r="C425" s="86"/>
      <c r="D425" s="335"/>
      <c r="E425" s="86"/>
      <c r="F425" s="86"/>
      <c r="G425" s="86"/>
      <c r="H425" s="86"/>
      <c r="I425" s="86"/>
      <c r="J425" s="86"/>
      <c r="K425" s="331"/>
      <c r="L425" s="86"/>
      <c r="M425" s="331"/>
      <c r="N425" s="327"/>
    </row>
    <row r="426" spans="1:14">
      <c r="A426" s="86" t="s">
        <v>574</v>
      </c>
      <c r="B426" s="86"/>
      <c r="C426" s="86"/>
      <c r="D426" s="335"/>
      <c r="E426" s="86"/>
      <c r="F426" s="86"/>
      <c r="G426" s="86"/>
      <c r="H426" s="86"/>
      <c r="I426" s="86"/>
      <c r="J426" s="86"/>
      <c r="K426" s="331"/>
      <c r="L426" s="86"/>
      <c r="M426" s="331"/>
      <c r="N426" s="327"/>
    </row>
    <row r="427" spans="1:14">
      <c r="A427" s="86" t="s">
        <v>575</v>
      </c>
      <c r="B427" s="86"/>
      <c r="C427" s="86"/>
      <c r="D427" s="335"/>
      <c r="E427" s="86"/>
      <c r="F427" s="86"/>
      <c r="G427" s="86"/>
      <c r="H427" s="86"/>
      <c r="I427" s="86"/>
      <c r="J427" s="86"/>
      <c r="K427" s="331"/>
      <c r="L427" s="86"/>
      <c r="M427" s="331"/>
      <c r="N427" s="327"/>
    </row>
    <row r="428" spans="1:14">
      <c r="A428" s="86" t="s">
        <v>522</v>
      </c>
      <c r="B428" s="86"/>
      <c r="C428" s="86"/>
      <c r="D428" s="335"/>
      <c r="E428" s="86"/>
      <c r="F428" s="86"/>
      <c r="G428" s="86"/>
      <c r="H428" s="86"/>
      <c r="I428" s="86"/>
      <c r="J428" s="86"/>
      <c r="K428" s="331"/>
      <c r="L428" s="86"/>
      <c r="M428" s="331"/>
      <c r="N428" s="327"/>
    </row>
    <row r="429" spans="1:14">
      <c r="A429" s="86" t="s">
        <v>523</v>
      </c>
      <c r="B429" s="86"/>
      <c r="C429" s="86"/>
      <c r="D429" s="335"/>
      <c r="E429" s="86"/>
      <c r="F429" s="86"/>
      <c r="G429" s="86"/>
      <c r="H429" s="86"/>
      <c r="I429" s="86"/>
      <c r="J429" s="86"/>
      <c r="K429" s="331"/>
      <c r="L429" s="86"/>
      <c r="M429" s="331"/>
      <c r="N429" s="327"/>
    </row>
    <row r="430" spans="1:14" ht="15" customHeight="1">
      <c r="A430" s="331"/>
      <c r="B430" s="86"/>
      <c r="C430" s="86"/>
      <c r="D430" s="86"/>
      <c r="E430" s="86"/>
      <c r="F430" s="86"/>
      <c r="G430" s="86"/>
      <c r="H430" s="86"/>
      <c r="I430" s="86"/>
      <c r="J430" s="86"/>
      <c r="K430" s="331"/>
      <c r="L430" s="86"/>
      <c r="M430" s="331"/>
      <c r="N430" s="327"/>
    </row>
    <row r="431" spans="1:14">
      <c r="A431" s="338" t="s">
        <v>524</v>
      </c>
      <c r="B431" s="338" t="s">
        <v>525</v>
      </c>
      <c r="C431" s="355"/>
      <c r="D431" s="353"/>
      <c r="E431" s="355"/>
      <c r="F431" s="355"/>
      <c r="G431" s="355"/>
      <c r="H431" s="355"/>
      <c r="I431" s="355"/>
      <c r="J431" s="347"/>
      <c r="K431" s="1265"/>
      <c r="L431" s="1266"/>
      <c r="M431" s="338"/>
      <c r="N431" s="338"/>
    </row>
    <row r="432" spans="1:14">
      <c r="A432" s="331"/>
      <c r="B432" s="331" t="s">
        <v>526</v>
      </c>
      <c r="C432" s="86"/>
      <c r="D432" s="355"/>
      <c r="E432" s="86"/>
      <c r="F432" s="86"/>
      <c r="G432" s="86"/>
      <c r="H432" s="86"/>
      <c r="I432" s="86"/>
      <c r="J432" s="86"/>
      <c r="K432" s="1048"/>
      <c r="L432" s="1261"/>
      <c r="M432" s="331"/>
      <c r="N432" s="331"/>
    </row>
    <row r="433" spans="1:19">
      <c r="A433" s="331"/>
      <c r="B433" s="331" t="s">
        <v>527</v>
      </c>
      <c r="C433" s="86"/>
      <c r="D433" s="86"/>
      <c r="E433" s="86"/>
      <c r="F433" s="86"/>
      <c r="G433" s="86"/>
      <c r="H433" s="86"/>
      <c r="I433" s="335"/>
      <c r="J433" s="86"/>
      <c r="K433" s="616"/>
      <c r="L433" s="627"/>
      <c r="M433" s="331"/>
      <c r="N433" s="331"/>
    </row>
    <row r="434" spans="1:19">
      <c r="A434" s="86"/>
      <c r="B434" s="351"/>
      <c r="C434" s="335"/>
      <c r="D434" s="335"/>
      <c r="E434" s="335"/>
      <c r="F434" s="335"/>
      <c r="G434" s="335"/>
      <c r="H434" s="335"/>
      <c r="I434" s="335"/>
      <c r="J434" s="335"/>
      <c r="K434" s="1234"/>
      <c r="L434" s="1264"/>
      <c r="M434" s="351"/>
      <c r="N434" s="351"/>
    </row>
    <row r="435" spans="1:19" ht="15.75" thickBot="1">
      <c r="A435" s="631" t="s">
        <v>528</v>
      </c>
      <c r="B435" s="632"/>
      <c r="C435" s="343"/>
      <c r="D435" s="355"/>
      <c r="E435" s="355"/>
      <c r="F435" s="355"/>
      <c r="G435" s="355"/>
      <c r="H435" s="355"/>
      <c r="I435" s="355"/>
      <c r="J435" s="355"/>
      <c r="K435" s="86">
        <f>COUNTA(K377:K412:K417:K434)</f>
        <v>2</v>
      </c>
      <c r="L435" s="86"/>
      <c r="M435" s="86"/>
      <c r="N435" s="325"/>
      <c r="S435" s="335"/>
    </row>
    <row r="436" spans="1:19">
      <c r="A436" s="999" t="s">
        <v>529</v>
      </c>
      <c r="B436" s="1000"/>
      <c r="C436" s="1000"/>
      <c r="D436" s="1001"/>
      <c r="E436" s="1008" t="s">
        <v>531</v>
      </c>
      <c r="F436" s="1009"/>
      <c r="G436" s="1009"/>
      <c r="H436" s="1009"/>
      <c r="I436" s="1010"/>
      <c r="J436" s="1017" t="s">
        <v>530</v>
      </c>
      <c r="K436" s="1018"/>
      <c r="L436" s="1018"/>
      <c r="M436" s="1018"/>
      <c r="N436" s="1019"/>
    </row>
    <row r="437" spans="1:19">
      <c r="A437" s="1002"/>
      <c r="B437" s="1003"/>
      <c r="C437" s="1003"/>
      <c r="D437" s="1004"/>
      <c r="E437" s="1011"/>
      <c r="F437" s="1012"/>
      <c r="G437" s="1012"/>
      <c r="H437" s="1012"/>
      <c r="I437" s="1013"/>
      <c r="J437" s="1020"/>
      <c r="K437" s="1021"/>
      <c r="L437" s="1021"/>
      <c r="M437" s="1021"/>
      <c r="N437" s="1022"/>
    </row>
    <row r="438" spans="1:19">
      <c r="A438" s="1002"/>
      <c r="B438" s="1003"/>
      <c r="C438" s="1003"/>
      <c r="D438" s="1004"/>
      <c r="E438" s="1011"/>
      <c r="F438" s="1012"/>
      <c r="G438" s="1012"/>
      <c r="H438" s="1012"/>
      <c r="I438" s="1013"/>
      <c r="J438" s="1020"/>
      <c r="K438" s="1021"/>
      <c r="L438" s="1021"/>
      <c r="M438" s="1021"/>
      <c r="N438" s="1022"/>
    </row>
    <row r="439" spans="1:19">
      <c r="A439" s="1002"/>
      <c r="B439" s="1003"/>
      <c r="C439" s="1003"/>
      <c r="D439" s="1004"/>
      <c r="E439" s="1011"/>
      <c r="F439" s="1012"/>
      <c r="G439" s="1012"/>
      <c r="H439" s="1012"/>
      <c r="I439" s="1013"/>
      <c r="J439" s="1020"/>
      <c r="K439" s="1021"/>
      <c r="L439" s="1021"/>
      <c r="M439" s="1021"/>
      <c r="N439" s="1022"/>
    </row>
    <row r="440" spans="1:19">
      <c r="A440" s="1002"/>
      <c r="B440" s="1003"/>
      <c r="C440" s="1003"/>
      <c r="D440" s="1004"/>
      <c r="E440" s="1011"/>
      <c r="F440" s="1012"/>
      <c r="G440" s="1012"/>
      <c r="H440" s="1012"/>
      <c r="I440" s="1013"/>
      <c r="J440" s="1020"/>
      <c r="K440" s="1021"/>
      <c r="L440" s="1021"/>
      <c r="M440" s="1021"/>
      <c r="N440" s="1022"/>
    </row>
    <row r="441" spans="1:19" ht="15.75" thickBot="1">
      <c r="A441" s="1005"/>
      <c r="B441" s="1006"/>
      <c r="C441" s="1006"/>
      <c r="D441" s="1007"/>
      <c r="E441" s="1014"/>
      <c r="F441" s="1015"/>
      <c r="G441" s="1015"/>
      <c r="H441" s="1015"/>
      <c r="I441" s="1016"/>
      <c r="J441" s="1023"/>
      <c r="K441" s="1024"/>
      <c r="L441" s="1024"/>
      <c r="M441" s="1024"/>
      <c r="N441" s="1025"/>
      <c r="O441" s="85"/>
    </row>
    <row r="442" spans="1:19" ht="15.75" thickBot="1">
      <c r="A442" s="332" t="s">
        <v>532</v>
      </c>
      <c r="B442" s="314"/>
      <c r="C442" s="314"/>
      <c r="D442" s="314"/>
      <c r="E442" s="314"/>
      <c r="F442" s="313"/>
      <c r="G442" s="313"/>
      <c r="H442" s="313"/>
      <c r="I442" s="313"/>
      <c r="J442" s="313"/>
      <c r="K442" s="313"/>
      <c r="L442" s="313"/>
      <c r="M442" s="313"/>
      <c r="N442" s="350"/>
    </row>
    <row r="443" spans="1:19">
      <c r="A443" s="331" t="s">
        <v>533</v>
      </c>
      <c r="B443" s="86"/>
      <c r="C443" s="86"/>
      <c r="D443" s="86"/>
      <c r="E443" s="86"/>
      <c r="F443" s="86"/>
      <c r="G443" s="86"/>
      <c r="H443" s="86"/>
      <c r="I443" s="86"/>
      <c r="J443" s="86"/>
      <c r="K443" s="86"/>
      <c r="L443" s="86"/>
      <c r="M443" s="86"/>
      <c r="N443" s="325"/>
    </row>
    <row r="444" spans="1:19">
      <c r="A444" s="331" t="s">
        <v>534</v>
      </c>
      <c r="B444" s="86"/>
      <c r="C444" s="86"/>
      <c r="D444" s="335">
        <f>M170</f>
        <v>1692</v>
      </c>
      <c r="E444" s="86" t="s">
        <v>535</v>
      </c>
      <c r="F444" s="86" t="s">
        <v>40</v>
      </c>
      <c r="G444" s="479">
        <f>B173</f>
        <v>53.333333333333336</v>
      </c>
      <c r="H444" s="86" t="s">
        <v>52</v>
      </c>
      <c r="I444" s="86" t="s">
        <v>536</v>
      </c>
      <c r="J444" s="479">
        <f>B174</f>
        <v>20.453074433656958</v>
      </c>
      <c r="K444" s="474" t="s">
        <v>52</v>
      </c>
      <c r="L444" s="119" t="s">
        <v>537</v>
      </c>
      <c r="M444" s="479">
        <f>B175</f>
        <v>26.21359223300971</v>
      </c>
      <c r="N444" s="325" t="s">
        <v>52</v>
      </c>
    </row>
    <row r="445" spans="1:19">
      <c r="A445" s="351"/>
      <c r="B445" s="335"/>
      <c r="C445" s="335"/>
      <c r="D445" s="335"/>
      <c r="E445" s="335"/>
      <c r="F445" s="335"/>
      <c r="G445" s="335"/>
      <c r="H445" s="335"/>
      <c r="I445" s="335"/>
      <c r="J445" s="335"/>
      <c r="K445" s="335"/>
      <c r="L445" s="335"/>
      <c r="M445" s="335"/>
      <c r="N445" s="352"/>
    </row>
    <row r="446" spans="1:19">
      <c r="A446" s="341" t="s">
        <v>538</v>
      </c>
      <c r="B446" s="166"/>
      <c r="C446" s="86"/>
      <c r="D446" s="86"/>
      <c r="E446" s="86"/>
      <c r="F446" s="86"/>
      <c r="G446" s="86"/>
      <c r="H446" s="86"/>
      <c r="I446" s="86"/>
      <c r="J446" s="86"/>
      <c r="K446" s="86"/>
      <c r="L446" s="86"/>
      <c r="M446" s="86"/>
      <c r="N446" s="325"/>
    </row>
    <row r="447" spans="1:19">
      <c r="A447" s="331"/>
      <c r="B447" s="86"/>
      <c r="C447" s="86"/>
      <c r="D447" s="86"/>
      <c r="E447" s="86"/>
      <c r="F447" s="86"/>
      <c r="G447" s="86"/>
      <c r="H447" s="86"/>
      <c r="I447" s="86"/>
      <c r="J447" s="86"/>
      <c r="K447" s="86"/>
      <c r="L447" s="86"/>
      <c r="M447" s="86"/>
      <c r="N447" s="325"/>
    </row>
    <row r="448" spans="1:19">
      <c r="A448" s="331"/>
      <c r="B448" s="86"/>
      <c r="C448" s="86"/>
      <c r="D448" s="86"/>
      <c r="E448" s="86"/>
      <c r="F448" s="86"/>
      <c r="G448" s="86"/>
      <c r="H448" s="86"/>
      <c r="I448" s="86"/>
      <c r="J448" s="86"/>
      <c r="K448" s="86"/>
      <c r="L448" s="86"/>
      <c r="M448" s="86"/>
      <c r="N448" s="325"/>
    </row>
    <row r="449" spans="1:14">
      <c r="A449" s="331"/>
      <c r="B449" s="86"/>
      <c r="C449" s="86"/>
      <c r="D449" s="86"/>
      <c r="E449" s="86"/>
      <c r="F449" s="86"/>
      <c r="G449" s="86"/>
      <c r="H449" s="86"/>
      <c r="I449" s="86"/>
      <c r="J449" s="86"/>
      <c r="K449" s="86"/>
      <c r="L449" s="86"/>
      <c r="M449" s="86"/>
      <c r="N449" s="325"/>
    </row>
    <row r="450" spans="1:14">
      <c r="A450" s="331"/>
      <c r="B450" s="86"/>
      <c r="C450" s="86"/>
      <c r="D450" s="86"/>
      <c r="E450" s="86"/>
      <c r="F450" s="86"/>
      <c r="G450" s="86"/>
      <c r="H450" s="86"/>
      <c r="I450" s="86"/>
      <c r="J450" s="86"/>
      <c r="K450" s="86"/>
      <c r="L450" s="86"/>
      <c r="M450" s="86"/>
      <c r="N450" s="325"/>
    </row>
    <row r="451" spans="1:14">
      <c r="A451" s="331"/>
      <c r="B451" s="86"/>
      <c r="C451" s="86"/>
      <c r="D451" s="86"/>
      <c r="E451" s="86"/>
      <c r="F451" s="86"/>
      <c r="G451" s="86"/>
      <c r="H451" s="86"/>
      <c r="I451" s="86"/>
      <c r="J451" s="86"/>
      <c r="K451" s="86"/>
      <c r="L451" s="86"/>
      <c r="M451" s="86"/>
      <c r="N451" s="325"/>
    </row>
    <row r="452" spans="1:14">
      <c r="A452" s="331"/>
      <c r="B452" s="86"/>
      <c r="C452" s="86"/>
      <c r="D452" s="86"/>
      <c r="E452" s="86"/>
      <c r="F452" s="86"/>
      <c r="G452" s="86"/>
      <c r="H452" s="86"/>
      <c r="I452" s="86"/>
      <c r="J452" s="86"/>
      <c r="K452" s="86"/>
      <c r="L452" s="86"/>
      <c r="M452" s="86"/>
      <c r="N452" s="325"/>
    </row>
    <row r="453" spans="1:14">
      <c r="A453" s="331"/>
      <c r="B453" s="86"/>
      <c r="C453" s="86"/>
      <c r="D453" s="86"/>
      <c r="E453" s="86"/>
      <c r="F453" s="86"/>
      <c r="G453" s="86"/>
      <c r="H453" s="86"/>
      <c r="I453" s="86"/>
      <c r="J453" s="86"/>
      <c r="K453" s="86"/>
      <c r="L453" s="86"/>
      <c r="M453" s="86"/>
      <c r="N453" s="325"/>
    </row>
    <row r="454" spans="1:14">
      <c r="A454" s="331"/>
      <c r="B454" s="86"/>
      <c r="C454" s="86"/>
      <c r="D454" s="86"/>
      <c r="E454" s="86"/>
      <c r="F454" s="86"/>
      <c r="G454" s="86"/>
      <c r="H454" s="86"/>
      <c r="I454" s="86"/>
      <c r="J454" s="86"/>
      <c r="K454" s="86"/>
      <c r="L454" s="86"/>
      <c r="M454" s="86"/>
      <c r="N454" s="325"/>
    </row>
    <row r="455" spans="1:14">
      <c r="A455" s="331"/>
      <c r="B455" s="86"/>
      <c r="C455" s="86"/>
      <c r="D455" s="86"/>
      <c r="E455" s="86"/>
      <c r="F455" s="86"/>
      <c r="G455" s="86"/>
      <c r="H455" s="86"/>
      <c r="I455" s="86"/>
      <c r="J455" s="86"/>
      <c r="K455" s="86"/>
      <c r="L455" s="86"/>
      <c r="M455" s="86"/>
      <c r="N455" s="325"/>
    </row>
    <row r="456" spans="1:14">
      <c r="A456" s="331"/>
      <c r="B456" s="86"/>
      <c r="C456" s="86"/>
      <c r="D456" s="86"/>
      <c r="E456" s="86"/>
      <c r="F456" s="86"/>
      <c r="G456" s="86"/>
      <c r="H456" s="86"/>
      <c r="I456" s="86"/>
      <c r="J456" s="86"/>
      <c r="K456" s="86"/>
      <c r="L456" s="86"/>
      <c r="M456" s="86"/>
      <c r="N456" s="325"/>
    </row>
    <row r="457" spans="1:14">
      <c r="A457" s="331"/>
      <c r="B457" s="86"/>
      <c r="C457" s="86"/>
      <c r="D457" s="86"/>
      <c r="E457" s="86"/>
      <c r="F457" s="86"/>
      <c r="G457" s="86"/>
      <c r="H457" s="86"/>
      <c r="I457" s="86"/>
      <c r="J457" s="86"/>
      <c r="K457" s="86"/>
      <c r="L457" s="86"/>
      <c r="M457" s="86"/>
      <c r="N457" s="325"/>
    </row>
    <row r="458" spans="1:14">
      <c r="A458" s="331"/>
      <c r="B458" s="86"/>
      <c r="C458" s="86"/>
      <c r="D458" s="86"/>
      <c r="E458" s="86"/>
      <c r="F458" s="86"/>
      <c r="G458" s="86"/>
      <c r="H458" s="86"/>
      <c r="I458" s="86"/>
      <c r="J458" s="86"/>
      <c r="K458" s="86"/>
      <c r="L458" s="86"/>
      <c r="M458" s="86"/>
      <c r="N458" s="325"/>
    </row>
    <row r="459" spans="1:14">
      <c r="A459" s="331"/>
      <c r="B459" s="86"/>
      <c r="C459" s="86"/>
      <c r="D459" s="86"/>
      <c r="E459" s="86"/>
      <c r="F459" s="86"/>
      <c r="G459" s="86"/>
      <c r="H459" s="86"/>
      <c r="I459" s="86"/>
      <c r="J459" s="86"/>
      <c r="K459" s="86"/>
      <c r="L459" s="86"/>
      <c r="M459" s="86"/>
      <c r="N459" s="325"/>
    </row>
    <row r="460" spans="1:14">
      <c r="A460" s="331"/>
      <c r="B460" s="86"/>
      <c r="C460" s="86"/>
      <c r="D460" s="86"/>
      <c r="E460" s="86"/>
      <c r="F460" s="86"/>
      <c r="G460" s="86"/>
      <c r="H460" s="86"/>
      <c r="I460" s="86"/>
      <c r="J460" s="86"/>
      <c r="K460" s="86"/>
      <c r="L460" s="86"/>
      <c r="M460" s="86"/>
      <c r="N460" s="325"/>
    </row>
    <row r="461" spans="1:14">
      <c r="A461" s="331"/>
      <c r="B461" s="86"/>
      <c r="C461" s="86"/>
      <c r="D461" s="86"/>
      <c r="E461" s="86"/>
      <c r="F461" s="86"/>
      <c r="G461" s="86"/>
      <c r="H461" s="86"/>
      <c r="I461" s="86"/>
      <c r="J461" s="86"/>
      <c r="K461" s="86"/>
      <c r="L461" s="86"/>
      <c r="M461" s="86"/>
      <c r="N461" s="325"/>
    </row>
    <row r="462" spans="1:14">
      <c r="A462" s="331"/>
      <c r="B462" s="86"/>
      <c r="C462" s="86"/>
      <c r="D462" s="86"/>
      <c r="E462" s="86"/>
      <c r="F462" s="86"/>
      <c r="G462" s="86"/>
      <c r="H462" s="86"/>
      <c r="I462" s="86"/>
      <c r="J462" s="86"/>
      <c r="K462" s="86"/>
      <c r="L462" s="86"/>
      <c r="M462" s="86"/>
      <c r="N462" s="325"/>
    </row>
    <row r="463" spans="1:14">
      <c r="A463" s="331"/>
      <c r="B463" s="86"/>
      <c r="C463" s="86"/>
      <c r="D463" s="86"/>
      <c r="E463" s="86"/>
      <c r="F463" s="86"/>
      <c r="G463" s="86"/>
      <c r="H463" s="86"/>
      <c r="I463" s="86"/>
      <c r="J463" s="86"/>
      <c r="K463" s="86"/>
      <c r="L463" s="86"/>
      <c r="M463" s="86"/>
      <c r="N463" s="325"/>
    </row>
    <row r="464" spans="1:14">
      <c r="A464" s="331"/>
      <c r="B464" s="86"/>
      <c r="C464" s="86"/>
      <c r="D464" s="86" t="s">
        <v>404</v>
      </c>
      <c r="E464" s="86"/>
      <c r="F464" s="86" t="str">
        <f>C42</f>
        <v>NTTA DTTA VICTOR HUGO HERNANDEZ MARTINEZ MAT. 8904707</v>
      </c>
      <c r="G464" s="86"/>
      <c r="H464" s="86"/>
      <c r="I464" s="86"/>
      <c r="J464" s="86"/>
      <c r="K464" s="86"/>
      <c r="L464" s="86"/>
      <c r="M464" s="86"/>
      <c r="N464" s="325"/>
    </row>
    <row r="465" spans="1:14">
      <c r="A465" s="351"/>
      <c r="B465" s="335"/>
      <c r="C465" s="335"/>
      <c r="D465" s="335"/>
      <c r="E465" s="335"/>
      <c r="F465" s="335"/>
      <c r="G465" s="335"/>
      <c r="H465" s="335"/>
      <c r="I465" s="335"/>
      <c r="J465" s="335"/>
      <c r="K465" s="335"/>
      <c r="L465" s="335"/>
      <c r="M465" s="335"/>
      <c r="N465" s="352"/>
    </row>
    <row r="467" spans="1:14">
      <c r="A467" s="986" t="s">
        <v>171</v>
      </c>
      <c r="B467" s="986"/>
      <c r="C467" s="986"/>
      <c r="D467" s="986"/>
      <c r="E467" s="985" t="s">
        <v>172</v>
      </c>
      <c r="F467" s="985"/>
      <c r="G467" s="985"/>
      <c r="H467" s="985"/>
      <c r="I467" s="985"/>
      <c r="J467" s="985"/>
      <c r="K467" s="985"/>
      <c r="L467" s="985"/>
      <c r="M467" s="985"/>
      <c r="N467" s="985"/>
    </row>
    <row r="469" spans="1:14">
      <c r="A469" s="981" t="s">
        <v>173</v>
      </c>
      <c r="B469" s="981"/>
      <c r="C469" s="981"/>
      <c r="D469" s="981"/>
      <c r="E469" s="1026" t="s">
        <v>174</v>
      </c>
      <c r="F469" s="1026"/>
      <c r="G469" s="1026"/>
      <c r="H469" s="1026"/>
      <c r="I469" s="1026"/>
      <c r="J469" s="1026"/>
      <c r="K469" s="1026"/>
      <c r="L469" s="1026"/>
      <c r="M469" s="1026"/>
      <c r="N469" s="1026"/>
    </row>
    <row r="470" spans="1:14">
      <c r="E470" s="1026"/>
      <c r="F470" s="1026"/>
      <c r="G470" s="1026"/>
      <c r="H470" s="1026"/>
      <c r="I470" s="1026"/>
      <c r="J470" s="1026"/>
      <c r="K470" s="1026"/>
      <c r="L470" s="1026"/>
      <c r="M470" s="1026"/>
      <c r="N470" s="1026"/>
    </row>
    <row r="472" spans="1:14">
      <c r="A472" s="996" t="s">
        <v>175</v>
      </c>
      <c r="B472" s="996"/>
      <c r="C472" s="996"/>
      <c r="D472" s="996"/>
      <c r="E472" s="997" t="s">
        <v>176</v>
      </c>
      <c r="F472" s="997"/>
      <c r="G472" s="997"/>
      <c r="H472" s="997"/>
      <c r="I472" s="997"/>
      <c r="J472" s="997"/>
      <c r="K472" s="997"/>
      <c r="L472" s="997"/>
      <c r="M472" s="997"/>
      <c r="N472" s="997"/>
    </row>
    <row r="474" spans="1:14">
      <c r="A474" s="995" t="s">
        <v>177</v>
      </c>
      <c r="B474" s="995"/>
      <c r="C474" s="995"/>
      <c r="D474" s="995"/>
      <c r="E474" s="992" t="s">
        <v>178</v>
      </c>
      <c r="F474" s="992"/>
      <c r="G474" s="992"/>
      <c r="H474" s="992"/>
      <c r="I474" s="992"/>
      <c r="J474" s="992"/>
      <c r="K474" s="992"/>
      <c r="L474" s="992"/>
      <c r="M474" s="992"/>
      <c r="N474" s="992"/>
    </row>
    <row r="475" spans="1:14">
      <c r="E475" s="992"/>
      <c r="F475" s="992"/>
      <c r="G475" s="992"/>
      <c r="H475" s="992"/>
      <c r="I475" s="992"/>
      <c r="J475" s="992"/>
      <c r="K475" s="992"/>
      <c r="L475" s="992"/>
      <c r="M475" s="992"/>
      <c r="N475" s="992"/>
    </row>
    <row r="477" spans="1:14">
      <c r="A477" s="981" t="s">
        <v>179</v>
      </c>
      <c r="B477" s="981"/>
      <c r="C477" s="981"/>
      <c r="D477" s="981"/>
      <c r="E477" s="998" t="s">
        <v>180</v>
      </c>
      <c r="F477" s="998"/>
      <c r="G477" s="998"/>
      <c r="H477" s="998"/>
      <c r="I477" s="998"/>
      <c r="J477" s="998"/>
      <c r="K477" s="998"/>
      <c r="L477" s="998"/>
      <c r="M477" s="998"/>
      <c r="N477" s="998"/>
    </row>
    <row r="478" spans="1:14">
      <c r="E478" s="998"/>
      <c r="F478" s="998"/>
      <c r="G478" s="998"/>
      <c r="H478" s="998"/>
      <c r="I478" s="998"/>
      <c r="J478" s="998"/>
      <c r="K478" s="998"/>
      <c r="L478" s="998"/>
      <c r="M478" s="998"/>
      <c r="N478" s="998"/>
    </row>
    <row r="480" spans="1:14">
      <c r="A480" s="981" t="s">
        <v>181</v>
      </c>
      <c r="B480" s="981"/>
      <c r="C480" s="981"/>
      <c r="D480" s="981"/>
      <c r="E480" s="992" t="s">
        <v>182</v>
      </c>
      <c r="F480" s="992"/>
      <c r="G480" s="992"/>
      <c r="H480" s="992"/>
      <c r="I480" s="992"/>
      <c r="J480" s="992"/>
      <c r="K480" s="992"/>
      <c r="L480" s="992"/>
      <c r="M480" s="992"/>
      <c r="N480" s="992"/>
    </row>
    <row r="481" spans="1:14">
      <c r="E481" s="992"/>
      <c r="F481" s="992"/>
      <c r="G481" s="992"/>
      <c r="H481" s="992"/>
      <c r="I481" s="992"/>
      <c r="J481" s="992"/>
      <c r="K481" s="992"/>
      <c r="L481" s="992"/>
      <c r="M481" s="992"/>
      <c r="N481" s="992"/>
    </row>
    <row r="483" spans="1:14">
      <c r="A483" s="994" t="s">
        <v>20</v>
      </c>
      <c r="B483" s="994"/>
      <c r="C483" s="994"/>
      <c r="D483" s="994"/>
    </row>
    <row r="485" spans="1:14">
      <c r="A485" s="995" t="s">
        <v>183</v>
      </c>
      <c r="B485" s="995"/>
      <c r="C485" s="995"/>
      <c r="D485" s="995"/>
      <c r="E485" s="985" t="s">
        <v>184</v>
      </c>
      <c r="F485" s="985"/>
      <c r="G485" s="985"/>
      <c r="H485" s="985"/>
      <c r="I485" s="985"/>
      <c r="J485" s="985"/>
      <c r="K485" s="985"/>
      <c r="L485" s="985"/>
      <c r="M485" s="985"/>
      <c r="N485" s="985"/>
    </row>
    <row r="486" spans="1:14">
      <c r="E486" s="985"/>
      <c r="F486" s="985"/>
      <c r="G486" s="985"/>
      <c r="H486" s="985"/>
      <c r="I486" s="985"/>
      <c r="J486" s="985"/>
      <c r="K486" s="985"/>
      <c r="L486" s="985"/>
      <c r="M486" s="985"/>
      <c r="N486" s="985"/>
    </row>
    <row r="487" spans="1:14">
      <c r="E487" s="985"/>
      <c r="F487" s="985"/>
      <c r="G487" s="985"/>
      <c r="H487" s="985"/>
      <c r="I487" s="985"/>
      <c r="J487" s="985"/>
      <c r="K487" s="985"/>
      <c r="L487" s="985"/>
      <c r="M487" s="985"/>
      <c r="N487" s="985"/>
    </row>
    <row r="488" spans="1:14">
      <c r="E488" s="985"/>
      <c r="F488" s="985"/>
      <c r="G488" s="985"/>
      <c r="H488" s="985"/>
      <c r="I488" s="985"/>
      <c r="J488" s="985"/>
      <c r="K488" s="985"/>
      <c r="L488" s="985"/>
      <c r="M488" s="985"/>
      <c r="N488" s="985"/>
    </row>
    <row r="489" spans="1:14">
      <c r="E489" s="985"/>
      <c r="F489" s="985"/>
      <c r="G489" s="985"/>
      <c r="H489" s="985"/>
      <c r="I489" s="985"/>
      <c r="J489" s="985"/>
      <c r="K489" s="985"/>
      <c r="L489" s="985"/>
      <c r="M489" s="985"/>
      <c r="N489" s="985"/>
    </row>
    <row r="490" spans="1:14">
      <c r="E490" s="985"/>
      <c r="F490" s="985"/>
      <c r="G490" s="985"/>
      <c r="H490" s="985"/>
      <c r="I490" s="985"/>
      <c r="J490" s="985"/>
      <c r="K490" s="985"/>
      <c r="L490" s="985"/>
      <c r="M490" s="985"/>
      <c r="N490" s="985"/>
    </row>
    <row r="493" spans="1:14">
      <c r="A493" s="995" t="s">
        <v>185</v>
      </c>
      <c r="B493" s="995"/>
      <c r="C493" s="995"/>
      <c r="D493" s="995"/>
      <c r="E493" s="992" t="s">
        <v>186</v>
      </c>
      <c r="F493" s="992"/>
      <c r="G493" s="992"/>
      <c r="H493" s="992"/>
      <c r="I493" s="992"/>
      <c r="J493" s="992"/>
      <c r="K493" s="992"/>
      <c r="L493" s="992"/>
      <c r="M493" s="992"/>
      <c r="N493" s="992"/>
    </row>
    <row r="494" spans="1:14">
      <c r="E494" s="992"/>
      <c r="F494" s="992"/>
      <c r="G494" s="992"/>
      <c r="H494" s="992"/>
      <c r="I494" s="992"/>
      <c r="J494" s="992"/>
      <c r="K494" s="992"/>
      <c r="L494" s="992"/>
      <c r="M494" s="992"/>
      <c r="N494" s="992"/>
    </row>
    <row r="495" spans="1:14">
      <c r="E495" s="992"/>
      <c r="F495" s="992"/>
      <c r="G495" s="992"/>
      <c r="H495" s="992"/>
      <c r="I495" s="992"/>
      <c r="J495" s="992"/>
      <c r="K495" s="992"/>
      <c r="L495" s="992"/>
      <c r="M495" s="992"/>
      <c r="N495" s="992"/>
    </row>
    <row r="496" spans="1:14">
      <c r="E496" s="992"/>
      <c r="F496" s="992"/>
      <c r="G496" s="992"/>
      <c r="H496" s="992"/>
      <c r="I496" s="992"/>
      <c r="J496" s="992"/>
      <c r="K496" s="992"/>
      <c r="L496" s="992"/>
      <c r="M496" s="992"/>
      <c r="N496" s="992"/>
    </row>
    <row r="497" spans="1:14">
      <c r="E497" s="992"/>
      <c r="F497" s="992"/>
      <c r="G497" s="992"/>
      <c r="H497" s="992"/>
      <c r="I497" s="992"/>
      <c r="J497" s="992"/>
      <c r="K497" s="992"/>
      <c r="L497" s="992"/>
      <c r="M497" s="992"/>
      <c r="N497" s="992"/>
    </row>
    <row r="498" spans="1:14">
      <c r="E498" s="992"/>
      <c r="F498" s="992"/>
      <c r="G498" s="992"/>
      <c r="H498" s="992"/>
      <c r="I498" s="992"/>
      <c r="J498" s="992"/>
      <c r="K498" s="992"/>
      <c r="L498" s="992"/>
      <c r="M498" s="992"/>
      <c r="N498" s="992"/>
    </row>
    <row r="499" spans="1:14">
      <c r="E499" s="992"/>
      <c r="F499" s="992"/>
      <c r="G499" s="992"/>
      <c r="H499" s="992"/>
      <c r="I499" s="992"/>
      <c r="J499" s="992"/>
      <c r="K499" s="992"/>
      <c r="L499" s="992"/>
      <c r="M499" s="992"/>
      <c r="N499" s="992"/>
    </row>
    <row r="500" spans="1:14">
      <c r="E500" s="992"/>
      <c r="F500" s="992"/>
      <c r="G500" s="992"/>
      <c r="H500" s="992"/>
      <c r="I500" s="992"/>
      <c r="J500" s="992"/>
      <c r="K500" s="992"/>
      <c r="L500" s="992"/>
      <c r="M500" s="992"/>
      <c r="N500" s="992"/>
    </row>
    <row r="501" spans="1:14" ht="15.75" thickBot="1"/>
    <row r="502" spans="1:14" ht="15.75" thickBot="1">
      <c r="A502" s="986" t="s">
        <v>187</v>
      </c>
      <c r="B502" s="986"/>
      <c r="C502" s="986"/>
      <c r="D502" s="986"/>
      <c r="E502" s="990" t="s">
        <v>188</v>
      </c>
      <c r="F502" s="990"/>
      <c r="G502" s="990"/>
      <c r="H502" s="990"/>
      <c r="I502" s="990"/>
      <c r="J502" s="990"/>
      <c r="K502" s="990"/>
      <c r="L502" s="990"/>
      <c r="M502" s="990"/>
      <c r="N502" s="990"/>
    </row>
    <row r="503" spans="1:14" ht="15.75" thickBot="1">
      <c r="E503" s="990"/>
      <c r="F503" s="990"/>
      <c r="G503" s="990"/>
      <c r="H503" s="990"/>
      <c r="I503" s="990"/>
      <c r="J503" s="990"/>
      <c r="K503" s="990"/>
      <c r="L503" s="990"/>
      <c r="M503" s="990"/>
      <c r="N503" s="990"/>
    </row>
    <row r="504" spans="1:14" ht="15.75" thickBot="1">
      <c r="E504" s="990"/>
      <c r="F504" s="990"/>
      <c r="G504" s="990"/>
      <c r="H504" s="990"/>
      <c r="I504" s="990"/>
      <c r="J504" s="990"/>
      <c r="K504" s="990"/>
      <c r="L504" s="990"/>
      <c r="M504" s="990"/>
      <c r="N504" s="990"/>
    </row>
    <row r="505" spans="1:14">
      <c r="E505" s="990"/>
      <c r="F505" s="990"/>
      <c r="G505" s="990"/>
      <c r="H505" s="990"/>
      <c r="I505" s="990"/>
      <c r="J505" s="990"/>
      <c r="K505" s="990"/>
      <c r="L505" s="990"/>
      <c r="M505" s="990"/>
      <c r="N505" s="990"/>
    </row>
    <row r="506" spans="1:14">
      <c r="E506" s="32"/>
      <c r="F506" s="32"/>
      <c r="G506" s="32"/>
      <c r="H506" s="32"/>
      <c r="I506" s="32"/>
      <c r="J506" s="32"/>
      <c r="K506" s="32"/>
      <c r="L506" s="32"/>
      <c r="M506" s="32"/>
      <c r="N506" s="32"/>
    </row>
    <row r="507" spans="1:14">
      <c r="A507" s="991" t="s">
        <v>189</v>
      </c>
      <c r="B507" s="991"/>
      <c r="C507" s="991"/>
      <c r="D507" s="991"/>
      <c r="E507" s="992" t="s">
        <v>190</v>
      </c>
      <c r="F507" s="992"/>
      <c r="G507" s="992"/>
      <c r="H507" s="992"/>
      <c r="I507" s="992"/>
      <c r="J507" s="992"/>
      <c r="K507" s="992"/>
      <c r="L507" s="992"/>
      <c r="M507" s="992"/>
      <c r="N507" s="992"/>
    </row>
    <row r="508" spans="1:14">
      <c r="A508" s="33"/>
      <c r="B508" s="33"/>
      <c r="C508" s="33"/>
      <c r="D508" s="33"/>
      <c r="E508" s="992"/>
      <c r="F508" s="992"/>
      <c r="G508" s="992"/>
      <c r="H508" s="992"/>
      <c r="I508" s="992"/>
      <c r="J508" s="992"/>
      <c r="K508" s="992"/>
      <c r="L508" s="992"/>
      <c r="M508" s="992"/>
      <c r="N508" s="992"/>
    </row>
    <row r="509" spans="1:14">
      <c r="E509" s="992"/>
      <c r="F509" s="992"/>
      <c r="G509" s="992"/>
      <c r="H509" s="992"/>
      <c r="I509" s="992"/>
      <c r="J509" s="992"/>
      <c r="K509" s="992"/>
      <c r="L509" s="992"/>
      <c r="M509" s="992"/>
      <c r="N509" s="992"/>
    </row>
    <row r="510" spans="1:14">
      <c r="E510" s="992"/>
      <c r="F510" s="992"/>
      <c r="G510" s="992"/>
      <c r="H510" s="992"/>
      <c r="I510" s="992"/>
      <c r="J510" s="992"/>
      <c r="K510" s="992"/>
      <c r="L510" s="992"/>
      <c r="M510" s="992"/>
      <c r="N510" s="992"/>
    </row>
    <row r="511" spans="1:14" ht="15.75" thickBot="1"/>
    <row r="512" spans="1:14" ht="15.75" thickBot="1">
      <c r="A512" s="986" t="s">
        <v>191</v>
      </c>
      <c r="B512" s="986"/>
      <c r="C512" s="986"/>
      <c r="D512" s="986"/>
      <c r="E512" s="993" t="s">
        <v>192</v>
      </c>
      <c r="F512" s="993"/>
      <c r="G512" s="993"/>
      <c r="H512" s="993"/>
      <c r="I512" s="993"/>
      <c r="J512" s="993"/>
      <c r="K512" s="993"/>
      <c r="L512" s="993"/>
      <c r="M512" s="993"/>
      <c r="N512" s="993"/>
    </row>
    <row r="514" spans="1:14">
      <c r="A514" s="981" t="s">
        <v>193</v>
      </c>
      <c r="B514" s="981"/>
      <c r="C514" s="981"/>
      <c r="D514" s="981"/>
      <c r="E514" s="985" t="s">
        <v>194</v>
      </c>
      <c r="F514" s="985"/>
      <c r="G514" s="985"/>
      <c r="H514" s="985"/>
      <c r="I514" s="985"/>
      <c r="J514" s="985"/>
      <c r="K514" s="985"/>
      <c r="L514" s="985"/>
      <c r="M514" s="985"/>
      <c r="N514" s="985"/>
    </row>
    <row r="515" spans="1:14">
      <c r="E515" s="985"/>
      <c r="F515" s="985"/>
      <c r="G515" s="985"/>
      <c r="H515" s="985"/>
      <c r="I515" s="985"/>
      <c r="J515" s="985"/>
      <c r="K515" s="985"/>
      <c r="L515" s="985"/>
      <c r="M515" s="985"/>
      <c r="N515" s="985"/>
    </row>
    <row r="516" spans="1:14">
      <c r="E516" s="985"/>
      <c r="F516" s="985"/>
      <c r="G516" s="985"/>
      <c r="H516" s="985"/>
      <c r="I516" s="985"/>
      <c r="J516" s="985"/>
      <c r="K516" s="985"/>
      <c r="L516" s="985"/>
      <c r="M516" s="985"/>
      <c r="N516" s="985"/>
    </row>
    <row r="517" spans="1:14">
      <c r="E517" s="985"/>
      <c r="F517" s="985"/>
      <c r="G517" s="985"/>
      <c r="H517" s="985"/>
      <c r="I517" s="985"/>
      <c r="J517" s="985"/>
      <c r="K517" s="985"/>
      <c r="L517" s="985"/>
      <c r="M517" s="985"/>
      <c r="N517" s="985"/>
    </row>
    <row r="518" spans="1:14">
      <c r="E518" s="985"/>
      <c r="F518" s="985"/>
      <c r="G518" s="985"/>
      <c r="H518" s="985"/>
      <c r="I518" s="985"/>
      <c r="J518" s="985"/>
      <c r="K518" s="985"/>
      <c r="L518" s="985"/>
      <c r="M518" s="985"/>
      <c r="N518" s="985"/>
    </row>
    <row r="519" spans="1:14">
      <c r="E519" s="985"/>
      <c r="F519" s="985"/>
      <c r="G519" s="985"/>
      <c r="H519" s="985"/>
      <c r="I519" s="985"/>
      <c r="J519" s="985"/>
      <c r="K519" s="985"/>
      <c r="L519" s="985"/>
      <c r="M519" s="985"/>
      <c r="N519" s="985"/>
    </row>
    <row r="520" spans="1:14">
      <c r="E520" s="985"/>
      <c r="F520" s="985"/>
      <c r="G520" s="985"/>
      <c r="H520" s="985"/>
      <c r="I520" s="985"/>
      <c r="J520" s="985"/>
      <c r="K520" s="985"/>
      <c r="L520" s="985"/>
      <c r="M520" s="985"/>
      <c r="N520" s="985"/>
    </row>
    <row r="521" spans="1:14">
      <c r="C521" s="4"/>
      <c r="E521" s="985"/>
      <c r="F521" s="985"/>
      <c r="G521" s="985"/>
      <c r="H521" s="985"/>
      <c r="I521" s="985"/>
      <c r="J521" s="985"/>
      <c r="K521" s="985"/>
      <c r="L521" s="985"/>
      <c r="M521" s="985"/>
      <c r="N521" s="985"/>
    </row>
    <row r="522" spans="1:14">
      <c r="E522" s="985"/>
      <c r="F522" s="985"/>
      <c r="G522" s="985"/>
      <c r="H522" s="985"/>
      <c r="I522" s="985"/>
      <c r="J522" s="985"/>
      <c r="K522" s="985"/>
      <c r="L522" s="985"/>
      <c r="M522" s="985"/>
      <c r="N522" s="985"/>
    </row>
    <row r="523" spans="1:14" ht="15.75" thickBot="1">
      <c r="E523" s="32"/>
      <c r="F523" s="32"/>
      <c r="G523" s="32"/>
      <c r="H523" s="32"/>
      <c r="I523" s="32"/>
      <c r="J523" s="32"/>
      <c r="K523" s="32"/>
      <c r="L523" s="32"/>
      <c r="M523" s="32"/>
      <c r="N523" s="32"/>
    </row>
    <row r="524" spans="1:14" ht="15.75" thickBot="1">
      <c r="A524" s="986" t="s">
        <v>195</v>
      </c>
      <c r="B524" s="986"/>
      <c r="C524" s="986"/>
      <c r="D524" s="986"/>
      <c r="E524" s="987" t="s">
        <v>196</v>
      </c>
      <c r="F524" s="987"/>
      <c r="G524" s="987"/>
      <c r="H524" s="987"/>
      <c r="I524" s="987"/>
      <c r="J524" s="987"/>
      <c r="K524" s="987"/>
      <c r="L524" s="987"/>
      <c r="M524" s="987"/>
      <c r="N524" s="987"/>
    </row>
    <row r="528" spans="1:14" ht="15.75">
      <c r="A528" s="988" t="s">
        <v>29</v>
      </c>
      <c r="B528" s="988"/>
    </row>
    <row r="529" spans="1:14" ht="15.75" thickBot="1"/>
    <row r="530" spans="1:14" ht="15.75" thickBot="1">
      <c r="A530" s="989" t="s">
        <v>197</v>
      </c>
      <c r="B530" s="989"/>
      <c r="C530" s="989"/>
      <c r="D530" s="989"/>
      <c r="E530" s="989"/>
      <c r="F530" s="34" t="s">
        <v>198</v>
      </c>
      <c r="G530" s="35"/>
      <c r="H530" s="35"/>
      <c r="I530" s="35"/>
      <c r="J530" s="35"/>
      <c r="K530" s="35"/>
      <c r="L530" s="35"/>
      <c r="M530" s="35"/>
      <c r="N530" s="35"/>
    </row>
    <row r="532" spans="1:14">
      <c r="A532" s="981" t="s">
        <v>199</v>
      </c>
      <c r="B532" s="981"/>
      <c r="C532" s="981"/>
      <c r="D532" s="981"/>
      <c r="E532" s="981"/>
      <c r="F532" s="982" t="s">
        <v>200</v>
      </c>
      <c r="G532" s="982"/>
      <c r="H532" s="982"/>
      <c r="I532" s="982"/>
      <c r="J532" s="982"/>
      <c r="K532" s="982"/>
      <c r="L532" s="982"/>
      <c r="M532" s="982"/>
      <c r="N532" s="982"/>
    </row>
    <row r="533" spans="1:14">
      <c r="F533" s="982"/>
      <c r="G533" s="982"/>
      <c r="H533" s="982"/>
      <c r="I533" s="982"/>
      <c r="J533" s="982"/>
      <c r="K533" s="982"/>
      <c r="L533" s="982"/>
      <c r="M533" s="982"/>
      <c r="N533" s="982"/>
    </row>
    <row r="534" spans="1:14">
      <c r="F534" s="982"/>
      <c r="G534" s="982"/>
      <c r="H534" s="982"/>
      <c r="I534" s="982"/>
      <c r="J534" s="982"/>
      <c r="K534" s="982"/>
      <c r="L534" s="982"/>
      <c r="M534" s="982"/>
      <c r="N534" s="982"/>
    </row>
    <row r="536" spans="1:14">
      <c r="A536" s="983" t="s">
        <v>31</v>
      </c>
      <c r="B536" s="983"/>
    </row>
    <row r="540" spans="1:14">
      <c r="A540" s="984" t="s">
        <v>32</v>
      </c>
      <c r="B540" s="984"/>
      <c r="C540" s="984"/>
      <c r="D540" s="984"/>
      <c r="E540" s="984"/>
    </row>
    <row r="541" spans="1:14">
      <c r="I541" s="4"/>
    </row>
    <row r="543" spans="1:14">
      <c r="A543" s="981" t="s">
        <v>201</v>
      </c>
      <c r="B543" s="981"/>
      <c r="C543" s="981"/>
      <c r="D543" s="981"/>
      <c r="E543" s="981"/>
      <c r="F543" s="985" t="s">
        <v>202</v>
      </c>
      <c r="G543" s="985"/>
      <c r="H543" s="985"/>
      <c r="I543" s="985"/>
      <c r="J543" s="985"/>
      <c r="K543" s="985"/>
      <c r="L543" s="985"/>
      <c r="M543" s="985"/>
      <c r="N543" s="985"/>
    </row>
    <row r="544" spans="1:14">
      <c r="F544" s="985"/>
      <c r="G544" s="985"/>
      <c r="H544" s="985"/>
      <c r="I544" s="985"/>
      <c r="J544" s="985"/>
      <c r="K544" s="985"/>
      <c r="L544" s="985"/>
      <c r="M544" s="985"/>
      <c r="N544" s="985"/>
    </row>
    <row r="545" spans="1:14">
      <c r="F545" s="985"/>
      <c r="G545" s="985"/>
      <c r="H545" s="985"/>
      <c r="I545" s="985"/>
      <c r="J545" s="985"/>
      <c r="K545" s="985"/>
      <c r="L545" s="985"/>
      <c r="M545" s="985"/>
      <c r="N545" s="985"/>
    </row>
    <row r="546" spans="1:14">
      <c r="F546" s="985"/>
      <c r="G546" s="985"/>
      <c r="H546" s="985"/>
      <c r="I546" s="985"/>
      <c r="J546" s="985"/>
      <c r="K546" s="985"/>
      <c r="L546" s="985"/>
      <c r="M546" s="985"/>
      <c r="N546" s="985"/>
    </row>
    <row r="547" spans="1:14">
      <c r="F547" s="985"/>
      <c r="G547" s="985"/>
      <c r="H547" s="985"/>
      <c r="I547" s="985"/>
      <c r="J547" s="985"/>
      <c r="K547" s="985"/>
      <c r="L547" s="985"/>
      <c r="M547" s="985"/>
      <c r="N547" s="985"/>
    </row>
    <row r="548" spans="1:14">
      <c r="F548" s="985"/>
      <c r="G548" s="985"/>
      <c r="H548" s="985"/>
      <c r="I548" s="985"/>
      <c r="J548" s="985"/>
      <c r="K548" s="985"/>
      <c r="L548" s="985"/>
      <c r="M548" s="985"/>
      <c r="N548" s="985"/>
    </row>
    <row r="549" spans="1:14">
      <c r="F549" s="985"/>
      <c r="G549" s="985"/>
      <c r="H549" s="985"/>
      <c r="I549" s="985"/>
      <c r="J549" s="985"/>
      <c r="K549" s="985"/>
      <c r="L549" s="985"/>
      <c r="M549" s="985"/>
      <c r="N549" s="985"/>
    </row>
    <row r="550" spans="1:14">
      <c r="F550" s="985"/>
      <c r="G550" s="985"/>
      <c r="H550" s="985"/>
      <c r="I550" s="985"/>
      <c r="J550" s="985"/>
      <c r="K550" s="985"/>
      <c r="L550" s="985"/>
      <c r="M550" s="985"/>
      <c r="N550" s="985"/>
    </row>
    <row r="551" spans="1:14">
      <c r="F551" s="32"/>
      <c r="G551" s="32"/>
      <c r="H551" s="32"/>
      <c r="I551" s="32"/>
      <c r="J551" s="32"/>
      <c r="K551" s="32"/>
      <c r="L551" s="32"/>
      <c r="M551" s="32"/>
      <c r="N551" s="32"/>
    </row>
    <row r="552" spans="1:14">
      <c r="A552" s="981" t="s">
        <v>203</v>
      </c>
      <c r="B552" s="981"/>
      <c r="C552" s="981"/>
      <c r="D552" s="981"/>
      <c r="E552" s="981"/>
      <c r="F552" s="982" t="s">
        <v>204</v>
      </c>
      <c r="G552" s="982"/>
      <c r="H552" s="982"/>
      <c r="I552" s="982"/>
      <c r="J552" s="982"/>
      <c r="K552" s="982"/>
      <c r="L552" s="982"/>
      <c r="M552" s="982"/>
      <c r="N552" s="982"/>
    </row>
    <row r="553" spans="1:14">
      <c r="F553" s="982"/>
      <c r="G553" s="982"/>
      <c r="H553" s="982"/>
      <c r="I553" s="982"/>
      <c r="J553" s="982"/>
      <c r="K553" s="982"/>
      <c r="L553" s="982"/>
      <c r="M553" s="982"/>
      <c r="N553" s="982"/>
    </row>
    <row r="554" spans="1:14">
      <c r="F554" s="982"/>
      <c r="G554" s="982"/>
      <c r="H554" s="982"/>
      <c r="I554" s="982"/>
      <c r="J554" s="982"/>
      <c r="K554" s="982"/>
      <c r="L554" s="982"/>
      <c r="M554" s="982"/>
      <c r="N554" s="982"/>
    </row>
    <row r="555" spans="1:14">
      <c r="F555" s="982"/>
      <c r="G555" s="982"/>
      <c r="H555" s="982"/>
      <c r="I555" s="982"/>
      <c r="J555" s="982"/>
      <c r="K555" s="982"/>
      <c r="L555" s="982"/>
      <c r="M555" s="982"/>
      <c r="N555" s="982"/>
    </row>
    <row r="556" spans="1:14">
      <c r="F556" s="982"/>
      <c r="G556" s="982"/>
      <c r="H556" s="982"/>
      <c r="I556" s="982"/>
      <c r="J556" s="982"/>
      <c r="K556" s="982"/>
      <c r="L556" s="982"/>
      <c r="M556" s="982"/>
      <c r="N556" s="982"/>
    </row>
    <row r="558" spans="1:14">
      <c r="A558" s="981" t="s">
        <v>205</v>
      </c>
      <c r="B558" s="981"/>
      <c r="C558" s="981"/>
      <c r="D558" s="981"/>
      <c r="E558" s="981"/>
      <c r="F558" s="982" t="s">
        <v>206</v>
      </c>
      <c r="G558" s="982"/>
      <c r="H558" s="982"/>
      <c r="I558" s="982"/>
      <c r="J558" s="982"/>
      <c r="K558" s="982"/>
      <c r="L558" s="982"/>
      <c r="M558" s="982"/>
      <c r="N558" s="982"/>
    </row>
    <row r="559" spans="1:14">
      <c r="F559" s="982"/>
      <c r="G559" s="982"/>
      <c r="H559" s="982"/>
      <c r="I559" s="982"/>
      <c r="J559" s="982"/>
      <c r="K559" s="982"/>
      <c r="L559" s="982"/>
      <c r="M559" s="982"/>
      <c r="N559" s="982"/>
    </row>
    <row r="560" spans="1:14">
      <c r="F560" s="982"/>
      <c r="G560" s="982"/>
      <c r="H560" s="982"/>
      <c r="I560" s="982"/>
      <c r="J560" s="982"/>
      <c r="K560" s="982"/>
      <c r="L560" s="982"/>
      <c r="M560" s="982"/>
      <c r="N560" s="982"/>
    </row>
    <row r="561" spans="6:14">
      <c r="F561" s="982"/>
      <c r="G561" s="982"/>
      <c r="H561" s="982"/>
      <c r="I561" s="982"/>
      <c r="J561" s="982"/>
      <c r="K561" s="982"/>
      <c r="L561" s="982"/>
      <c r="M561" s="982"/>
      <c r="N561" s="982"/>
    </row>
    <row r="562" spans="6:14">
      <c r="F562" s="982"/>
      <c r="G562" s="982"/>
      <c r="H562" s="982"/>
      <c r="I562" s="982"/>
      <c r="J562" s="982"/>
      <c r="K562" s="982"/>
      <c r="L562" s="982"/>
      <c r="M562" s="982"/>
      <c r="N562" s="982"/>
    </row>
    <row r="563" spans="6:14">
      <c r="F563" s="982"/>
      <c r="G563" s="982"/>
      <c r="H563" s="982"/>
      <c r="I563" s="982"/>
      <c r="J563" s="982"/>
      <c r="K563" s="982"/>
      <c r="L563" s="982"/>
      <c r="M563" s="982"/>
      <c r="N563" s="982"/>
    </row>
  </sheetData>
  <mergeCells count="310">
    <mergeCell ref="P153:S153"/>
    <mergeCell ref="P154:S154"/>
    <mergeCell ref="P155:S155"/>
    <mergeCell ref="I152:M152"/>
    <mergeCell ref="D272:M272"/>
    <mergeCell ref="B183:K183"/>
    <mergeCell ref="B1:H1"/>
    <mergeCell ref="B2:H2"/>
    <mergeCell ref="B3:J3"/>
    <mergeCell ref="B182:H182"/>
    <mergeCell ref="B184:J184"/>
    <mergeCell ref="D8:E8"/>
    <mergeCell ref="H8:I8"/>
    <mergeCell ref="H9:I9"/>
    <mergeCell ref="H10:I10"/>
    <mergeCell ref="A19:C19"/>
    <mergeCell ref="F19:M19"/>
    <mergeCell ref="C20:K20"/>
    <mergeCell ref="A21:C21"/>
    <mergeCell ref="A22:C22"/>
    <mergeCell ref="A23:C23"/>
    <mergeCell ref="H13:I13"/>
    <mergeCell ref="H14:I14"/>
    <mergeCell ref="B4:I4"/>
    <mergeCell ref="K4:L4"/>
    <mergeCell ref="M4:N4"/>
    <mergeCell ref="B5:C5"/>
    <mergeCell ref="D6:E6"/>
    <mergeCell ref="G6:K6"/>
    <mergeCell ref="A35:B35"/>
    <mergeCell ref="A36:B36"/>
    <mergeCell ref="H36:J36"/>
    <mergeCell ref="L36:M36"/>
    <mergeCell ref="A17:C17"/>
    <mergeCell ref="H17:I17"/>
    <mergeCell ref="A18:C18"/>
    <mergeCell ref="H18:I18"/>
    <mergeCell ref="E23:M23"/>
    <mergeCell ref="A33:B33"/>
    <mergeCell ref="L10:N10"/>
    <mergeCell ref="A12:C12"/>
    <mergeCell ref="H12:I12"/>
    <mergeCell ref="F15:I15"/>
    <mergeCell ref="A37:B37"/>
    <mergeCell ref="A24:C24"/>
    <mergeCell ref="E24:N24"/>
    <mergeCell ref="A25:C25"/>
    <mergeCell ref="F28:G28"/>
    <mergeCell ref="K28:M28"/>
    <mergeCell ref="E29:F29"/>
    <mergeCell ref="F25:I25"/>
    <mergeCell ref="A53:D53"/>
    <mergeCell ref="A54:C54"/>
    <mergeCell ref="A55:B55"/>
    <mergeCell ref="A57:B57"/>
    <mergeCell ref="A38:B38"/>
    <mergeCell ref="A39:B39"/>
    <mergeCell ref="L39:M39"/>
    <mergeCell ref="A40:B40"/>
    <mergeCell ref="L40:M40"/>
    <mergeCell ref="A42:B42"/>
    <mergeCell ref="C42:N42"/>
    <mergeCell ref="A68:B68"/>
    <mergeCell ref="A69:C69"/>
    <mergeCell ref="A70:C70"/>
    <mergeCell ref="A73:B73"/>
    <mergeCell ref="A75:C75"/>
    <mergeCell ref="A78:B78"/>
    <mergeCell ref="A59:B59"/>
    <mergeCell ref="A60:C60"/>
    <mergeCell ref="A61:C61"/>
    <mergeCell ref="A62:B62"/>
    <mergeCell ref="A64:B64"/>
    <mergeCell ref="A66:B66"/>
    <mergeCell ref="D106:E106"/>
    <mergeCell ref="D107:E107"/>
    <mergeCell ref="D108:E108"/>
    <mergeCell ref="A109:F109"/>
    <mergeCell ref="D121:E121"/>
    <mergeCell ref="D122:E122"/>
    <mergeCell ref="C79:F79"/>
    <mergeCell ref="A80:C80"/>
    <mergeCell ref="A83:B83"/>
    <mergeCell ref="A93:C93"/>
    <mergeCell ref="F93:J93"/>
    <mergeCell ref="A94:F94"/>
    <mergeCell ref="A177:C177"/>
    <mergeCell ref="M185:N185"/>
    <mergeCell ref="B186:C186"/>
    <mergeCell ref="K186:L186"/>
    <mergeCell ref="A187:B187"/>
    <mergeCell ref="E187:F187"/>
    <mergeCell ref="I187:J187"/>
    <mergeCell ref="D123:E123"/>
    <mergeCell ref="A124:F124"/>
    <mergeCell ref="D136:E136"/>
    <mergeCell ref="D137:E137"/>
    <mergeCell ref="D138:E138"/>
    <mergeCell ref="A140:F140"/>
    <mergeCell ref="G156:H156"/>
    <mergeCell ref="J156:K156"/>
    <mergeCell ref="M156:N156"/>
    <mergeCell ref="D156:E156"/>
    <mergeCell ref="A156:B156"/>
    <mergeCell ref="L189:M189"/>
    <mergeCell ref="A190:B190"/>
    <mergeCell ref="J190:K190"/>
    <mergeCell ref="A191:B191"/>
    <mergeCell ref="J191:K191"/>
    <mergeCell ref="A192:B192"/>
    <mergeCell ref="J192:K192"/>
    <mergeCell ref="A188:B188"/>
    <mergeCell ref="C188:H188"/>
    <mergeCell ref="I188:K188"/>
    <mergeCell ref="A189:B189"/>
    <mergeCell ref="C189:D189"/>
    <mergeCell ref="E189:F189"/>
    <mergeCell ref="G189:H189"/>
    <mergeCell ref="I189:K189"/>
    <mergeCell ref="A197:B197"/>
    <mergeCell ref="J197:K197"/>
    <mergeCell ref="I199:J199"/>
    <mergeCell ref="A204:B204"/>
    <mergeCell ref="A205:B205"/>
    <mergeCell ref="A207:B207"/>
    <mergeCell ref="J193:K193"/>
    <mergeCell ref="A194:B194"/>
    <mergeCell ref="J194:K194"/>
    <mergeCell ref="A195:B195"/>
    <mergeCell ref="J195:K195"/>
    <mergeCell ref="A196:B196"/>
    <mergeCell ref="J196:K196"/>
    <mergeCell ref="E219:F219"/>
    <mergeCell ref="E220:F220"/>
    <mergeCell ref="E221:F221"/>
    <mergeCell ref="E222:F222"/>
    <mergeCell ref="E223:F223"/>
    <mergeCell ref="E224:F224"/>
    <mergeCell ref="A208:B208"/>
    <mergeCell ref="A209:B209"/>
    <mergeCell ref="A210:B210"/>
    <mergeCell ref="A211:C211"/>
    <mergeCell ref="A212:B212"/>
    <mergeCell ref="E218:F218"/>
    <mergeCell ref="E229:F229"/>
    <mergeCell ref="E230:F230"/>
    <mergeCell ref="E231:F231"/>
    <mergeCell ref="E232:F232"/>
    <mergeCell ref="E233:G233"/>
    <mergeCell ref="E235:F235"/>
    <mergeCell ref="E225:F225"/>
    <mergeCell ref="E226:F226"/>
    <mergeCell ref="I226:K226"/>
    <mergeCell ref="E227:F227"/>
    <mergeCell ref="I227:K227"/>
    <mergeCell ref="E228:F228"/>
    <mergeCell ref="J248:K248"/>
    <mergeCell ref="D259:F259"/>
    <mergeCell ref="A269:N269"/>
    <mergeCell ref="B279:G279"/>
    <mergeCell ref="I279:J279"/>
    <mergeCell ref="M279:N279"/>
    <mergeCell ref="E236:F236"/>
    <mergeCell ref="E237:F237"/>
    <mergeCell ref="E238:F238"/>
    <mergeCell ref="E239:F239"/>
    <mergeCell ref="E240:F240"/>
    <mergeCell ref="J247:K247"/>
    <mergeCell ref="B276:H276"/>
    <mergeCell ref="B277:H277"/>
    <mergeCell ref="B278:J278"/>
    <mergeCell ref="B272:C272"/>
    <mergeCell ref="A286:B286"/>
    <mergeCell ref="A288:B288"/>
    <mergeCell ref="A289:B289"/>
    <mergeCell ref="H289:J289"/>
    <mergeCell ref="L289:M289"/>
    <mergeCell ref="A290:B290"/>
    <mergeCell ref="A280:F280"/>
    <mergeCell ref="D281:E281"/>
    <mergeCell ref="F281:G281"/>
    <mergeCell ref="I281:J281"/>
    <mergeCell ref="K281:M281"/>
    <mergeCell ref="E282:F282"/>
    <mergeCell ref="A291:B291"/>
    <mergeCell ref="A292:B292"/>
    <mergeCell ref="L292:M292"/>
    <mergeCell ref="A293:B293"/>
    <mergeCell ref="L293:M293"/>
    <mergeCell ref="A303:D303"/>
    <mergeCell ref="E303:F303"/>
    <mergeCell ref="H303:I303"/>
    <mergeCell ref="K303:M303"/>
    <mergeCell ref="A307:D307"/>
    <mergeCell ref="K307:L307"/>
    <mergeCell ref="A308:F308"/>
    <mergeCell ref="C309:D309"/>
    <mergeCell ref="F309:N309"/>
    <mergeCell ref="E322:F322"/>
    <mergeCell ref="A304:D304"/>
    <mergeCell ref="K304:L304"/>
    <mergeCell ref="A305:D305"/>
    <mergeCell ref="K305:L305"/>
    <mergeCell ref="A306:D306"/>
    <mergeCell ref="K306:L306"/>
    <mergeCell ref="A329:C329"/>
    <mergeCell ref="A330:C330"/>
    <mergeCell ref="A331:C331"/>
    <mergeCell ref="A332:C332"/>
    <mergeCell ref="A333:C333"/>
    <mergeCell ref="A334:C334"/>
    <mergeCell ref="A323:C323"/>
    <mergeCell ref="A324:C324"/>
    <mergeCell ref="A325:C325"/>
    <mergeCell ref="A326:C326"/>
    <mergeCell ref="A327:C327"/>
    <mergeCell ref="A328:C328"/>
    <mergeCell ref="A361:B361"/>
    <mergeCell ref="A363:E363"/>
    <mergeCell ref="A364:B364"/>
    <mergeCell ref="A335:C335"/>
    <mergeCell ref="A336:C336"/>
    <mergeCell ref="A337:C337"/>
    <mergeCell ref="A339:N343"/>
    <mergeCell ref="A349:N353"/>
    <mergeCell ref="A344:N348"/>
    <mergeCell ref="A354:N358"/>
    <mergeCell ref="K375:N375"/>
    <mergeCell ref="A436:D441"/>
    <mergeCell ref="E436:I441"/>
    <mergeCell ref="J436:N441"/>
    <mergeCell ref="A467:D467"/>
    <mergeCell ref="E467:N467"/>
    <mergeCell ref="A365:E365"/>
    <mergeCell ref="A370:N370"/>
    <mergeCell ref="A371:N371"/>
    <mergeCell ref="B372:D372"/>
    <mergeCell ref="B373:M373"/>
    <mergeCell ref="B374:E374"/>
    <mergeCell ref="K376:L376"/>
    <mergeCell ref="K378:L378"/>
    <mergeCell ref="K379:L379"/>
    <mergeCell ref="K380:L380"/>
    <mergeCell ref="K381:L381"/>
    <mergeCell ref="K383:L383"/>
    <mergeCell ref="K385:L385"/>
    <mergeCell ref="K387:L387"/>
    <mergeCell ref="K388:L388"/>
    <mergeCell ref="K389:L389"/>
    <mergeCell ref="K390:L390"/>
    <mergeCell ref="K421:L421"/>
    <mergeCell ref="E507:N510"/>
    <mergeCell ref="A477:D477"/>
    <mergeCell ref="E477:N478"/>
    <mergeCell ref="A480:D480"/>
    <mergeCell ref="E480:N481"/>
    <mergeCell ref="A483:D483"/>
    <mergeCell ref="A485:D485"/>
    <mergeCell ref="E485:N490"/>
    <mergeCell ref="A469:D469"/>
    <mergeCell ref="E469:N470"/>
    <mergeCell ref="A472:D472"/>
    <mergeCell ref="E472:N472"/>
    <mergeCell ref="A474:D474"/>
    <mergeCell ref="E474:N475"/>
    <mergeCell ref="O42:T42"/>
    <mergeCell ref="A543:E543"/>
    <mergeCell ref="F543:N550"/>
    <mergeCell ref="A552:E552"/>
    <mergeCell ref="F552:N556"/>
    <mergeCell ref="A558:E558"/>
    <mergeCell ref="F558:N563"/>
    <mergeCell ref="A528:B528"/>
    <mergeCell ref="A530:E530"/>
    <mergeCell ref="A532:E532"/>
    <mergeCell ref="F532:N534"/>
    <mergeCell ref="A536:B536"/>
    <mergeCell ref="A540:E540"/>
    <mergeCell ref="A512:D512"/>
    <mergeCell ref="E512:N512"/>
    <mergeCell ref="A514:D514"/>
    <mergeCell ref="E514:N522"/>
    <mergeCell ref="A524:D524"/>
    <mergeCell ref="E524:N524"/>
    <mergeCell ref="A493:D493"/>
    <mergeCell ref="E493:N500"/>
    <mergeCell ref="A502:D502"/>
    <mergeCell ref="E502:N505"/>
    <mergeCell ref="A507:D507"/>
    <mergeCell ref="K432:L432"/>
    <mergeCell ref="K434:L434"/>
    <mergeCell ref="K391:L391"/>
    <mergeCell ref="K393:L393"/>
    <mergeCell ref="K394:L394"/>
    <mergeCell ref="K399:L399"/>
    <mergeCell ref="K400:L400"/>
    <mergeCell ref="K407:L407"/>
    <mergeCell ref="K408:L408"/>
    <mergeCell ref="K392:L392"/>
    <mergeCell ref="K395:L395"/>
    <mergeCell ref="K406:L406"/>
    <mergeCell ref="D378:J378"/>
    <mergeCell ref="C383:J383"/>
    <mergeCell ref="E388:J388"/>
    <mergeCell ref="D387:J387"/>
    <mergeCell ref="K409:L409"/>
    <mergeCell ref="K411:L411"/>
    <mergeCell ref="K412:L412"/>
    <mergeCell ref="K418:L418"/>
    <mergeCell ref="K431:L431"/>
  </mergeCells>
  <dataValidations count="14">
    <dataValidation type="list" allowBlank="1" showInputMessage="1" showErrorMessage="1" sqref="H374">
      <formula1>$O$371:$O$379</formula1>
    </dataValidation>
    <dataValidation type="list" allowBlank="1" showInputMessage="1" showErrorMessage="1" sqref="C364">
      <formula1>$O$363:$O$366</formula1>
    </dataValidation>
    <dataValidation type="list" allowBlank="1" showInputMessage="1" showErrorMessage="1" sqref="F158">
      <formula1>$U$134:$U$149</formula1>
    </dataValidation>
    <dataValidation type="list" allowBlank="1" showInputMessage="1" showErrorMessage="1" sqref="L293:M293 L40:M40">
      <formula1>$R$282:$R$283</formula1>
    </dataValidation>
    <dataValidation type="list" allowBlank="1" showInputMessage="1" showErrorMessage="1" sqref="C286 C33">
      <formula1>$P$282:$P$283</formula1>
    </dataValidation>
    <dataValidation type="list" allowBlank="1" showInputMessage="1" showErrorMessage="1" sqref="G282 G29">
      <formula1>$U$271:$U$282</formula1>
    </dataValidation>
    <dataValidation type="list" allowBlank="1" showInputMessage="1" showErrorMessage="1" sqref="D282 D29">
      <formula1>$T$271:$T$282</formula1>
    </dataValidation>
    <dataValidation type="list" allowBlank="1" showInputMessage="1" showErrorMessage="1" sqref="K281:M281">
      <formula1>$R$271:$R$280</formula1>
    </dataValidation>
    <dataValidation type="list" allowBlank="1" showInputMessage="1" showErrorMessage="1" sqref="F281:G281 F28">
      <formula1>$P$271:$P$280</formula1>
    </dataValidation>
    <dataValidation type="list" allowBlank="1" showInputMessage="1" showErrorMessage="1" sqref="K28:M28">
      <formula1>$R$270:$R$280</formula1>
    </dataValidation>
    <dataValidation type="list" allowBlank="1" showInputMessage="1" showErrorMessage="1" sqref="I152">
      <formula1>$P$148:$P$152</formula1>
    </dataValidation>
    <dataValidation type="list" allowBlank="1" showInputMessage="1" showErrorMessage="1" sqref="C42:N42">
      <formula1>$O$39:$O$43</formula1>
    </dataValidation>
    <dataValidation type="list" allowBlank="1" showInputMessage="1" showErrorMessage="1" sqref="D378:J378">
      <formula1>$P$374:$P$376</formula1>
    </dataValidation>
    <dataValidation type="list" allowBlank="1" showInputMessage="1" showErrorMessage="1" sqref="C383">
      <formula1>$P$383:$P$385</formula1>
    </dataValidation>
  </dataValidations>
  <pageMargins left="0.25" right="0.25" top="0.75" bottom="0.75" header="0.3" footer="0.3"/>
  <pageSetup firstPageNumber="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C654"/>
  <sheetViews>
    <sheetView showGridLines="0" showRowColHeaders="0" zoomScaleNormal="100" zoomScalePageLayoutView="60" workbookViewId="0">
      <selection activeCell="D9" sqref="D9"/>
    </sheetView>
  </sheetViews>
  <sheetFormatPr baseColWidth="10" defaultRowHeight="15" outlineLevelRow="7"/>
  <cols>
    <col min="1" max="1" width="8.85546875" style="1" customWidth="1"/>
    <col min="2" max="2" width="5.5703125" style="1" customWidth="1"/>
    <col min="3" max="3" width="6.5703125" style="1" customWidth="1"/>
    <col min="4" max="4" width="6.42578125" style="1" customWidth="1"/>
    <col min="5" max="5" width="5.5703125" style="1" customWidth="1"/>
    <col min="6" max="6" width="5.7109375" style="1" customWidth="1"/>
    <col min="7" max="7" width="4.85546875" style="1" customWidth="1"/>
    <col min="8" max="9" width="6" style="1" customWidth="1"/>
    <col min="10" max="10" width="4.5703125" style="1" customWidth="1"/>
    <col min="11" max="11" width="5" style="1" customWidth="1"/>
    <col min="12" max="12" width="4.85546875" style="1" customWidth="1"/>
    <col min="13" max="13" width="11.85546875" style="1" bestFit="1" customWidth="1"/>
    <col min="14" max="14" width="11" style="1" customWidth="1"/>
    <col min="15" max="15" width="11.42578125" style="1"/>
    <col min="16" max="16" width="11.85546875" style="1" bestFit="1" customWidth="1"/>
    <col min="17" max="16384" width="11.42578125" style="1"/>
  </cols>
  <sheetData>
    <row r="1" spans="1:25">
      <c r="A1" s="357" t="s">
        <v>539</v>
      </c>
      <c r="B1" s="1086" t="s">
        <v>71</v>
      </c>
      <c r="C1" s="1086"/>
      <c r="D1" s="1086"/>
      <c r="E1" s="1086"/>
      <c r="F1" s="1086"/>
      <c r="G1" s="1086"/>
      <c r="H1" s="1086"/>
      <c r="I1" s="357"/>
      <c r="J1" s="357"/>
      <c r="K1" s="357"/>
      <c r="L1" s="357"/>
      <c r="M1" s="357"/>
      <c r="N1" s="357"/>
      <c r="O1" s="541"/>
      <c r="P1" s="541"/>
      <c r="Q1" s="541"/>
      <c r="R1" s="541"/>
      <c r="S1" s="541"/>
      <c r="T1" s="542"/>
      <c r="U1" s="542"/>
      <c r="V1" s="542"/>
      <c r="W1" s="535"/>
      <c r="X1" s="535"/>
      <c r="Y1" s="535"/>
    </row>
    <row r="2" spans="1:25">
      <c r="A2" s="357" t="s">
        <v>540</v>
      </c>
      <c r="B2" s="1086" t="s">
        <v>547</v>
      </c>
      <c r="C2" s="1086"/>
      <c r="D2" s="1086"/>
      <c r="E2" s="1086"/>
      <c r="F2" s="1086"/>
      <c r="G2" s="1086"/>
      <c r="H2" s="1086"/>
      <c r="I2" s="357"/>
      <c r="J2" s="357"/>
      <c r="K2" s="357"/>
      <c r="L2" s="357"/>
      <c r="M2" s="357"/>
      <c r="N2" s="357"/>
      <c r="O2" s="541"/>
      <c r="P2" s="541"/>
      <c r="Q2" s="541"/>
      <c r="R2" s="541"/>
      <c r="S2" s="541"/>
      <c r="T2" s="542"/>
      <c r="U2" s="542"/>
      <c r="V2" s="542"/>
      <c r="W2" s="535"/>
      <c r="X2" s="535"/>
      <c r="Y2" s="535"/>
    </row>
    <row r="3" spans="1:25">
      <c r="A3" s="500"/>
      <c r="B3" s="1087" t="s">
        <v>1</v>
      </c>
      <c r="C3" s="1087"/>
      <c r="D3" s="1087"/>
      <c r="E3" s="1087"/>
      <c r="F3" s="1087"/>
      <c r="G3" s="1087"/>
      <c r="H3" s="1087"/>
      <c r="I3" s="1087"/>
      <c r="J3" s="1087"/>
      <c r="K3" s="500"/>
      <c r="L3" s="500"/>
      <c r="M3" s="500"/>
      <c r="N3" s="500"/>
      <c r="O3" s="541"/>
      <c r="P3" s="541"/>
      <c r="Q3" s="541"/>
      <c r="R3" s="541"/>
      <c r="S3" s="541"/>
      <c r="T3" s="542"/>
      <c r="U3" s="542"/>
      <c r="V3" s="542"/>
      <c r="W3" s="535"/>
      <c r="X3" s="535"/>
      <c r="Y3" s="535"/>
    </row>
    <row r="4" spans="1:25">
      <c r="A4" s="379" t="s">
        <v>2</v>
      </c>
      <c r="B4" s="1170"/>
      <c r="C4" s="1171"/>
      <c r="D4" s="1171"/>
      <c r="E4" s="1171"/>
      <c r="F4" s="1171"/>
      <c r="G4" s="1171"/>
      <c r="H4" s="1171"/>
      <c r="I4" s="1171"/>
      <c r="J4" s="358"/>
      <c r="K4" s="1172" t="s">
        <v>291</v>
      </c>
      <c r="L4" s="1172"/>
      <c r="M4" s="1175"/>
      <c r="N4" s="1176"/>
      <c r="O4" s="541"/>
      <c r="P4" s="541"/>
      <c r="Q4" s="541"/>
      <c r="R4" s="541"/>
      <c r="S4" s="541"/>
      <c r="T4" s="542"/>
      <c r="U4" s="542"/>
      <c r="V4" s="542"/>
      <c r="W4" s="535"/>
      <c r="X4" s="535"/>
      <c r="Y4" s="535"/>
    </row>
    <row r="5" spans="1:25">
      <c r="A5" s="380" t="s">
        <v>3</v>
      </c>
      <c r="B5" s="1183">
        <f ca="1">TODAY()</f>
        <v>43208</v>
      </c>
      <c r="C5" s="1183"/>
      <c r="D5" s="672"/>
      <c r="E5" s="672"/>
      <c r="F5" s="672"/>
      <c r="G5" s="672"/>
      <c r="H5" s="672"/>
      <c r="I5" s="672"/>
      <c r="J5" s="79"/>
      <c r="K5" s="672"/>
      <c r="L5" s="672"/>
      <c r="M5" s="78"/>
      <c r="N5" s="359"/>
      <c r="O5" s="541"/>
      <c r="P5" s="541"/>
      <c r="Q5" s="541"/>
      <c r="R5" s="541"/>
      <c r="S5" s="541"/>
      <c r="T5" s="542"/>
      <c r="U5" s="542"/>
      <c r="V5" s="542"/>
      <c r="W5" s="535"/>
      <c r="X5" s="535"/>
      <c r="Y5" s="535"/>
    </row>
    <row r="6" spans="1:25">
      <c r="A6" s="380" t="s">
        <v>234</v>
      </c>
      <c r="B6" s="672"/>
      <c r="C6" s="672"/>
      <c r="D6" s="1184"/>
      <c r="E6" s="1183"/>
      <c r="F6" s="672"/>
      <c r="G6" s="1118" t="str">
        <f ca="1">DATEDIF(D6,TODAY(),"y")&amp;"_años_"&amp;DATEDIF(D6,TODAY(),"ym")&amp;"_meses_"&amp;DATEDIF(D6,TODAY(),"md")&amp;"_dias_"</f>
        <v>118_años_3_meses_18_dias_</v>
      </c>
      <c r="H6" s="1118"/>
      <c r="I6" s="1118"/>
      <c r="J6" s="1118"/>
      <c r="K6" s="1118"/>
      <c r="L6" s="672"/>
      <c r="M6" s="672"/>
      <c r="N6" s="360"/>
      <c r="O6" s="543"/>
      <c r="P6" s="541"/>
      <c r="Q6" s="541"/>
      <c r="R6" s="541"/>
      <c r="S6" s="541"/>
      <c r="T6" s="542"/>
      <c r="U6" s="542"/>
      <c r="V6" s="542"/>
      <c r="W6" s="535"/>
      <c r="X6" s="535"/>
      <c r="Y6" s="535"/>
    </row>
    <row r="7" spans="1:25">
      <c r="A7" s="380"/>
      <c r="B7" s="672"/>
      <c r="C7" s="672"/>
      <c r="D7" s="672"/>
      <c r="E7" s="672"/>
      <c r="F7" s="672"/>
      <c r="G7" s="672"/>
      <c r="H7" s="672"/>
      <c r="I7" s="672"/>
      <c r="J7" s="79"/>
      <c r="K7" s="672"/>
      <c r="L7" s="672"/>
      <c r="M7" s="78"/>
      <c r="N7" s="359"/>
      <c r="O7" s="541"/>
      <c r="P7" s="541"/>
      <c r="Q7" s="541"/>
      <c r="R7" s="541"/>
      <c r="S7" s="541"/>
      <c r="T7" s="542"/>
      <c r="U7" s="542"/>
      <c r="V7" s="542"/>
      <c r="W7" s="535"/>
      <c r="X7" s="535"/>
      <c r="Y7" s="535"/>
    </row>
    <row r="8" spans="1:25" ht="16.5" customHeight="1">
      <c r="A8" s="380" t="s">
        <v>73</v>
      </c>
      <c r="B8" s="79"/>
      <c r="C8" s="79"/>
      <c r="D8" s="1173" t="s">
        <v>550</v>
      </c>
      <c r="E8" s="1173"/>
      <c r="F8" s="169"/>
      <c r="G8" s="79"/>
      <c r="H8" s="1173" t="s">
        <v>396</v>
      </c>
      <c r="I8" s="1173"/>
      <c r="J8" s="169"/>
      <c r="K8" s="171" t="s">
        <v>402</v>
      </c>
      <c r="L8" s="682"/>
      <c r="M8" s="361"/>
      <c r="N8" s="360"/>
      <c r="O8" s="541"/>
      <c r="P8" s="541"/>
      <c r="Q8" s="541"/>
      <c r="R8" s="541"/>
      <c r="S8" s="541"/>
      <c r="T8" s="542"/>
      <c r="U8" s="542"/>
      <c r="V8" s="542"/>
      <c r="W8" s="535"/>
      <c r="X8" s="535"/>
      <c r="Y8" s="535"/>
    </row>
    <row r="9" spans="1:25" ht="15.75">
      <c r="A9" s="380" t="s">
        <v>4</v>
      </c>
      <c r="B9" s="79"/>
      <c r="C9" s="79"/>
      <c r="D9" s="139">
        <v>70</v>
      </c>
      <c r="E9" s="79" t="s">
        <v>5</v>
      </c>
      <c r="F9" s="169"/>
      <c r="G9" s="79"/>
      <c r="H9" s="1185">
        <f ca="1">B5</f>
        <v>43208</v>
      </c>
      <c r="I9" s="1185"/>
      <c r="J9" s="671">
        <v>1</v>
      </c>
      <c r="K9" s="501">
        <f>D10</f>
        <v>79</v>
      </c>
      <c r="L9" s="671"/>
      <c r="M9" s="79"/>
      <c r="N9" s="360"/>
      <c r="O9" s="541"/>
      <c r="P9" s="541"/>
      <c r="Q9" s="541"/>
      <c r="R9" s="541"/>
      <c r="S9" s="541"/>
      <c r="T9" s="542"/>
      <c r="U9" s="542"/>
      <c r="V9" s="542"/>
      <c r="W9" s="535"/>
      <c r="X9" s="535"/>
      <c r="Y9" s="535"/>
    </row>
    <row r="10" spans="1:25" ht="15.75">
      <c r="A10" s="380" t="s">
        <v>6</v>
      </c>
      <c r="B10" s="79"/>
      <c r="C10" s="79"/>
      <c r="D10" s="139">
        <v>79</v>
      </c>
      <c r="E10" s="79" t="s">
        <v>7</v>
      </c>
      <c r="F10" s="79"/>
      <c r="G10" s="79"/>
      <c r="H10" s="1173"/>
      <c r="I10" s="1173"/>
      <c r="J10" s="671">
        <v>2</v>
      </c>
      <c r="K10" s="501">
        <v>86</v>
      </c>
      <c r="L10" s="1173"/>
      <c r="M10" s="1173"/>
      <c r="N10" s="1174"/>
      <c r="O10" s="541"/>
      <c r="P10" s="541"/>
      <c r="Q10" s="541"/>
      <c r="R10" s="541"/>
      <c r="S10" s="541"/>
      <c r="T10" s="542"/>
      <c r="U10" s="542"/>
      <c r="V10" s="542"/>
      <c r="W10" s="535"/>
      <c r="X10" s="535"/>
      <c r="Y10" s="535"/>
    </row>
    <row r="11" spans="1:25" ht="15.75">
      <c r="A11" s="380" t="s">
        <v>568</v>
      </c>
      <c r="B11" s="79"/>
      <c r="C11" s="79"/>
      <c r="D11" s="139">
        <v>63</v>
      </c>
      <c r="E11" s="79" t="s">
        <v>7</v>
      </c>
      <c r="F11" s="79"/>
      <c r="G11" s="79"/>
      <c r="H11" s="671"/>
      <c r="I11" s="671"/>
      <c r="J11" s="671">
        <v>3</v>
      </c>
      <c r="K11" s="501">
        <v>77</v>
      </c>
      <c r="L11" s="671"/>
      <c r="M11" s="671"/>
      <c r="N11" s="688"/>
      <c r="O11" s="541"/>
      <c r="P11" s="541"/>
      <c r="Q11" s="541"/>
      <c r="R11" s="541"/>
      <c r="S11" s="541"/>
      <c r="T11" s="542"/>
      <c r="U11" s="542"/>
      <c r="V11" s="542"/>
      <c r="W11" s="535"/>
      <c r="X11" s="535"/>
      <c r="Y11" s="535"/>
    </row>
    <row r="12" spans="1:25" ht="15.75">
      <c r="A12" s="1177" t="s">
        <v>541</v>
      </c>
      <c r="B12" s="1178"/>
      <c r="C12" s="1178"/>
      <c r="D12" s="604">
        <f>21.5*(D17*D17)</f>
        <v>59.245399999999997</v>
      </c>
      <c r="E12" s="79" t="s">
        <v>7</v>
      </c>
      <c r="F12" s="79"/>
      <c r="G12" s="79"/>
      <c r="H12" s="1173"/>
      <c r="I12" s="1173"/>
      <c r="J12" s="671">
        <v>4</v>
      </c>
      <c r="K12" s="502">
        <v>44</v>
      </c>
      <c r="L12" s="79"/>
      <c r="M12" s="361"/>
      <c r="N12" s="363"/>
      <c r="O12" s="541"/>
      <c r="P12" s="541"/>
      <c r="Q12" s="541"/>
      <c r="R12" s="544"/>
      <c r="S12" s="541"/>
      <c r="T12" s="542"/>
      <c r="U12" s="542"/>
      <c r="V12" s="542"/>
      <c r="W12" s="535"/>
      <c r="X12" s="535"/>
      <c r="Y12" s="535"/>
    </row>
    <row r="13" spans="1:25" ht="15.75" outlineLevel="7">
      <c r="A13" s="380" t="s">
        <v>9</v>
      </c>
      <c r="B13" s="79"/>
      <c r="C13" s="79"/>
      <c r="D13" s="604">
        <f>18.5*(D17*D17)</f>
        <v>50.9786</v>
      </c>
      <c r="E13" s="79" t="s">
        <v>7</v>
      </c>
      <c r="F13" s="79"/>
      <c r="G13" s="79"/>
      <c r="H13" s="1173"/>
      <c r="I13" s="1173"/>
      <c r="J13" s="671">
        <v>5</v>
      </c>
      <c r="K13" s="501">
        <v>0</v>
      </c>
      <c r="L13" s="79"/>
      <c r="M13" s="79"/>
      <c r="N13" s="360"/>
      <c r="O13" s="541"/>
      <c r="P13" s="541"/>
      <c r="Q13" s="541"/>
      <c r="R13" s="541"/>
      <c r="S13" s="541"/>
      <c r="T13" s="542"/>
      <c r="U13" s="542"/>
      <c r="V13" s="542"/>
      <c r="W13" s="535"/>
      <c r="X13" s="535"/>
      <c r="Y13" s="535"/>
    </row>
    <row r="14" spans="1:25" ht="15.75" outlineLevel="7">
      <c r="A14" s="380" t="s">
        <v>10</v>
      </c>
      <c r="B14" s="79"/>
      <c r="C14" s="79"/>
      <c r="D14" s="604">
        <f>24.9*(D17*D17)</f>
        <v>68.614439999999988</v>
      </c>
      <c r="E14" s="79" t="s">
        <v>7</v>
      </c>
      <c r="F14" s="79"/>
      <c r="G14" s="79"/>
      <c r="H14" s="1173"/>
      <c r="I14" s="1173"/>
      <c r="J14" s="671">
        <v>6</v>
      </c>
      <c r="K14" s="501">
        <v>0</v>
      </c>
      <c r="L14" s="79"/>
      <c r="M14" s="79"/>
      <c r="N14" s="360"/>
      <c r="O14" s="541"/>
      <c r="P14" s="541"/>
      <c r="Q14" s="541"/>
      <c r="R14" s="541"/>
      <c r="S14" s="541"/>
      <c r="T14" s="542"/>
      <c r="U14" s="542"/>
      <c r="V14" s="542"/>
      <c r="W14" s="535"/>
      <c r="X14" s="535"/>
      <c r="Y14" s="535"/>
    </row>
    <row r="15" spans="1:25" ht="15.75" outlineLevel="7">
      <c r="A15" s="380" t="s">
        <v>566</v>
      </c>
      <c r="B15" s="79"/>
      <c r="C15" s="79"/>
      <c r="D15" s="604">
        <f>(D10/D12)*100</f>
        <v>133.34368575450583</v>
      </c>
      <c r="E15" s="79" t="s">
        <v>52</v>
      </c>
      <c r="F15" s="1179" t="str">
        <f>IF(D15&lt;=89.9,"BAJO PESO",IF(D15=90,"PESO ACEPTABLE",IF(D15&lt;120,"PESO ACEPTABLE",IF(D15&gt;120.1,"EXCESO O SOBREPESO"))))</f>
        <v>EXCESO O SOBREPESO</v>
      </c>
      <c r="G15" s="1179"/>
      <c r="H15" s="1179"/>
      <c r="I15" s="1179"/>
      <c r="J15" s="671"/>
      <c r="K15" s="608"/>
      <c r="L15" s="79"/>
      <c r="M15" s="79"/>
      <c r="N15" s="360"/>
      <c r="O15" s="541"/>
      <c r="P15" s="541"/>
      <c r="Q15" s="541"/>
      <c r="R15" s="541"/>
      <c r="S15" s="541"/>
      <c r="T15" s="542"/>
      <c r="U15" s="542"/>
      <c r="V15" s="542"/>
      <c r="W15" s="535"/>
      <c r="X15" s="535"/>
      <c r="Y15" s="535"/>
    </row>
    <row r="16" spans="1:25" ht="15.75" outlineLevel="7">
      <c r="A16" s="380" t="s">
        <v>567</v>
      </c>
      <c r="B16" s="79"/>
      <c r="C16" s="79"/>
      <c r="D16" s="604">
        <f>(D10/D11)*100</f>
        <v>125.39682539682539</v>
      </c>
      <c r="E16" s="79" t="s">
        <v>52</v>
      </c>
      <c r="F16" s="689" t="str">
        <f>IF(D16&lt;=48,"PESO MINIMO DE SOBREVIVENCIA",IF(D16&lt;54.9,"PESO MINIMO DE SOBREVIVENCIA",IF(D16=75,"DESNUTRICION SEVERA 3er GRADO",IF(D16&lt;=84.9,"DESNUTRICION MODERADA 2do GRADO",IF(D16=85,"DESNUTRICION LEVE 1er GRADO",IF(D16&lt;=90,"DESNUTRICION LEVE 1er GRAD0",IF(D16&gt;90.1,"SIN PROBLEMAS DE DESNUTRICION")))))))</f>
        <v>SIN PROBLEMAS DE DESNUTRICION</v>
      </c>
      <c r="G16" s="689"/>
      <c r="H16" s="689"/>
      <c r="I16" s="689"/>
      <c r="J16" s="671"/>
      <c r="K16" s="609"/>
      <c r="L16" s="79"/>
      <c r="M16" s="79"/>
      <c r="N16" s="360"/>
      <c r="O16" s="541"/>
      <c r="P16" s="541"/>
      <c r="Q16" s="541"/>
      <c r="R16" s="541"/>
      <c r="S16" s="541"/>
      <c r="T16" s="542"/>
      <c r="U16" s="542"/>
      <c r="V16" s="542"/>
      <c r="W16" s="535"/>
      <c r="X16" s="535"/>
      <c r="Y16" s="535"/>
    </row>
    <row r="17" spans="1:25" ht="15.75" customHeight="1">
      <c r="A17" s="1177" t="s">
        <v>76</v>
      </c>
      <c r="B17" s="1178"/>
      <c r="C17" s="1178"/>
      <c r="D17" s="139">
        <v>1.66</v>
      </c>
      <c r="E17" s="79" t="s">
        <v>12</v>
      </c>
      <c r="F17" s="79"/>
      <c r="G17" s="491">
        <f>D17*100</f>
        <v>166</v>
      </c>
      <c r="H17" s="1173"/>
      <c r="I17" s="1173"/>
      <c r="J17" s="671"/>
      <c r="K17" s="608"/>
      <c r="L17" s="79"/>
      <c r="M17" s="79"/>
      <c r="N17" s="360"/>
      <c r="O17" s="541"/>
      <c r="P17" s="541"/>
      <c r="Q17" s="541"/>
      <c r="R17" s="541"/>
      <c r="S17" s="541"/>
      <c r="T17" s="542"/>
      <c r="U17" s="542"/>
      <c r="V17" s="542"/>
      <c r="W17" s="535"/>
      <c r="X17" s="535"/>
      <c r="Y17" s="535"/>
    </row>
    <row r="18" spans="1:25" ht="15.75">
      <c r="A18" s="1177" t="s">
        <v>13</v>
      </c>
      <c r="B18" s="1178"/>
      <c r="C18" s="1178"/>
      <c r="D18" s="605">
        <f>D10/(D17*D17)</f>
        <v>28.668892437218755</v>
      </c>
      <c r="E18" s="364" t="s">
        <v>14</v>
      </c>
      <c r="F18" s="79"/>
      <c r="G18" s="79"/>
      <c r="H18" s="1173"/>
      <c r="I18" s="1173"/>
      <c r="J18" s="671"/>
      <c r="K18" s="608"/>
      <c r="L18" s="79"/>
      <c r="M18" s="79"/>
      <c r="N18" s="360"/>
      <c r="O18" s="541"/>
      <c r="P18" s="541"/>
      <c r="Q18" s="541"/>
      <c r="R18" s="541"/>
      <c r="S18" s="541"/>
      <c r="T18" s="542"/>
      <c r="U18" s="542"/>
      <c r="V18" s="542"/>
      <c r="W18" s="535"/>
      <c r="X18" s="535"/>
      <c r="Y18" s="535"/>
    </row>
    <row r="19" spans="1:25" s="81" customFormat="1" ht="18.75">
      <c r="A19" s="1180" t="s">
        <v>210</v>
      </c>
      <c r="B19" s="1181"/>
      <c r="C19" s="1181"/>
      <c r="D19" s="606">
        <f>(D10/D12)*100</f>
        <v>133.34368575450583</v>
      </c>
      <c r="E19" s="478" t="s">
        <v>52</v>
      </c>
      <c r="F19" s="1296" t="str">
        <f>IF(D19&lt;70,"SUGIERE DEPLECION SEVERA",IF(D19=70,"SUGIERE DEPLECION MODERADA",IF(D19&lt;80,"SUGIERE DEPLECION MODERADA",IF(D19=80,"SUGIERE DEPLECION LEVE",IF(D19&lt;=90,"SUGIERE DEPLECION LEVE",IF(D19&gt;=91,"SIN DEPLECION"))))))</f>
        <v>SIN DEPLECION</v>
      </c>
      <c r="G19" s="1296"/>
      <c r="H19" s="1296"/>
      <c r="I19" s="1296"/>
      <c r="J19" s="1296"/>
      <c r="K19" s="1296"/>
      <c r="L19" s="1296"/>
      <c r="M19" s="1296"/>
      <c r="N19" s="367"/>
      <c r="O19" s="541"/>
      <c r="P19" s="541"/>
      <c r="Q19" s="541"/>
      <c r="R19" s="541"/>
      <c r="S19" s="541"/>
      <c r="T19" s="542"/>
      <c r="U19" s="542"/>
      <c r="V19" s="542"/>
      <c r="W19" s="535"/>
      <c r="X19" s="535"/>
      <c r="Y19" s="535"/>
    </row>
    <row r="20" spans="1:25" ht="18.75">
      <c r="A20" s="380" t="s">
        <v>15</v>
      </c>
      <c r="B20" s="79"/>
      <c r="C20" s="1203" t="str">
        <f>IF(D18&gt;=40, "OBESIDAD TERCER GRADO", IF(D18&gt;=30, "OBESIDAD SEGUNDO GRADO", IF(D18&gt;=25.1, "OBESIDAD PRIMER GRADO", IF(D18&gt;=18.5, "PESO NORMAL", IF(D18&gt;=17, "DESNUTRICION PRIMER GRADO", IF(D18&gt;=16, "DESNUTRICION SEGUNDO GRADO", IF(D18&lt;16, "DESNUTRICION TERCER GRADO")))))))</f>
        <v>OBESIDAD PRIMER GRADO</v>
      </c>
      <c r="D20" s="1203"/>
      <c r="E20" s="1203"/>
      <c r="F20" s="1203"/>
      <c r="G20" s="1203"/>
      <c r="H20" s="1203"/>
      <c r="I20" s="1203"/>
      <c r="J20" s="1203"/>
      <c r="K20" s="1203"/>
      <c r="L20" s="79"/>
      <c r="M20" s="79"/>
      <c r="N20" s="360"/>
      <c r="O20" s="541"/>
      <c r="P20" s="541"/>
      <c r="Q20" s="541"/>
      <c r="R20" s="541"/>
      <c r="S20" s="541"/>
      <c r="T20" s="542"/>
      <c r="U20" s="542"/>
      <c r="V20" s="542"/>
      <c r="W20" s="535"/>
      <c r="X20" s="535"/>
      <c r="Y20" s="535"/>
    </row>
    <row r="21" spans="1:25" ht="15.75">
      <c r="A21" s="1177" t="s">
        <v>16</v>
      </c>
      <c r="B21" s="1178"/>
      <c r="C21" s="1178"/>
      <c r="D21" s="139">
        <v>99</v>
      </c>
      <c r="E21" s="79" t="s">
        <v>17</v>
      </c>
      <c r="F21" s="79"/>
      <c r="G21" s="79"/>
      <c r="H21" s="79"/>
      <c r="I21" s="79"/>
      <c r="J21" s="79"/>
      <c r="K21" s="79"/>
      <c r="L21" s="79"/>
      <c r="M21" s="79"/>
      <c r="N21" s="360"/>
      <c r="O21" s="541"/>
      <c r="P21" s="541"/>
      <c r="Q21" s="541"/>
      <c r="R21" s="541"/>
      <c r="S21" s="541"/>
      <c r="T21" s="542"/>
      <c r="U21" s="542"/>
      <c r="V21" s="542"/>
      <c r="W21" s="535"/>
      <c r="X21" s="535"/>
      <c r="Y21" s="535"/>
    </row>
    <row r="22" spans="1:25" ht="15.75">
      <c r="A22" s="1177" t="s">
        <v>18</v>
      </c>
      <c r="B22" s="1178"/>
      <c r="C22" s="1178"/>
      <c r="D22" s="139">
        <v>109</v>
      </c>
      <c r="E22" s="79" t="s">
        <v>17</v>
      </c>
      <c r="F22" s="79"/>
      <c r="G22" s="79"/>
      <c r="H22" s="79"/>
      <c r="I22" s="79"/>
      <c r="J22" s="79"/>
      <c r="K22" s="79"/>
      <c r="L22" s="79"/>
      <c r="M22" s="79"/>
      <c r="N22" s="360"/>
      <c r="O22" s="541"/>
      <c r="P22" s="541"/>
      <c r="Q22" s="541"/>
      <c r="R22" s="541"/>
      <c r="S22" s="541"/>
      <c r="T22" s="542"/>
      <c r="U22" s="542"/>
      <c r="V22" s="542"/>
      <c r="W22" s="535"/>
      <c r="X22" s="535"/>
      <c r="Y22" s="535"/>
    </row>
    <row r="23" spans="1:25" s="80" customFormat="1" ht="15.75">
      <c r="A23" s="1180" t="s">
        <v>19</v>
      </c>
      <c r="B23" s="1181"/>
      <c r="C23" s="1181"/>
      <c r="D23" s="368">
        <f>D21/D22</f>
        <v>0.90825688073394495</v>
      </c>
      <c r="E23" s="1291" t="str">
        <f>IF(D23&gt;=1,"HOMBRE  CON DISTRIBUCION DE GRASA ANDROIDE",IF(D23&lt;=0.99,"HOMBRE CON DISTRIBUCION DE GRASA GINECOIDE"))</f>
        <v>HOMBRE CON DISTRIBUCION DE GRASA GINECOIDE</v>
      </c>
      <c r="F23" s="1291"/>
      <c r="G23" s="1291"/>
      <c r="H23" s="1291"/>
      <c r="I23" s="1291"/>
      <c r="J23" s="1291"/>
      <c r="K23" s="1291"/>
      <c r="L23" s="1291"/>
      <c r="M23" s="1291"/>
      <c r="N23" s="369"/>
      <c r="O23" s="541"/>
      <c r="P23" s="541"/>
      <c r="Q23" s="541"/>
      <c r="R23" s="541"/>
      <c r="S23" s="541"/>
      <c r="T23" s="542"/>
      <c r="U23" s="542"/>
      <c r="V23" s="542"/>
      <c r="W23" s="535"/>
      <c r="X23" s="535"/>
      <c r="Y23" s="535"/>
    </row>
    <row r="24" spans="1:25" ht="15.75">
      <c r="A24" s="1150" t="s">
        <v>542</v>
      </c>
      <c r="B24" s="1151"/>
      <c r="C24" s="1151"/>
      <c r="D24" s="139">
        <v>120</v>
      </c>
      <c r="E24" s="1287" t="str">
        <f>IF(D24&gt;=102,"MEDICION DE RIESGO SUSTANCIALMENTE INCREMENTADO",IF(D24&lt;=101.9," MEDICION DE RIESGO INCREMENTADO",IF(D24&gt;=94," MEDICION DE RIESGO  INCREMENTADO")))</f>
        <v>MEDICION DE RIESGO SUSTANCIALMENTE INCREMENTADO</v>
      </c>
      <c r="F24" s="1287"/>
      <c r="G24" s="1287"/>
      <c r="H24" s="1287"/>
      <c r="I24" s="1287"/>
      <c r="J24" s="1287"/>
      <c r="K24" s="1287"/>
      <c r="L24" s="1287"/>
      <c r="M24" s="1287"/>
      <c r="N24" s="1288"/>
      <c r="O24" s="541"/>
      <c r="P24" s="541"/>
      <c r="Q24" s="541"/>
      <c r="R24" s="541"/>
      <c r="S24" s="541"/>
      <c r="T24" s="542"/>
      <c r="U24" s="542"/>
      <c r="V24" s="542"/>
      <c r="W24" s="535"/>
      <c r="X24" s="535"/>
      <c r="Y24" s="535"/>
    </row>
    <row r="25" spans="1:25" ht="15.75">
      <c r="A25" s="1152" t="s">
        <v>543</v>
      </c>
      <c r="B25" s="1153"/>
      <c r="C25" s="1153"/>
      <c r="D25" s="139">
        <v>12</v>
      </c>
      <c r="E25" s="491">
        <f>(D17*100)/D25</f>
        <v>13.833333333333334</v>
      </c>
      <c r="F25" s="1287" t="str">
        <f>IF(E25&gt;=10.4,"COMPLEXION PEQUEÑA",IF(E25&gt;=9.6,"COMPLEXION MEDIANA",IF(E25&lt;=9.5,"COMPLEXION GRANDE")))</f>
        <v>COMPLEXION PEQUEÑA</v>
      </c>
      <c r="G25" s="1287"/>
      <c r="H25" s="1287"/>
      <c r="I25" s="1287"/>
      <c r="J25" s="79"/>
      <c r="K25" s="79"/>
      <c r="L25" s="79"/>
      <c r="M25" s="79"/>
      <c r="N25" s="360"/>
      <c r="O25" s="541"/>
      <c r="P25" s="541"/>
      <c r="Q25" s="541"/>
      <c r="R25" s="541"/>
      <c r="S25" s="541"/>
      <c r="T25" s="542"/>
      <c r="U25" s="542"/>
      <c r="V25" s="542"/>
      <c r="W25" s="535"/>
      <c r="X25" s="535"/>
      <c r="Y25" s="535"/>
    </row>
    <row r="26" spans="1:25" ht="15.75">
      <c r="A26" s="454"/>
      <c r="B26" s="455"/>
      <c r="C26" s="455"/>
      <c r="D26" s="687"/>
      <c r="E26" s="79"/>
      <c r="F26" s="79"/>
      <c r="G26" s="79"/>
      <c r="H26" s="79"/>
      <c r="I26" s="79"/>
      <c r="J26" s="79"/>
      <c r="K26" s="79"/>
      <c r="L26" s="79"/>
      <c r="M26" s="79"/>
      <c r="N26" s="360"/>
      <c r="O26" s="541"/>
      <c r="P26" s="541"/>
      <c r="Q26" s="541"/>
      <c r="R26" s="541"/>
      <c r="S26" s="541"/>
      <c r="T26" s="542"/>
      <c r="U26" s="542"/>
      <c r="V26" s="542"/>
      <c r="W26" s="535"/>
      <c r="X26" s="535"/>
      <c r="Y26" s="535"/>
    </row>
    <row r="27" spans="1:25" ht="15.75">
      <c r="A27" s="454"/>
      <c r="B27" s="455"/>
      <c r="C27" s="455"/>
      <c r="D27" s="687"/>
      <c r="E27" s="79"/>
      <c r="F27" s="79"/>
      <c r="G27" s="79"/>
      <c r="H27" s="79"/>
      <c r="I27" s="79"/>
      <c r="J27" s="79"/>
      <c r="K27" s="79"/>
      <c r="L27" s="79"/>
      <c r="M27" s="79"/>
      <c r="N27" s="360"/>
      <c r="O27" s="541"/>
      <c r="P27" s="541"/>
      <c r="Q27" s="541"/>
      <c r="R27" s="541"/>
      <c r="S27" s="541"/>
      <c r="T27" s="542"/>
      <c r="U27" s="542"/>
      <c r="V27" s="542"/>
      <c r="W27" s="535"/>
      <c r="X27" s="535"/>
      <c r="Y27" s="535"/>
    </row>
    <row r="28" spans="1:25">
      <c r="A28" s="381"/>
      <c r="B28" s="370"/>
      <c r="C28" s="370"/>
      <c r="D28" s="681" t="s">
        <v>323</v>
      </c>
      <c r="E28" s="681"/>
      <c r="F28" s="1289" t="s">
        <v>327</v>
      </c>
      <c r="G28" s="1289"/>
      <c r="H28" s="370"/>
      <c r="I28" s="681" t="s">
        <v>328</v>
      </c>
      <c r="J28" s="681"/>
      <c r="K28" s="1290" t="s">
        <v>334</v>
      </c>
      <c r="L28" s="1290"/>
      <c r="M28" s="1290"/>
      <c r="N28" s="371"/>
      <c r="O28" s="541"/>
      <c r="P28" s="541"/>
      <c r="Q28" s="541"/>
      <c r="R28" s="541"/>
      <c r="S28" s="541"/>
      <c r="T28" s="542"/>
      <c r="U28" s="542"/>
      <c r="V28" s="542"/>
      <c r="W28" s="535"/>
      <c r="X28" s="535"/>
      <c r="Y28" s="535"/>
    </row>
    <row r="29" spans="1:25">
      <c r="A29" s="381" t="s">
        <v>335</v>
      </c>
      <c r="B29" s="370"/>
      <c r="C29" s="372" t="s">
        <v>400</v>
      </c>
      <c r="D29" s="492">
        <v>4</v>
      </c>
      <c r="E29" s="1079" t="s">
        <v>401</v>
      </c>
      <c r="F29" s="1079"/>
      <c r="G29" s="493">
        <v>3</v>
      </c>
      <c r="H29" s="370"/>
      <c r="I29" s="370"/>
      <c r="J29" s="370"/>
      <c r="K29" s="370"/>
      <c r="L29" s="370"/>
      <c r="M29" s="370"/>
      <c r="N29" s="371"/>
      <c r="O29" s="541"/>
      <c r="P29" s="541"/>
      <c r="Q29" s="541"/>
      <c r="R29" s="541"/>
      <c r="S29" s="541"/>
      <c r="T29" s="542"/>
      <c r="U29" s="542"/>
      <c r="V29" s="542"/>
      <c r="W29" s="535"/>
      <c r="X29" s="535"/>
      <c r="Y29" s="535"/>
    </row>
    <row r="30" spans="1:25">
      <c r="A30" s="381"/>
      <c r="B30" s="370"/>
      <c r="C30" s="370"/>
      <c r="D30" s="370"/>
      <c r="E30" s="370"/>
      <c r="F30" s="370"/>
      <c r="G30" s="370"/>
      <c r="H30" s="370"/>
      <c r="I30" s="370"/>
      <c r="J30" s="370"/>
      <c r="K30" s="370"/>
      <c r="L30" s="370"/>
      <c r="M30" s="370"/>
      <c r="N30" s="371"/>
      <c r="O30" s="541"/>
      <c r="P30" s="541"/>
      <c r="Q30" s="541"/>
      <c r="R30" s="541"/>
      <c r="S30" s="541"/>
      <c r="T30" s="542"/>
      <c r="U30" s="542"/>
      <c r="V30" s="542"/>
      <c r="W30" s="535"/>
      <c r="X30" s="535"/>
      <c r="Y30" s="535"/>
    </row>
    <row r="31" spans="1:25">
      <c r="A31" s="381"/>
      <c r="B31" s="370"/>
      <c r="C31" s="370"/>
      <c r="D31" s="370"/>
      <c r="E31" s="370"/>
      <c r="F31" s="370"/>
      <c r="G31" s="370"/>
      <c r="H31" s="370"/>
      <c r="I31" s="370"/>
      <c r="J31" s="370"/>
      <c r="K31" s="370"/>
      <c r="L31" s="370"/>
      <c r="M31" s="370"/>
      <c r="N31" s="371"/>
      <c r="O31" s="541"/>
      <c r="P31" s="541"/>
      <c r="Q31" s="541"/>
      <c r="R31" s="541"/>
      <c r="S31" s="541"/>
      <c r="T31" s="542"/>
      <c r="U31" s="542"/>
      <c r="V31" s="542"/>
      <c r="W31" s="535"/>
      <c r="X31" s="535"/>
      <c r="Y31" s="535"/>
    </row>
    <row r="32" spans="1:25">
      <c r="A32" s="381" t="s">
        <v>338</v>
      </c>
      <c r="B32" s="370"/>
      <c r="C32" s="370"/>
      <c r="D32" s="370"/>
      <c r="E32" s="370"/>
      <c r="F32" s="374"/>
      <c r="G32" s="370"/>
      <c r="H32" s="370"/>
      <c r="I32" s="370"/>
      <c r="J32" s="370"/>
      <c r="K32" s="370"/>
      <c r="L32" s="370"/>
      <c r="M32" s="370"/>
      <c r="N32" s="371"/>
      <c r="O32" s="541"/>
      <c r="P32" s="541"/>
      <c r="Q32" s="541"/>
      <c r="R32" s="541"/>
      <c r="S32" s="541"/>
      <c r="T32" s="542"/>
      <c r="U32" s="542"/>
      <c r="V32" s="542"/>
      <c r="W32" s="535"/>
      <c r="X32" s="535"/>
      <c r="Y32" s="535"/>
    </row>
    <row r="33" spans="1:25">
      <c r="A33" s="1084" t="s">
        <v>339</v>
      </c>
      <c r="B33" s="1147"/>
      <c r="C33" s="496" t="s">
        <v>341</v>
      </c>
      <c r="D33" s="370"/>
      <c r="E33" s="370"/>
      <c r="F33" s="370"/>
      <c r="G33" s="370"/>
      <c r="H33" s="370"/>
      <c r="I33" s="370"/>
      <c r="J33" s="370"/>
      <c r="K33" s="370"/>
      <c r="L33" s="370"/>
      <c r="M33" s="370"/>
      <c r="N33" s="371"/>
      <c r="O33" s="541"/>
      <c r="P33" s="541"/>
      <c r="Q33" s="541"/>
      <c r="R33" s="541"/>
      <c r="S33" s="541"/>
      <c r="T33" s="542"/>
      <c r="U33" s="542"/>
      <c r="V33" s="542"/>
      <c r="W33" s="535"/>
      <c r="X33" s="535"/>
      <c r="Y33" s="535"/>
    </row>
    <row r="34" spans="1:25">
      <c r="A34" s="381"/>
      <c r="B34" s="370"/>
      <c r="C34" s="370"/>
      <c r="D34" s="370"/>
      <c r="E34" s="370"/>
      <c r="F34" s="370"/>
      <c r="G34" s="370"/>
      <c r="H34" s="370"/>
      <c r="I34" s="370"/>
      <c r="J34" s="370"/>
      <c r="K34" s="370"/>
      <c r="L34" s="370"/>
      <c r="M34" s="370"/>
      <c r="N34" s="371"/>
      <c r="O34" s="541"/>
      <c r="P34" s="541"/>
      <c r="Q34" s="541"/>
      <c r="R34" s="541"/>
      <c r="S34" s="541"/>
      <c r="T34" s="542"/>
      <c r="U34" s="542"/>
      <c r="V34" s="542"/>
      <c r="W34" s="535"/>
      <c r="X34" s="535"/>
      <c r="Y34" s="535"/>
    </row>
    <row r="35" spans="1:25">
      <c r="A35" s="1078" t="s">
        <v>342</v>
      </c>
      <c r="B35" s="1079"/>
      <c r="C35" s="370"/>
      <c r="D35" s="370"/>
      <c r="E35" s="370"/>
      <c r="F35" s="370"/>
      <c r="G35" s="370"/>
      <c r="H35" s="370"/>
      <c r="I35" s="370"/>
      <c r="J35" s="370"/>
      <c r="K35" s="370"/>
      <c r="L35" s="370"/>
      <c r="M35" s="370"/>
      <c r="N35" s="371"/>
      <c r="O35" s="541"/>
      <c r="P35" s="541"/>
      <c r="Q35" s="541"/>
      <c r="R35" s="541"/>
      <c r="S35" s="541"/>
      <c r="T35" s="542"/>
      <c r="U35" s="542"/>
      <c r="V35" s="542"/>
      <c r="W35" s="535"/>
      <c r="X35" s="535"/>
      <c r="Y35" s="535"/>
    </row>
    <row r="36" spans="1:25">
      <c r="A36" s="1080" t="s">
        <v>343</v>
      </c>
      <c r="B36" s="1081"/>
      <c r="C36" s="370"/>
      <c r="D36" s="375" t="s">
        <v>348</v>
      </c>
      <c r="E36" s="375"/>
      <c r="F36" s="375"/>
      <c r="G36" s="376"/>
      <c r="H36" s="1076" t="s">
        <v>353</v>
      </c>
      <c r="I36" s="1076"/>
      <c r="J36" s="1076"/>
      <c r="K36" s="370"/>
      <c r="L36" s="1076" t="s">
        <v>357</v>
      </c>
      <c r="M36" s="1076"/>
      <c r="N36" s="371"/>
      <c r="O36" s="541"/>
      <c r="P36" s="541"/>
      <c r="Q36" s="541"/>
      <c r="R36" s="541"/>
      <c r="S36" s="541"/>
      <c r="T36" s="542"/>
      <c r="U36" s="542"/>
      <c r="V36" s="542"/>
      <c r="W36" s="535"/>
      <c r="X36" s="535"/>
      <c r="Y36" s="535"/>
    </row>
    <row r="37" spans="1:25">
      <c r="A37" s="1074" t="s">
        <v>344</v>
      </c>
      <c r="B37" s="1075"/>
      <c r="C37" s="494"/>
      <c r="D37" s="370" t="s">
        <v>349</v>
      </c>
      <c r="E37" s="370"/>
      <c r="F37" s="370"/>
      <c r="G37" s="494"/>
      <c r="H37" s="370" t="s">
        <v>354</v>
      </c>
      <c r="I37" s="370"/>
      <c r="J37" s="494"/>
      <c r="K37" s="370"/>
      <c r="L37" s="370" t="s">
        <v>358</v>
      </c>
      <c r="M37" s="370"/>
      <c r="N37" s="494" t="s">
        <v>405</v>
      </c>
      <c r="O37" s="541"/>
      <c r="P37" s="541"/>
      <c r="Q37" s="541"/>
      <c r="R37" s="541"/>
      <c r="S37" s="541"/>
      <c r="T37" s="542"/>
      <c r="U37" s="542"/>
      <c r="V37" s="542"/>
      <c r="W37" s="535"/>
      <c r="X37" s="535"/>
      <c r="Y37" s="535"/>
    </row>
    <row r="38" spans="1:25">
      <c r="A38" s="1074" t="s">
        <v>345</v>
      </c>
      <c r="B38" s="1075"/>
      <c r="C38" s="494"/>
      <c r="D38" s="370" t="s">
        <v>350</v>
      </c>
      <c r="E38" s="370"/>
      <c r="F38" s="370"/>
      <c r="G38" s="494" t="s">
        <v>405</v>
      </c>
      <c r="H38" s="370" t="s">
        <v>355</v>
      </c>
      <c r="I38" s="370"/>
      <c r="J38" s="494"/>
      <c r="K38" s="370"/>
      <c r="L38" s="370" t="s">
        <v>359</v>
      </c>
      <c r="M38" s="370"/>
      <c r="N38" s="494"/>
      <c r="O38" s="541"/>
      <c r="P38" s="541"/>
      <c r="Q38" s="541"/>
      <c r="R38" s="541"/>
      <c r="S38" s="541"/>
      <c r="T38" s="542"/>
      <c r="U38" s="542"/>
      <c r="V38" s="542"/>
      <c r="W38" s="535"/>
      <c r="X38" s="535"/>
      <c r="Y38" s="535"/>
    </row>
    <row r="39" spans="1:25">
      <c r="A39" s="1074" t="s">
        <v>346</v>
      </c>
      <c r="B39" s="1075"/>
      <c r="C39" s="494"/>
      <c r="D39" s="370" t="s">
        <v>351</v>
      </c>
      <c r="E39" s="370"/>
      <c r="F39" s="370"/>
      <c r="G39" s="494"/>
      <c r="H39" s="370" t="s">
        <v>356</v>
      </c>
      <c r="I39" s="370"/>
      <c r="J39" s="494"/>
      <c r="K39" s="370"/>
      <c r="L39" s="1076" t="s">
        <v>360</v>
      </c>
      <c r="M39" s="1076"/>
      <c r="N39" s="377"/>
      <c r="O39" s="541"/>
      <c r="P39" s="541"/>
      <c r="Q39" s="541"/>
      <c r="R39" s="541"/>
      <c r="S39" s="541"/>
      <c r="T39" s="542"/>
      <c r="U39" s="542"/>
      <c r="V39" s="542"/>
      <c r="W39" s="535"/>
      <c r="X39" s="535"/>
      <c r="Y39" s="535"/>
    </row>
    <row r="40" spans="1:25">
      <c r="A40" s="1074" t="s">
        <v>347</v>
      </c>
      <c r="B40" s="1075"/>
      <c r="C40" s="494"/>
      <c r="D40" s="370" t="s">
        <v>352</v>
      </c>
      <c r="E40" s="370"/>
      <c r="F40" s="370"/>
      <c r="G40" s="494"/>
      <c r="H40" s="370"/>
      <c r="I40" s="370"/>
      <c r="J40" s="495"/>
      <c r="K40" s="370"/>
      <c r="L40" s="1075" t="s">
        <v>362</v>
      </c>
      <c r="M40" s="1075"/>
      <c r="N40" s="494"/>
      <c r="O40" s="541"/>
      <c r="P40" s="541"/>
      <c r="Q40" s="541"/>
      <c r="R40" s="541"/>
      <c r="S40" s="541"/>
      <c r="T40" s="542"/>
      <c r="U40" s="542"/>
      <c r="V40" s="542"/>
      <c r="W40" s="535"/>
      <c r="X40" s="535"/>
      <c r="Y40" s="535"/>
    </row>
    <row r="41" spans="1:25" ht="16.5" thickBot="1">
      <c r="A41" s="382"/>
      <c r="B41" s="212"/>
      <c r="C41" s="212"/>
      <c r="D41" s="378"/>
      <c r="E41" s="86"/>
      <c r="F41" s="86"/>
      <c r="G41" s="86"/>
      <c r="H41" s="86"/>
      <c r="I41" s="86"/>
      <c r="J41" s="86"/>
      <c r="K41" s="86"/>
      <c r="L41" s="86"/>
      <c r="M41" s="86"/>
      <c r="N41" s="325"/>
      <c r="O41" s="541"/>
      <c r="P41" s="541"/>
      <c r="Q41" s="541"/>
      <c r="R41" s="541"/>
      <c r="S41" s="541"/>
      <c r="T41" s="542"/>
      <c r="U41" s="542"/>
      <c r="V41" s="542"/>
      <c r="W41" s="535"/>
      <c r="X41" s="535"/>
      <c r="Y41" s="535"/>
    </row>
    <row r="42" spans="1:25" ht="15.75" thickBot="1">
      <c r="A42" s="1048" t="s">
        <v>404</v>
      </c>
      <c r="B42" s="1030"/>
      <c r="C42" s="1144" t="s">
        <v>555</v>
      </c>
      <c r="D42" s="1145"/>
      <c r="E42" s="1145"/>
      <c r="F42" s="1145"/>
      <c r="G42" s="1145"/>
      <c r="H42" s="1145"/>
      <c r="I42" s="1145"/>
      <c r="J42" s="1145"/>
      <c r="K42" s="1145"/>
      <c r="L42" s="1145"/>
      <c r="M42" s="1145"/>
      <c r="N42" s="1146"/>
      <c r="O42" s="1141" t="s">
        <v>555</v>
      </c>
      <c r="P42" s="1142"/>
      <c r="Q42" s="1142"/>
      <c r="R42" s="1142"/>
      <c r="S42" s="1142"/>
      <c r="T42" s="1142"/>
      <c r="U42" s="542"/>
      <c r="V42" s="542"/>
      <c r="W42" s="535"/>
      <c r="X42" s="535"/>
      <c r="Y42" s="535"/>
    </row>
    <row r="43" spans="1:25" ht="15.75">
      <c r="A43" s="382"/>
      <c r="B43" s="212"/>
      <c r="C43" s="212"/>
      <c r="D43" s="378"/>
      <c r="E43" s="86"/>
      <c r="F43" s="86"/>
      <c r="G43" s="86"/>
      <c r="H43" s="86"/>
      <c r="I43" s="86"/>
      <c r="J43" s="86"/>
      <c r="K43" s="86"/>
      <c r="L43" s="86"/>
      <c r="M43" s="86"/>
      <c r="N43" s="325"/>
      <c r="O43" s="541"/>
      <c r="P43" s="541"/>
      <c r="Q43" s="541"/>
      <c r="R43" s="541"/>
      <c r="S43" s="541"/>
      <c r="T43" s="542"/>
      <c r="U43" s="542"/>
      <c r="V43" s="542"/>
      <c r="W43" s="535"/>
      <c r="X43" s="535"/>
      <c r="Y43" s="535"/>
    </row>
    <row r="44" spans="1:25" ht="15.75">
      <c r="A44" s="382"/>
      <c r="B44" s="212"/>
      <c r="C44" s="212"/>
      <c r="D44" s="378"/>
      <c r="E44" s="86"/>
      <c r="F44" s="86"/>
      <c r="G44" s="86"/>
      <c r="H44" s="86"/>
      <c r="I44" s="86"/>
      <c r="J44" s="86"/>
      <c r="K44" s="86"/>
      <c r="L44" s="86"/>
      <c r="M44" s="86"/>
      <c r="N44" s="325"/>
      <c r="O44" s="541"/>
      <c r="P44" s="541"/>
      <c r="Q44" s="541"/>
      <c r="R44" s="541"/>
      <c r="S44" s="541"/>
      <c r="T44" s="542"/>
      <c r="U44" s="542"/>
      <c r="V44" s="542"/>
      <c r="W44" s="535"/>
      <c r="X44" s="535"/>
      <c r="Y44" s="535"/>
    </row>
    <row r="45" spans="1:25" ht="15.75">
      <c r="A45" s="383"/>
      <c r="B45" s="384"/>
      <c r="C45" s="384"/>
      <c r="D45" s="385"/>
      <c r="E45" s="335"/>
      <c r="F45" s="335"/>
      <c r="G45" s="335"/>
      <c r="H45" s="335"/>
      <c r="I45" s="335"/>
      <c r="J45" s="335"/>
      <c r="K45" s="335"/>
      <c r="L45" s="335"/>
      <c r="M45" s="335"/>
      <c r="N45" s="352"/>
      <c r="O45" s="541"/>
      <c r="P45" s="541"/>
      <c r="Q45" s="541"/>
      <c r="R45" s="541"/>
      <c r="S45" s="541"/>
      <c r="T45" s="542"/>
      <c r="U45" s="542"/>
      <c r="V45" s="542"/>
      <c r="W45" s="535"/>
      <c r="X45" s="535"/>
      <c r="Y45" s="535"/>
    </row>
    <row r="46" spans="1:25" ht="15.75">
      <c r="A46" s="667"/>
      <c r="B46" s="667"/>
      <c r="C46" s="667"/>
      <c r="D46" s="3"/>
      <c r="O46" s="541"/>
      <c r="P46" s="541"/>
      <c r="Q46" s="541"/>
      <c r="R46" s="541"/>
      <c r="S46" s="541"/>
      <c r="T46" s="542"/>
      <c r="U46" s="542"/>
      <c r="V46" s="542"/>
      <c r="W46" s="535"/>
      <c r="X46" s="535"/>
      <c r="Y46" s="535"/>
    </row>
    <row r="47" spans="1:25" ht="15.75">
      <c r="A47" s="667"/>
      <c r="B47" s="667"/>
      <c r="C47" s="667"/>
      <c r="D47" s="3"/>
      <c r="O47" s="541"/>
      <c r="P47" s="541"/>
      <c r="Q47" s="541"/>
      <c r="R47" s="541"/>
      <c r="S47" s="541"/>
      <c r="T47" s="542"/>
      <c r="U47" s="542"/>
      <c r="V47" s="542"/>
      <c r="W47" s="535"/>
      <c r="X47" s="535"/>
      <c r="Y47" s="535"/>
    </row>
    <row r="48" spans="1:25">
      <c r="C48" s="665" t="s">
        <v>211</v>
      </c>
      <c r="D48" s="665" t="s">
        <v>217</v>
      </c>
      <c r="E48" s="36"/>
      <c r="F48" s="36"/>
      <c r="G48" s="36"/>
      <c r="H48" s="36"/>
      <c r="O48" s="541"/>
      <c r="P48" s="541"/>
      <c r="Q48" s="541"/>
      <c r="R48" s="541"/>
      <c r="S48" s="541"/>
      <c r="T48" s="542"/>
      <c r="U48" s="542"/>
      <c r="V48" s="542"/>
      <c r="W48" s="535"/>
      <c r="X48" s="535"/>
      <c r="Y48" s="535"/>
    </row>
    <row r="49" spans="1:25">
      <c r="A49" s="43" t="s">
        <v>213</v>
      </c>
      <c r="B49" s="43"/>
      <c r="C49" s="41"/>
      <c r="D49" s="41" t="s">
        <v>218</v>
      </c>
      <c r="E49" s="140"/>
      <c r="G49" s="141"/>
      <c r="I49" s="141"/>
      <c r="K49" s="141"/>
      <c r="M49" s="142"/>
      <c r="O49" s="541"/>
      <c r="P49" s="541"/>
      <c r="Q49" s="541"/>
      <c r="R49" s="541"/>
      <c r="S49" s="541"/>
      <c r="T49" s="542"/>
      <c r="U49" s="542"/>
      <c r="V49" s="542"/>
      <c r="W49" s="535"/>
      <c r="X49" s="535"/>
      <c r="Y49" s="535"/>
    </row>
    <row r="50" spans="1:25">
      <c r="A50" s="43" t="s">
        <v>214</v>
      </c>
      <c r="B50" s="43"/>
      <c r="C50" s="41"/>
      <c r="D50" s="41" t="s">
        <v>218</v>
      </c>
      <c r="E50" s="140"/>
      <c r="G50" s="141"/>
      <c r="I50" s="141"/>
      <c r="K50" s="141"/>
      <c r="M50" s="142"/>
      <c r="O50" s="541"/>
      <c r="P50" s="541"/>
      <c r="Q50" s="541"/>
      <c r="R50" s="541"/>
      <c r="S50" s="541"/>
      <c r="T50" s="542"/>
      <c r="U50" s="542"/>
      <c r="V50" s="542"/>
      <c r="W50" s="535"/>
      <c r="X50" s="535"/>
      <c r="Y50" s="535"/>
    </row>
    <row r="51" spans="1:25">
      <c r="A51" s="43" t="s">
        <v>215</v>
      </c>
      <c r="B51" s="43"/>
      <c r="C51" s="41"/>
      <c r="D51" s="41" t="s">
        <v>218</v>
      </c>
      <c r="E51" s="140"/>
      <c r="G51" s="141"/>
      <c r="I51" s="141"/>
      <c r="K51" s="141"/>
      <c r="M51" s="142"/>
      <c r="O51" s="541"/>
      <c r="P51" s="541"/>
      <c r="Q51" s="541"/>
      <c r="R51" s="541"/>
      <c r="S51" s="541"/>
      <c r="T51" s="542"/>
      <c r="U51" s="542"/>
      <c r="V51" s="542"/>
      <c r="W51" s="535"/>
      <c r="X51" s="535"/>
      <c r="Y51" s="535"/>
    </row>
    <row r="52" spans="1:25">
      <c r="A52" s="43" t="s">
        <v>216</v>
      </c>
      <c r="B52" s="43"/>
      <c r="C52" s="41"/>
      <c r="D52" s="41" t="s">
        <v>218</v>
      </c>
      <c r="E52" s="140"/>
      <c r="G52" s="141"/>
      <c r="I52" s="141"/>
      <c r="K52" s="141"/>
      <c r="M52" s="142"/>
      <c r="O52" s="541"/>
      <c r="P52" s="541"/>
      <c r="Q52" s="541"/>
      <c r="R52" s="541"/>
      <c r="S52" s="541"/>
      <c r="T52" s="542"/>
      <c r="U52" s="542"/>
      <c r="V52" s="542"/>
      <c r="W52" s="535"/>
      <c r="X52" s="535"/>
      <c r="Y52" s="535"/>
    </row>
    <row r="53" spans="1:25">
      <c r="A53" s="1148" t="s">
        <v>20</v>
      </c>
      <c r="B53" s="1148"/>
      <c r="C53" s="1148"/>
      <c r="D53" s="1148"/>
      <c r="E53" s="31"/>
      <c r="O53" s="541"/>
      <c r="P53" s="541"/>
      <c r="Q53" s="541"/>
      <c r="R53" s="541"/>
      <c r="S53" s="541"/>
      <c r="T53" s="542"/>
      <c r="U53" s="542"/>
      <c r="V53" s="542"/>
      <c r="W53" s="535"/>
      <c r="X53" s="535"/>
      <c r="Y53" s="535"/>
    </row>
    <row r="54" spans="1:25">
      <c r="A54" s="1149" t="s">
        <v>21</v>
      </c>
      <c r="B54" s="1149"/>
      <c r="C54" s="1149"/>
      <c r="D54" s="4"/>
      <c r="O54" s="541"/>
      <c r="P54" s="541"/>
      <c r="Q54" s="541"/>
      <c r="R54" s="541"/>
      <c r="S54" s="541"/>
      <c r="T54" s="542"/>
      <c r="U54" s="542"/>
      <c r="V54" s="542"/>
      <c r="W54" s="535"/>
      <c r="X54" s="535"/>
      <c r="Y54" s="535"/>
    </row>
    <row r="55" spans="1:25">
      <c r="A55" s="1135" t="s">
        <v>22</v>
      </c>
      <c r="B55" s="1135"/>
      <c r="C55" s="48" t="s">
        <v>226</v>
      </c>
      <c r="D55" s="44" t="s">
        <v>219</v>
      </c>
      <c r="E55" s="141">
        <v>10.3</v>
      </c>
      <c r="F55" s="1" t="str">
        <f>IF(E55=0,"ND",IF(E55&lt;12,"BAJO",IF(E55=11.9,"BAJO",IF(E55=12,"NORMAL",IF(E55&lt;=16,"NORMAL",IF(E55&gt;=16.1,"ALTO"))))))</f>
        <v>BAJO</v>
      </c>
      <c r="G55" s="141">
        <v>0</v>
      </c>
      <c r="H55" s="1" t="str">
        <f>IF(G55=0,"ND",IF(G55&lt;12,"BAJO",IF(G55=11.9,"BAJO",IF(G55=12,"NORMAL",IF(G55&lt;=16,"NORMAL",IF(G55&gt;=16.1,"ALTO"))))))</f>
        <v>ND</v>
      </c>
      <c r="I55" s="141">
        <v>0</v>
      </c>
      <c r="J55" s="1" t="str">
        <f>IF(I55=0,"ND",IF(I55&lt;12,"BAJO",IF(I55=11.9,"BAJO",IF(I55=12,"NORMAL",IF(I55&lt;=16,"NORMAL",IF(I55&gt;=16.1,"ALTO"))))))</f>
        <v>ND</v>
      </c>
      <c r="K55" s="141">
        <v>0</v>
      </c>
      <c r="L55" s="1" t="str">
        <f>IF(K55=0,"ND",IF(K55&lt;12,"BAJO",IF(K55=11.9,"BAJO",IF(K55=12,"NORMAL",IF(K55&lt;=16,"NORMAL",IF(K55&gt;=16.1,"ALTO"))))))</f>
        <v>ND</v>
      </c>
      <c r="M55" s="141">
        <v>0</v>
      </c>
      <c r="N55" s="1" t="str">
        <f>IF(M55=0,"ND",IF(M55&lt;12,"BAJO",IF(M55=11.9,"BAJO",IF(M55=12,"NORMAL",IF(M55&lt;=16,"NORMAL",IF(M55&gt;=16.1,"ALTO"))))))</f>
        <v>ND</v>
      </c>
      <c r="O55" s="541"/>
      <c r="P55" s="541"/>
      <c r="Q55" s="541"/>
      <c r="R55" s="541"/>
      <c r="S55" s="541"/>
      <c r="T55" s="542"/>
      <c r="U55" s="542"/>
      <c r="V55" s="542"/>
      <c r="W55" s="535"/>
      <c r="X55" s="535"/>
      <c r="Y55" s="535"/>
    </row>
    <row r="56" spans="1:25" s="62" customFormat="1">
      <c r="A56" s="59"/>
      <c r="B56" s="59"/>
      <c r="C56" s="66"/>
      <c r="D56" s="67"/>
      <c r="O56" s="540"/>
      <c r="P56" s="540"/>
      <c r="Q56" s="540"/>
      <c r="R56" s="540"/>
      <c r="S56" s="540"/>
      <c r="T56" s="540"/>
      <c r="U56" s="540"/>
      <c r="V56" s="540"/>
      <c r="W56" s="536"/>
      <c r="X56" s="536"/>
      <c r="Y56" s="536"/>
    </row>
    <row r="57" spans="1:25">
      <c r="A57" s="1135" t="s">
        <v>23</v>
      </c>
      <c r="B57" s="1135"/>
      <c r="C57" s="46" t="s">
        <v>227</v>
      </c>
      <c r="D57" s="42" t="s">
        <v>52</v>
      </c>
      <c r="E57" s="141">
        <v>0</v>
      </c>
      <c r="F57" s="1" t="str">
        <f>IF(E57=0,"ND",IF(E57&lt;36,"BAJO",IF(E57=35.9,"BAJO",IF(E57=36,"NORMAL",IF(E57&lt;=47,"NORMAL",IF(E57&gt;=47.1,"ALTO"))))))</f>
        <v>ND</v>
      </c>
      <c r="G57" s="141">
        <v>0</v>
      </c>
      <c r="H57" s="1" t="str">
        <f>IF(G57=0,"ND",IF(G57&lt;36,"BAJO",IF(G57=35.9,"BAJO",IF(G57=36,"NORMAL",IF(G57&lt;=47,"NORMAL",IF(G57&gt;=47.1,"ALTO"))))))</f>
        <v>ND</v>
      </c>
      <c r="I57" s="141">
        <v>0</v>
      </c>
      <c r="J57" s="1" t="str">
        <f>IF(I57=0,"ND",IF(I57&lt;36,"BAJO",IF(I57=35.9,"BAJO",IF(I57=36,"NORMAL",IF(I57&lt;=47,"NORMAL",IF(I57&gt;=47.1,"ALTO"))))))</f>
        <v>ND</v>
      </c>
      <c r="K57" s="141">
        <v>0</v>
      </c>
      <c r="L57" s="1" t="str">
        <f>IF(K57=0,"ND",IF(K57&lt;36,"BAJO",IF(K57=35.9,"BAJO",IF(K57=36,"NORMAL",IF(K57&lt;=47,"NORMAL",IF(K57&gt;=47.1,"ALTO"))))))</f>
        <v>ND</v>
      </c>
      <c r="M57" s="141">
        <v>0</v>
      </c>
      <c r="N57" s="1" t="str">
        <f>IF(M57=0,"ND",IF(M57&lt;36,"BAJO",IF(M57=35.9,"BAJO",IF(M57=36,"NORMAL",IF(M57&lt;=47,"NORMAL",IF(M57&gt;=47.1,"ALTO"))))))</f>
        <v>ND</v>
      </c>
      <c r="O57" s="542"/>
      <c r="P57" s="542"/>
      <c r="Q57" s="542"/>
      <c r="R57" s="542"/>
      <c r="S57" s="542"/>
      <c r="T57" s="542"/>
      <c r="U57" s="542"/>
      <c r="V57" s="542"/>
      <c r="W57" s="535"/>
      <c r="X57" s="535"/>
      <c r="Y57" s="535"/>
    </row>
    <row r="58" spans="1:25" s="62" customFormat="1">
      <c r="A58" s="59"/>
      <c r="B58" s="59"/>
      <c r="C58" s="60"/>
      <c r="D58" s="61"/>
      <c r="O58" s="540"/>
      <c r="P58" s="540"/>
      <c r="Q58" s="540"/>
      <c r="R58" s="540"/>
      <c r="S58" s="540"/>
      <c r="T58" s="540"/>
      <c r="U58" s="540"/>
      <c r="V58" s="540"/>
      <c r="W58" s="536"/>
      <c r="X58" s="536"/>
      <c r="Y58" s="536"/>
    </row>
    <row r="59" spans="1:25">
      <c r="A59" s="1135" t="s">
        <v>24</v>
      </c>
      <c r="B59" s="1135"/>
      <c r="C59" s="46" t="s">
        <v>228</v>
      </c>
      <c r="D59" s="42" t="s">
        <v>220</v>
      </c>
      <c r="E59" s="141">
        <v>0</v>
      </c>
      <c r="F59" s="1" t="str">
        <f>IF(E59=0,"ND",IF(E59&lt;4000,"BAJO",IF(E59=4000,"NORMAL",IF(E59&lt;=11000,"NORMAL",IF(E59&gt;=11001,"ALTO")))))</f>
        <v>ND</v>
      </c>
      <c r="G59" s="141"/>
      <c r="H59" s="1" t="str">
        <f>IF(G59=0,"ND",IF(G59&lt;4000,"BAJO",IF(G59=4000,"NORMAL",IF(G59&lt;=11000,"NORMAL",IF(G59&gt;=11001,"ALTO")))))</f>
        <v>ND</v>
      </c>
      <c r="I59" s="143"/>
      <c r="J59" s="1" t="str">
        <f>IF(I59=0,"ND",IF(I59&lt;4000,"BAJO",IF(I59=4000,"NORMAL",IF(I59&lt;=11000,"NORMAL",IF(I59&gt;=11001,"ALTO")))))</f>
        <v>ND</v>
      </c>
      <c r="K59" s="143"/>
      <c r="L59" s="1" t="str">
        <f>IF(K59=0,"ND",IF(K59&lt;4000,"BAJO",IF(K59=4000,"NORMAL",IF(K59&lt;=11000,"NORMAL",IF(K59&gt;=11001,"ALTO")))))</f>
        <v>ND</v>
      </c>
      <c r="M59" s="143">
        <v>0</v>
      </c>
      <c r="N59" s="1" t="str">
        <f>IF(M59=0,"ND",IF(M59&lt;4000,"BAJO",IF(M59=4000,"NORMAL",IF(M59&lt;=11000,"NORMAL",IF(M59&gt;=11001,"ALTO")))))</f>
        <v>ND</v>
      </c>
      <c r="O59" s="542"/>
      <c r="P59" s="542"/>
      <c r="Q59" s="542"/>
      <c r="R59" s="542"/>
      <c r="S59" s="542"/>
      <c r="T59" s="542"/>
      <c r="U59" s="542"/>
      <c r="V59" s="542"/>
      <c r="W59" s="535"/>
      <c r="X59" s="535"/>
      <c r="Y59" s="535"/>
    </row>
    <row r="60" spans="1:25">
      <c r="A60" s="984"/>
      <c r="B60" s="984"/>
      <c r="C60" s="984"/>
      <c r="D60" s="4"/>
      <c r="O60" s="542"/>
      <c r="P60" s="542"/>
      <c r="Q60" s="542"/>
      <c r="R60" s="542"/>
      <c r="S60" s="542"/>
      <c r="T60" s="542"/>
      <c r="U60" s="542"/>
      <c r="V60" s="542"/>
      <c r="W60" s="535"/>
      <c r="X60" s="535"/>
      <c r="Y60" s="535"/>
    </row>
    <row r="61" spans="1:25">
      <c r="A61" s="1138" t="s">
        <v>20</v>
      </c>
      <c r="B61" s="1138"/>
      <c r="C61" s="1138"/>
      <c r="D61" s="4"/>
      <c r="O61" s="542"/>
      <c r="P61" s="542"/>
      <c r="Q61" s="542"/>
      <c r="R61" s="542"/>
      <c r="S61" s="542"/>
      <c r="T61" s="542"/>
      <c r="U61" s="542"/>
      <c r="V61" s="542"/>
      <c r="W61" s="535"/>
      <c r="X61" s="535"/>
      <c r="Y61" s="535"/>
    </row>
    <row r="62" spans="1:25">
      <c r="A62" s="1135" t="s">
        <v>25</v>
      </c>
      <c r="B62" s="1135"/>
      <c r="C62" s="56" t="s">
        <v>229</v>
      </c>
      <c r="D62" s="57" t="s">
        <v>221</v>
      </c>
      <c r="E62" s="144">
        <v>107</v>
      </c>
      <c r="F62" s="1" t="str">
        <f>IF(E62=0,"ND",IF(E62&lt;65,"BAJO",IF(E62=64.9,"BAJO",IF(E62=65,"NORMAL",IF(E62&lt;=110,"NORMAL",IF(E62&gt;=110.1,"ALTO"))))))</f>
        <v>NORMAL</v>
      </c>
      <c r="G62" s="144"/>
      <c r="H62" s="1" t="str">
        <f>IF(G62=0,"ND",IF(G62&lt;65,"BAJO",IF(G62=64.9,"BAJO",IF(G62=65,"NORMAL",IF(G62&lt;=110,"NORMAL",IF(G62&gt;=110.1,"ALTO"))))))</f>
        <v>ND</v>
      </c>
      <c r="I62" s="144"/>
      <c r="J62" s="1" t="str">
        <f>IF(I62=0,"ND",IF(I62&lt;65,"BAJO",IF(I62=64.9,"BAJO",IF(I62=65,"NORMAL",IF(I62&lt;=110,"NORMAL",IF(I62&gt;=110.1,"ALTO"))))))</f>
        <v>ND</v>
      </c>
      <c r="K62" s="144"/>
      <c r="L62" s="1" t="str">
        <f>IF(K62=0,"ND",IF(K62&lt;65,"BAJO",IF(K62=64.9,"BAJO",IF(K62=65,"NORMAL",IF(K62&lt;=110,"NORMAL",IF(K62&gt;=110.1,"ALTO"))))))</f>
        <v>ND</v>
      </c>
      <c r="M62" s="144">
        <v>0</v>
      </c>
      <c r="N62" s="1" t="str">
        <f>IF(M62=0,"ND",IF(M62&lt;65,"BAJO",IF(M62=64.9,"BAJO",IF(M62=65,"NORMAL",IF(M62&lt;=110,"NORMAL",IF(M62&gt;=110.1,"ALTO"))))))</f>
        <v>ND</v>
      </c>
      <c r="O62" s="542"/>
      <c r="P62" s="542"/>
      <c r="Q62" s="542"/>
      <c r="R62" s="542"/>
      <c r="S62" s="542"/>
      <c r="T62" s="542"/>
      <c r="U62" s="542"/>
      <c r="V62" s="542"/>
      <c r="W62" s="535"/>
      <c r="X62" s="535"/>
      <c r="Y62" s="535"/>
    </row>
    <row r="63" spans="1:25" s="62" customFormat="1">
      <c r="A63" s="59"/>
      <c r="B63" s="59"/>
      <c r="C63" s="60"/>
      <c r="D63" s="61"/>
      <c r="O63" s="540"/>
      <c r="P63" s="540"/>
      <c r="Q63" s="540"/>
      <c r="R63" s="540"/>
      <c r="S63" s="540"/>
      <c r="T63" s="540"/>
      <c r="U63" s="540"/>
      <c r="V63" s="540"/>
      <c r="W63" s="536"/>
      <c r="X63" s="536"/>
      <c r="Y63" s="536"/>
    </row>
    <row r="64" spans="1:25">
      <c r="A64" s="1135" t="s">
        <v>26</v>
      </c>
      <c r="B64" s="1135"/>
      <c r="C64" s="70" t="s">
        <v>230</v>
      </c>
      <c r="D64" s="69" t="s">
        <v>221</v>
      </c>
      <c r="E64" s="145">
        <v>21</v>
      </c>
      <c r="F64" s="1" t="str">
        <f>IF(E64=0,"ND",IF(E64&lt;14,"BAJO",IF(E64=13.9,"BAJO",IF(E64=14,"NORMAL",IF(E64&lt;=44,"NORMAL",IF(E64&gt;=44.1,"ALTO"))))))</f>
        <v>NORMAL</v>
      </c>
      <c r="G64" s="145"/>
      <c r="H64" s="1" t="str">
        <f>IF(G64=0,"ND",IF(G64&lt;14,"BAJO",IF(G64=13.9,"BAJO",IF(G64=14,"NORMAL",IF(G64&lt;=44,"NORMAL",IF(G64&gt;=44.1,"ALTO"))))))</f>
        <v>ND</v>
      </c>
      <c r="I64" s="145"/>
      <c r="J64" s="1" t="str">
        <f>IF(I64=0,"ND",IF(I64&lt;14,"BAJO",IF(I64=13.9,"BAJO",IF(I64=14,"NORMAL",IF(I64&lt;=44,"NORMAL",IF(I64&gt;=44.1,"ALTO"))))))</f>
        <v>ND</v>
      </c>
      <c r="K64" s="145"/>
      <c r="L64" s="1" t="str">
        <f>IF(K64=0,"ND",IF(K64&lt;14,"BAJO",IF(K64=13.9,"BAJO",IF(K64=14,"NORMAL",IF(K64&lt;=44,"NORMAL",IF(K64&gt;=44.1,"ALTO"))))))</f>
        <v>ND</v>
      </c>
      <c r="M64" s="145"/>
      <c r="N64" s="1" t="str">
        <f>IF(M64=0,"ND",IF(M64&lt;14,"BAJO",IF(M64=13.9,"BAJO",IF(M64=14,"NORMAL",IF(M64&lt;=44,"NORMAL",IF(M64&gt;=44.1,"ALTO"))))))</f>
        <v>ND</v>
      </c>
      <c r="O64" s="542"/>
      <c r="P64" s="542"/>
      <c r="Q64" s="542"/>
      <c r="R64" s="542"/>
      <c r="S64" s="542"/>
      <c r="T64" s="542"/>
      <c r="U64" s="542"/>
      <c r="V64" s="542"/>
      <c r="W64" s="535"/>
      <c r="X64" s="535"/>
      <c r="Y64" s="535"/>
    </row>
    <row r="65" spans="1:25" s="62" customFormat="1">
      <c r="A65" s="59"/>
      <c r="B65" s="59"/>
      <c r="C65" s="71"/>
      <c r="D65" s="61"/>
      <c r="O65" s="540"/>
      <c r="P65" s="540"/>
      <c r="Q65" s="540"/>
      <c r="R65" s="540"/>
      <c r="S65" s="540"/>
      <c r="T65" s="540"/>
      <c r="U65" s="540"/>
      <c r="V65" s="540"/>
      <c r="W65" s="536"/>
      <c r="X65" s="536"/>
      <c r="Y65" s="536"/>
    </row>
    <row r="66" spans="1:25">
      <c r="A66" s="1135" t="s">
        <v>27</v>
      </c>
      <c r="B66" s="1135"/>
      <c r="C66" s="68" t="s">
        <v>225</v>
      </c>
      <c r="D66" s="69" t="s">
        <v>221</v>
      </c>
      <c r="E66" s="145">
        <v>0</v>
      </c>
      <c r="F66" s="1" t="str">
        <f>IF(E66=0,"ND",IF(E66&lt;3.4,"BAJO",IF(E66&lt;=3.39,"BAJO",IF(E66=3.4,"NORMAL",IF(E66&lt;=7,"NORMAL",IF(E66&gt;=7.1,"ALTO"))))))</f>
        <v>ND</v>
      </c>
      <c r="G66" s="145"/>
      <c r="H66" s="1" t="str">
        <f>IF(G66=0,"ND",IF(G66&lt;3.4,"BAJO",IF(G66&lt;=3.39,"BAJO",IF(G66=3.4,"NORMAL",IF(G66&lt;=7,"NORMAL",IF(G66&gt;=7.1,"ALTO"))))))</f>
        <v>ND</v>
      </c>
      <c r="I66" s="145"/>
      <c r="J66" s="1" t="str">
        <f>IF(I66=0,"ND",IF(I66&lt;3.4,"BAJO",IF(I66&lt;=3.39,"BAJO",IF(I66=3.4,"NORMAL",IF(I66&lt;=7,"NORMAL",IF(I66&gt;=7.1,"ALTO"))))))</f>
        <v>ND</v>
      </c>
      <c r="K66" s="145"/>
      <c r="L66" s="1" t="str">
        <f>IF(K66=0,"ND",IF(K66&lt;3.4,"BAJO",IF(K66&lt;=3.39,"BAJO",IF(K66=3.4,"NORMAL",IF(K66&lt;=7,"NORMAL",IF(K66&gt;=7.1,"ALTO"))))))</f>
        <v>ND</v>
      </c>
      <c r="M66" s="145"/>
      <c r="N66" s="1" t="str">
        <f>IF(M66=0,"ND",IF(M66&lt;3.4,"BAJO",IF(M66&lt;=3.39,"BAJO",IF(M66=3.4,"NORMAL",IF(M66&lt;=7,"NORMAL",IF(M66&gt;=7.1,"ALTO"))))))</f>
        <v>ND</v>
      </c>
      <c r="O66" s="542"/>
      <c r="P66" s="542"/>
      <c r="Q66" s="542"/>
      <c r="R66" s="542"/>
      <c r="S66" s="542"/>
      <c r="T66" s="542"/>
      <c r="U66" s="542"/>
      <c r="V66" s="542"/>
      <c r="W66" s="535"/>
      <c r="X66" s="535"/>
      <c r="Y66" s="535"/>
    </row>
    <row r="67" spans="1:25" s="62" customFormat="1">
      <c r="A67" s="59"/>
      <c r="B67" s="59"/>
      <c r="C67" s="60"/>
      <c r="D67" s="61"/>
      <c r="O67" s="540"/>
      <c r="P67" s="540"/>
      <c r="Q67" s="540"/>
      <c r="R67" s="540"/>
      <c r="S67" s="540"/>
      <c r="T67" s="540"/>
      <c r="U67" s="540"/>
      <c r="V67" s="540"/>
      <c r="W67" s="536"/>
      <c r="X67" s="536"/>
      <c r="Y67" s="536"/>
    </row>
    <row r="68" spans="1:25">
      <c r="A68" s="1135" t="s">
        <v>28</v>
      </c>
      <c r="B68" s="1135"/>
      <c r="C68" s="64" t="s">
        <v>231</v>
      </c>
      <c r="D68" s="58" t="s">
        <v>221</v>
      </c>
      <c r="E68" s="143">
        <v>0.6</v>
      </c>
      <c r="F68" s="1" t="str">
        <f>IF(E68=0,"ND",IF(E68&lt;0.5,"BAJO",IF(E68=0.49,"BAJO",IF(E68=0.5,"NORMAL",IF(E68&lt;=1.6,"NORMAL",IF(E68&gt;=1.61,"ALTO"))))))</f>
        <v>NORMAL</v>
      </c>
      <c r="G68" s="143"/>
      <c r="H68" s="1" t="str">
        <f>IF(G68=0,"ND",IF(G68&lt;0.5,"BAJO",IF(G68=0.49,"BAJO",IF(G68=0.5,"NORMAL",IF(G68&lt;=1.6,"NORMAL",IF(G68&gt;=1.61,"ALTO"))))))</f>
        <v>ND</v>
      </c>
      <c r="I68" s="143"/>
      <c r="J68" s="1" t="str">
        <f>IF(I68=0,"ND",IF(I68&lt;0.5,"BAJO",IF(I68=0.49,"BAJO",IF(I68=0.5,"NORMAL",IF(I68&lt;=1.6,"NORMAL",IF(I68&gt;=1.61,"ALTO"))))))</f>
        <v>ND</v>
      </c>
      <c r="K68" s="143"/>
      <c r="L68" s="1" t="str">
        <f>IF(K68=0,"ND",IF(K68&lt;0.5,"BAJO",IF(K68=0.49,"BAJO",IF(K68=0.5,"NORMAL",IF(K68&lt;=1.6,"NORMAL",IF(K68&gt;=1.61,"ALTO"))))))</f>
        <v>ND</v>
      </c>
      <c r="M68" s="143"/>
      <c r="N68" s="1" t="str">
        <f>IF(M68=0,"ND",IF(M68&lt;0.5,"BAJO",IF(M68=0.49,"BAJO",IF(M68=0.5,"NORMAL",IF(M68&lt;=1.6,"NORMAL",IF(M68&gt;=1.61,"ALTO"))))))</f>
        <v>ND</v>
      </c>
      <c r="O68" s="542"/>
      <c r="P68" s="542"/>
      <c r="Q68" s="542"/>
      <c r="R68" s="542"/>
      <c r="S68" s="542"/>
      <c r="T68" s="542"/>
      <c r="U68" s="542"/>
      <c r="V68" s="542"/>
      <c r="W68" s="535"/>
      <c r="X68" s="535"/>
      <c r="Y68" s="535"/>
    </row>
    <row r="69" spans="1:25">
      <c r="A69" s="984"/>
      <c r="B69" s="984"/>
      <c r="C69" s="984"/>
      <c r="D69" s="4"/>
      <c r="O69" s="542"/>
      <c r="P69" s="542"/>
      <c r="Q69" s="542"/>
      <c r="R69" s="542"/>
      <c r="S69" s="542"/>
      <c r="T69" s="542"/>
      <c r="U69" s="542"/>
      <c r="V69" s="542"/>
      <c r="W69" s="535"/>
      <c r="X69" s="535"/>
      <c r="Y69" s="535"/>
    </row>
    <row r="70" spans="1:25">
      <c r="A70" s="1138" t="s">
        <v>29</v>
      </c>
      <c r="B70" s="1138"/>
      <c r="C70" s="1138"/>
      <c r="D70" s="4"/>
      <c r="O70" s="542"/>
      <c r="P70" s="542"/>
      <c r="Q70" s="542"/>
      <c r="R70" s="542"/>
      <c r="S70" s="542"/>
      <c r="T70" s="542"/>
      <c r="U70" s="542"/>
      <c r="V70" s="542"/>
      <c r="W70" s="535"/>
      <c r="X70" s="535"/>
      <c r="Y70" s="535"/>
    </row>
    <row r="71" spans="1:25">
      <c r="A71" s="665" t="s">
        <v>30</v>
      </c>
      <c r="B71" s="665"/>
      <c r="C71" s="56" t="s">
        <v>224</v>
      </c>
      <c r="D71" s="57" t="s">
        <v>219</v>
      </c>
      <c r="E71" s="144">
        <v>0</v>
      </c>
      <c r="F71" s="1" t="str">
        <f>IF(E71=0,"ND",IF(E71&lt;6.4,"BAJO",IF(E71=6.39,"BAJO",IF(E71=6.4,"NORMAL",IF(E71&lt;=8.3,"NORMAL",IF(E71&gt;=8.31,"ALTO"))))))</f>
        <v>ND</v>
      </c>
      <c r="G71" s="144"/>
      <c r="H71" s="1" t="str">
        <f>IF(G71=0,"ND",IF(G71&lt;6.4,"BAJO",IF(G71=6.39,"BAJO",IF(G71=6.4,"NORMAL",IF(G71&lt;=8.3,"NORMAL",IF(G71&gt;=8.31,"ALTO"))))))</f>
        <v>ND</v>
      </c>
      <c r="I71" s="144"/>
      <c r="J71" s="1" t="str">
        <f>IF(I71=0,"ND",IF(I71&lt;6.4,"BAJO",IF(I71=6.39,"BAJO",IF(I71=6.4,"NORMAL",IF(I71&lt;=8.3,"NORMAL",IF(I71&gt;=8.31,"ALTO"))))))</f>
        <v>ND</v>
      </c>
      <c r="K71" s="144"/>
      <c r="L71" s="1" t="str">
        <f>IF(K71=0,"ND",IF(K71&lt;6.4,"BAJO",IF(K71=6.39,"BAJO",IF(K71=6.4,"NORMAL",IF(K71&lt;=8.3,"NORMAL",IF(K71&gt;=8.31,"ALTO"))))))</f>
        <v>ND</v>
      </c>
      <c r="M71" s="144"/>
      <c r="N71" s="1" t="str">
        <f>IF(M71=0,"ND",IF(M71&lt;6.4,"BAJO",IF(M71=6.39,"BAJO",IF(M71=6.4,"NORMAL",IF(M71&lt;=8.3,"NORMAL",IF(M71&gt;=8.31,"ALTO"))))))</f>
        <v>ND</v>
      </c>
      <c r="O71" s="542"/>
      <c r="P71" s="542"/>
      <c r="Q71" s="542"/>
      <c r="R71" s="542"/>
      <c r="S71" s="542"/>
      <c r="T71" s="542"/>
      <c r="U71" s="542"/>
      <c r="V71" s="542"/>
      <c r="W71" s="535"/>
      <c r="X71" s="535"/>
      <c r="Y71" s="535"/>
    </row>
    <row r="72" spans="1:25" s="62" customFormat="1">
      <c r="A72" s="65"/>
      <c r="B72" s="65"/>
      <c r="C72" s="60"/>
      <c r="D72" s="61"/>
      <c r="O72" s="540"/>
      <c r="P72" s="540"/>
      <c r="Q72" s="540"/>
      <c r="R72" s="540"/>
      <c r="S72" s="540"/>
      <c r="T72" s="540"/>
      <c r="U72" s="540"/>
      <c r="V72" s="540"/>
      <c r="W72" s="536"/>
      <c r="X72" s="536"/>
      <c r="Y72" s="536"/>
    </row>
    <row r="73" spans="1:25">
      <c r="A73" s="1139" t="s">
        <v>31</v>
      </c>
      <c r="B73" s="1139"/>
      <c r="C73" s="64" t="s">
        <v>212</v>
      </c>
      <c r="D73" s="58" t="s">
        <v>219</v>
      </c>
      <c r="E73" s="143">
        <v>1.7</v>
      </c>
      <c r="F73" s="1" t="str">
        <f>IF(E73=0,"ND",IF(E73&lt;3.4,"BAJO",IF(E73=3.39,"BAJO",IF(E73=3.4,"NORMAL",IF(E73&lt;=5,"NORMAL",IF(E73&gt;=5.01,"ALTO"))))))</f>
        <v>BAJO</v>
      </c>
      <c r="G73" s="143"/>
      <c r="H73" s="1" t="str">
        <f>IF(G73=0,"ND",IF(G73&lt;3.4,"BAJO",IF(G73=3.39,"BAJO",IF(G73=3.4,"NORMAL",IF(G73&lt;=5,"NORMAL",IF(G73&gt;=5.01,"ALTO"))))))</f>
        <v>ND</v>
      </c>
      <c r="I73" s="143"/>
      <c r="J73" s="1" t="str">
        <f>IF(I73=0,"ND",IF(I73&lt;3.4,"BAJO",IF(I73=3.39,"BAJO",IF(I73=3.4,"NORMAL",IF(I73&lt;=5,"NORMAL",IF(I73&gt;=5.01,"ALTO"))))))</f>
        <v>ND</v>
      </c>
      <c r="K73" s="143"/>
      <c r="L73" s="1" t="str">
        <f>IF(K73=0,"ND",IF(K73&lt;3.4,"BAJO",IF(K73=3.39,"BAJO",IF(K73=3.4,"NORMAL",IF(K73&lt;=5,"NORMAL",IF(K73&gt;=5.01,"ALTO"))))))</f>
        <v>ND</v>
      </c>
      <c r="M73" s="143"/>
      <c r="N73" s="1" t="str">
        <f>IF(M73=0,"ND",IF(M73&lt;3.4,"BAJO",IF(M73=3.39,"BAJO",IF(M73=3.4,"NORMAL",IF(M73&lt;=5,"NORMAL",IF(M73&gt;=5.01,"ALTO"))))))</f>
        <v>ND</v>
      </c>
      <c r="O73" s="542"/>
      <c r="P73" s="542"/>
      <c r="Q73" s="542"/>
      <c r="R73" s="542"/>
      <c r="S73" s="542"/>
      <c r="T73" s="542"/>
      <c r="U73" s="542"/>
      <c r="V73" s="542"/>
      <c r="W73" s="535"/>
      <c r="X73" s="535"/>
      <c r="Y73" s="535"/>
    </row>
    <row r="74" spans="1:25">
      <c r="A74" s="5"/>
      <c r="B74" s="5"/>
      <c r="C74" s="5"/>
      <c r="D74" s="4"/>
      <c r="O74" s="542"/>
      <c r="P74" s="542"/>
      <c r="Q74" s="542"/>
      <c r="R74" s="542"/>
      <c r="S74" s="542"/>
      <c r="T74" s="542"/>
      <c r="U74" s="542"/>
      <c r="V74" s="542"/>
      <c r="W74" s="535"/>
      <c r="X74" s="535"/>
      <c r="Y74" s="535"/>
    </row>
    <row r="75" spans="1:25">
      <c r="A75" s="1138" t="s">
        <v>32</v>
      </c>
      <c r="B75" s="1138"/>
      <c r="C75" s="1138"/>
      <c r="D75" s="4"/>
      <c r="O75" s="542"/>
      <c r="P75" s="542"/>
      <c r="Q75" s="542"/>
      <c r="R75" s="542"/>
      <c r="S75" s="542"/>
      <c r="T75" s="542"/>
      <c r="U75" s="542"/>
      <c r="V75" s="542"/>
      <c r="W75" s="535"/>
      <c r="X75" s="535"/>
      <c r="Y75" s="535"/>
    </row>
    <row r="76" spans="1:25">
      <c r="A76" s="663" t="s">
        <v>33</v>
      </c>
      <c r="B76" s="663"/>
      <c r="C76" s="46" t="s">
        <v>232</v>
      </c>
      <c r="D76" s="42" t="s">
        <v>221</v>
      </c>
      <c r="E76" s="141">
        <v>0</v>
      </c>
      <c r="F76" s="1" t="str">
        <f>IF(E76=0,"ND",IF(E76&lt;140,"BAJO",IF(E76=139.9,"BAJO",IF(E76=140,"NORMAL",IF(E76&lt;=200,"NORMAL",IF(E76&gt;=200.1,"ALTO"))))))</f>
        <v>ND</v>
      </c>
      <c r="G76" s="141"/>
      <c r="H76" s="1" t="str">
        <f>IF(G76=0,"ND",IF(G76&lt;140,"BAJO",IF(G76=139.9,"BAJO",IF(G76=140,"NORMAL",IF(G76&lt;=200,"NORMAL",IF(G76&gt;=200.1,"ALTO"))))))</f>
        <v>ND</v>
      </c>
      <c r="I76" s="141"/>
      <c r="J76" s="1" t="str">
        <f>IF(I76=0,"ND",IF(I76&lt;140,"BAJO",IF(I76=139.9,"BAJO",IF(I76=140,"NORMAL",IF(I76&lt;=200,"NORMAL",IF(I76&gt;=200.1,"ALTO"))))))</f>
        <v>ND</v>
      </c>
      <c r="K76" s="141"/>
      <c r="L76" s="1" t="str">
        <f>IF(K76=0,"ND",IF(K76&lt;140,"BAJO",IF(K76=139.9,"BAJO",IF(K76=140,"NORMAL",IF(K76&lt;=200,"NORMAL",IF(K76&gt;=200.1,"ALTO"))))))</f>
        <v>ND</v>
      </c>
      <c r="M76" s="141"/>
      <c r="N76" s="1" t="str">
        <f>IF(M76=0,"ND",IF(M76&lt;140,"BAJO",IF(M76=139.9,"BAJO",IF(M76=140,"NORMAL",IF(M76&lt;=200,"NORMAL",IF(M76&gt;=200.1,"ALTO"))))))</f>
        <v>ND</v>
      </c>
      <c r="O76" s="542"/>
      <c r="P76" s="542"/>
      <c r="Q76" s="542"/>
      <c r="R76" s="542"/>
      <c r="S76" s="542"/>
      <c r="T76" s="542"/>
      <c r="U76" s="542"/>
      <c r="V76" s="542"/>
      <c r="W76" s="535"/>
      <c r="X76" s="535"/>
      <c r="Y76" s="535"/>
    </row>
    <row r="77" spans="1:25" s="63" customFormat="1">
      <c r="A77" s="59"/>
      <c r="B77" s="59"/>
      <c r="C77" s="60"/>
      <c r="D77" s="61"/>
      <c r="E77" s="62"/>
      <c r="F77" s="62"/>
      <c r="G77" s="62"/>
      <c r="H77" s="62"/>
      <c r="I77" s="62"/>
      <c r="J77" s="62"/>
      <c r="K77" s="62"/>
      <c r="L77" s="62"/>
      <c r="M77" s="62"/>
      <c r="O77" s="542"/>
      <c r="P77" s="542"/>
      <c r="Q77" s="542"/>
      <c r="R77" s="542"/>
      <c r="S77" s="542"/>
      <c r="T77" s="542"/>
      <c r="U77" s="542"/>
      <c r="V77" s="542"/>
      <c r="W77" s="535"/>
      <c r="X77" s="535"/>
      <c r="Y77" s="535"/>
    </row>
    <row r="78" spans="1:25">
      <c r="A78" s="1135" t="s">
        <v>34</v>
      </c>
      <c r="B78" s="1135"/>
      <c r="C78" s="47" t="s">
        <v>233</v>
      </c>
      <c r="D78" s="42" t="s">
        <v>221</v>
      </c>
      <c r="E78" s="141">
        <v>0</v>
      </c>
      <c r="F78" s="1" t="str">
        <f>IF(E78=0,"ND",IF(E78&lt;40,"BAJO",IF(E78=39.9,"BAJO",IF(E78=40,"NORMAL",IF(E78&lt;=160,"NORMAL",IF(E78&gt;=160.1,"ALTO",IF(E78=0,"ND")))))))</f>
        <v>ND</v>
      </c>
      <c r="G78" s="141"/>
      <c r="H78" s="84" t="str">
        <f>IF(G78=0,"ND",IF(G78&lt;40,"BAJO",IF(G78=39.9,"BAJO",IF(G78=40,"NORMAL",IF(G78&lt;=160,"NORMAL",IF(G78&gt;=160.1,"ALTO"))))))</f>
        <v>ND</v>
      </c>
      <c r="I78" s="141"/>
      <c r="J78" s="1" t="str">
        <f>IF(I78=0,"ND",IF(I78&lt;40,"BAJO",IF(I78=39.9,"BAJO",IF(I78=40,"NORMAL",IF(I78&lt;=160,"NORMAL",IF(I78&gt;=160.1,"ALTO"))))))</f>
        <v>ND</v>
      </c>
      <c r="K78" s="141"/>
      <c r="L78" s="1" t="str">
        <f>IF(K78=0,"ND",IF(K78&lt;40,"BAJO",IF(K78=39.9,"BAJO",IF(K78=40,"NORMAL",IF(K78&lt;=160,"NORMAL",IF(K78&gt;=160.1,"ALTO"))))))</f>
        <v>ND</v>
      </c>
      <c r="M78" s="141"/>
      <c r="N78" s="1" t="str">
        <f>IF(M78=0,"ND",IF(M78&lt;40,"BAJO",IF(M78=39.9,"BAJO",IF(M78=40,"NORMAL",IF(M78&lt;=160,"NORMAL",IF(M78&gt;=160.1,"ALTO"))))))</f>
        <v>ND</v>
      </c>
      <c r="O78" s="542"/>
      <c r="P78" s="542"/>
      <c r="Q78" s="542"/>
      <c r="R78" s="542"/>
      <c r="S78" s="542"/>
      <c r="T78" s="542"/>
      <c r="U78" s="542"/>
      <c r="V78" s="542"/>
      <c r="W78" s="535"/>
      <c r="X78" s="535"/>
      <c r="Y78" s="535"/>
    </row>
    <row r="79" spans="1:25" s="63" customFormat="1">
      <c r="A79" s="59" t="s">
        <v>237</v>
      </c>
      <c r="B79" s="59"/>
      <c r="C79" s="1140"/>
      <c r="D79" s="1140"/>
      <c r="E79" s="1140"/>
      <c r="F79" s="1140"/>
      <c r="G79" s="62"/>
      <c r="I79" s="62"/>
      <c r="K79" s="62"/>
      <c r="M79" s="62"/>
      <c r="O79" s="542"/>
      <c r="P79" s="542"/>
      <c r="Q79" s="542"/>
      <c r="R79" s="542"/>
      <c r="S79" s="542"/>
      <c r="T79" s="542"/>
      <c r="U79" s="542"/>
      <c r="V79" s="542"/>
      <c r="W79" s="535"/>
      <c r="X79" s="535"/>
      <c r="Y79" s="535"/>
    </row>
    <row r="80" spans="1:25">
      <c r="A80" s="1138" t="s">
        <v>35</v>
      </c>
      <c r="B80" s="1138"/>
      <c r="C80" s="1138"/>
      <c r="D80" s="4"/>
      <c r="E80" s="45"/>
      <c r="O80" s="542"/>
      <c r="P80" s="542"/>
      <c r="Q80" s="542"/>
      <c r="R80" s="542"/>
      <c r="S80" s="542"/>
      <c r="T80" s="542"/>
      <c r="U80" s="542"/>
      <c r="V80" s="542"/>
      <c r="W80" s="535"/>
      <c r="X80" s="535"/>
      <c r="Y80" s="535"/>
    </row>
    <row r="81" spans="1:25">
      <c r="A81" s="664"/>
      <c r="B81" s="664"/>
      <c r="C81" s="664"/>
      <c r="D81" s="4"/>
      <c r="E81" s="45"/>
      <c r="O81" s="542"/>
      <c r="P81" s="542"/>
      <c r="Q81" s="542"/>
      <c r="R81" s="542"/>
      <c r="S81" s="542"/>
      <c r="T81" s="542"/>
      <c r="U81" s="542"/>
      <c r="V81" s="542"/>
      <c r="W81" s="535"/>
      <c r="X81" s="535"/>
      <c r="Y81" s="535"/>
    </row>
    <row r="82" spans="1:25">
      <c r="A82" s="664"/>
      <c r="B82" s="664"/>
      <c r="C82" s="664"/>
      <c r="D82" s="4"/>
      <c r="E82" s="45"/>
      <c r="O82" s="542"/>
      <c r="P82" s="542"/>
      <c r="Q82" s="542"/>
      <c r="R82" s="542"/>
      <c r="S82" s="542"/>
      <c r="T82" s="542"/>
      <c r="U82" s="542"/>
      <c r="V82" s="542"/>
      <c r="W82" s="535"/>
      <c r="X82" s="535"/>
      <c r="Y82" s="535"/>
    </row>
    <row r="83" spans="1:25">
      <c r="A83" s="1135" t="s">
        <v>222</v>
      </c>
      <c r="B83" s="1136"/>
      <c r="C83" s="49" t="s">
        <v>223</v>
      </c>
      <c r="D83" s="42" t="s">
        <v>221</v>
      </c>
      <c r="E83" s="141">
        <v>0</v>
      </c>
      <c r="F83" s="1" t="str">
        <f>IF(E83=0,"ND",IF(E83&lt;9,"BAJO",IF(E83=8.9,"BAJO",IF(E83=9,"NORMAL",IF(E83&lt;=20,"NORMAL",IF(E83&gt;=20.1,"ALTO"))))))</f>
        <v>ND</v>
      </c>
      <c r="G83" s="141">
        <v>0</v>
      </c>
      <c r="H83" s="1" t="str">
        <f>IF(G83=0,"ND",IF(G83&lt;9,"BAJO",IF(G83=8.9,"BAJO",IF(G83=9,"NORMAL",IF(G83&lt;=20,"NORMAL",IF(G83&gt;=20.1,"ALTO"))))))</f>
        <v>ND</v>
      </c>
      <c r="I83" s="141"/>
      <c r="J83" s="1" t="str">
        <f>IF(I83=0,"ND",IF(I83&lt;9,"BAJO",IF(I83=8.9,"BAJO",IF(I83=9,"NORMAL",IF(I83&lt;=20,"NORMAL",IF(I83&gt;=20.1,"ALTO"))))))</f>
        <v>ND</v>
      </c>
      <c r="K83" s="141"/>
      <c r="L83" s="1" t="str">
        <f>IF(K83=0,"ND",IF(K83&lt;9,"BAJO",IF(K83=8.9,"BAJO",IF(K83=9,"NORMAL",IF(K83&lt;=20,"NORMAL",IF(K83&gt;=20.1,"ALTO"))))))</f>
        <v>ND</v>
      </c>
      <c r="M83" s="141"/>
      <c r="N83" s="1" t="str">
        <f>IF(M83=0,"ND",IF(M83&lt;9,"BAJO",IF(M83=8.9,"BAJO",IF(M83=9,"NORMAL",IF(M83&lt;=20,"NORMAL",IF(M83&gt;=20.1,"ALTO"))))))</f>
        <v>ND</v>
      </c>
      <c r="O83" s="542"/>
      <c r="P83" s="542"/>
      <c r="Q83" s="542"/>
      <c r="R83" s="542"/>
      <c r="S83" s="542"/>
      <c r="T83" s="542"/>
      <c r="U83" s="542"/>
      <c r="V83" s="542"/>
      <c r="W83" s="535"/>
      <c r="X83" s="535"/>
      <c r="Y83" s="535"/>
    </row>
    <row r="84" spans="1:25">
      <c r="A84" s="663"/>
      <c r="B84" s="663"/>
      <c r="C84" s="117"/>
      <c r="D84" s="118"/>
      <c r="E84" s="85"/>
      <c r="F84" s="84"/>
      <c r="G84" s="85"/>
      <c r="H84" s="84"/>
      <c r="I84" s="85"/>
      <c r="J84" s="84"/>
      <c r="K84" s="85"/>
      <c r="L84" s="84"/>
      <c r="M84" s="85"/>
      <c r="O84" s="542"/>
      <c r="P84" s="542"/>
      <c r="Q84" s="542"/>
      <c r="R84" s="542"/>
      <c r="S84" s="542"/>
      <c r="T84" s="542"/>
      <c r="U84" s="542"/>
      <c r="V84" s="542"/>
      <c r="W84" s="535"/>
      <c r="X84" s="535"/>
      <c r="Y84" s="535"/>
    </row>
    <row r="85" spans="1:25">
      <c r="A85" s="663"/>
      <c r="B85" s="663"/>
      <c r="C85" s="117"/>
      <c r="D85" s="118"/>
      <c r="E85" s="85"/>
      <c r="F85" s="84"/>
      <c r="G85" s="85"/>
      <c r="H85" s="84"/>
      <c r="I85" s="85"/>
      <c r="J85" s="84"/>
      <c r="K85" s="85"/>
      <c r="L85" s="84"/>
      <c r="M85" s="85"/>
      <c r="O85" s="542"/>
      <c r="P85" s="542"/>
      <c r="Q85" s="542"/>
      <c r="R85" s="542"/>
      <c r="S85" s="542"/>
      <c r="T85" s="542"/>
      <c r="U85" s="542"/>
      <c r="V85" s="542"/>
      <c r="W85" s="535"/>
      <c r="X85" s="535"/>
      <c r="Y85" s="535"/>
    </row>
    <row r="86" spans="1:25">
      <c r="A86" s="663"/>
      <c r="B86" s="663"/>
      <c r="C86" s="117"/>
      <c r="D86" s="118"/>
      <c r="E86" s="85"/>
      <c r="F86" s="84"/>
      <c r="G86" s="85"/>
      <c r="H86" s="84"/>
      <c r="I86" s="85"/>
      <c r="J86" s="84"/>
      <c r="K86" s="85"/>
      <c r="L86" s="84"/>
      <c r="M86" s="85"/>
      <c r="O86" s="542"/>
      <c r="P86" s="542"/>
      <c r="Q86" s="542"/>
      <c r="R86" s="542"/>
      <c r="S86" s="542"/>
      <c r="T86" s="542"/>
      <c r="U86" s="542"/>
      <c r="V86" s="542"/>
      <c r="W86" s="535"/>
      <c r="X86" s="535"/>
      <c r="Y86" s="535"/>
    </row>
    <row r="87" spans="1:25">
      <c r="A87" s="663"/>
      <c r="B87" s="663"/>
      <c r="C87" s="117"/>
      <c r="D87" s="118"/>
      <c r="E87" s="85"/>
      <c r="F87" s="84"/>
      <c r="G87" s="85"/>
      <c r="H87" s="84"/>
      <c r="I87" s="85"/>
      <c r="J87" s="84"/>
      <c r="K87" s="85"/>
      <c r="L87" s="84"/>
      <c r="M87" s="85"/>
      <c r="O87" s="542"/>
      <c r="P87" s="542"/>
      <c r="Q87" s="542"/>
      <c r="R87" s="542"/>
      <c r="S87" s="542"/>
      <c r="T87" s="542"/>
      <c r="U87" s="542"/>
      <c r="V87" s="542"/>
      <c r="W87" s="535"/>
      <c r="X87" s="535"/>
      <c r="Y87" s="535"/>
    </row>
    <row r="88" spans="1:25">
      <c r="A88" s="663"/>
      <c r="B88" s="663"/>
      <c r="C88" s="117"/>
      <c r="D88" s="118"/>
      <c r="E88" s="85"/>
      <c r="F88" s="84"/>
      <c r="G88" s="85"/>
      <c r="H88" s="84"/>
      <c r="I88" s="85"/>
      <c r="J88" s="84"/>
      <c r="K88" s="85"/>
      <c r="L88" s="84"/>
      <c r="M88" s="85"/>
      <c r="O88" s="542"/>
      <c r="P88" s="542"/>
      <c r="Q88" s="542"/>
      <c r="R88" s="542"/>
      <c r="S88" s="542"/>
      <c r="T88" s="542"/>
      <c r="U88" s="542"/>
      <c r="V88" s="542"/>
      <c r="W88" s="535"/>
      <c r="X88" s="535"/>
      <c r="Y88" s="535"/>
    </row>
    <row r="89" spans="1:25">
      <c r="A89" s="663"/>
      <c r="B89" s="663"/>
      <c r="C89" s="117"/>
      <c r="D89" s="118"/>
      <c r="E89" s="85"/>
      <c r="F89" s="84"/>
      <c r="G89" s="85"/>
      <c r="H89" s="84"/>
      <c r="I89" s="85"/>
      <c r="J89" s="84"/>
      <c r="K89" s="85"/>
      <c r="L89" s="84"/>
      <c r="M89" s="85"/>
      <c r="O89" s="542"/>
      <c r="P89" s="542"/>
      <c r="Q89" s="542"/>
      <c r="R89" s="542"/>
      <c r="S89" s="542"/>
      <c r="T89" s="542"/>
      <c r="U89" s="542"/>
      <c r="V89" s="542"/>
      <c r="W89" s="535"/>
      <c r="X89" s="535"/>
      <c r="Y89" s="535"/>
    </row>
    <row r="90" spans="1:25">
      <c r="A90" s="532"/>
      <c r="B90" s="532"/>
      <c r="C90" s="117"/>
      <c r="D90" s="118"/>
      <c r="E90" s="85"/>
      <c r="F90" s="84"/>
      <c r="G90" s="85"/>
      <c r="H90" s="84"/>
      <c r="I90" s="85"/>
      <c r="J90" s="84"/>
      <c r="K90" s="85"/>
      <c r="L90" s="84"/>
      <c r="M90" s="85"/>
      <c r="N90" s="84"/>
      <c r="O90" s="542"/>
      <c r="P90" s="542"/>
      <c r="Q90" s="542"/>
      <c r="R90" s="542"/>
      <c r="S90" s="542"/>
      <c r="T90" s="542"/>
      <c r="U90" s="542"/>
      <c r="V90" s="542"/>
      <c r="W90" s="535"/>
      <c r="X90" s="535"/>
      <c r="Y90" s="535"/>
    </row>
    <row r="91" spans="1:25">
      <c r="A91" s="532"/>
      <c r="B91" s="532"/>
      <c r="C91" s="117"/>
      <c r="D91" s="118"/>
      <c r="E91" s="85"/>
      <c r="F91" s="84"/>
      <c r="G91" s="85"/>
      <c r="H91" s="84"/>
      <c r="I91" s="85"/>
      <c r="J91" s="84"/>
      <c r="K91" s="85"/>
      <c r="L91" s="84"/>
      <c r="M91" s="85"/>
      <c r="N91" s="84"/>
      <c r="O91" s="542"/>
      <c r="P91" s="542"/>
      <c r="Q91" s="542"/>
      <c r="R91" s="542"/>
      <c r="S91" s="542"/>
      <c r="T91" s="542"/>
      <c r="U91" s="542"/>
      <c r="V91" s="542"/>
      <c r="W91" s="535"/>
      <c r="X91" s="535"/>
      <c r="Y91" s="535"/>
    </row>
    <row r="92" spans="1:25">
      <c r="A92" s="532"/>
      <c r="B92" s="532"/>
      <c r="C92" s="117"/>
      <c r="D92" s="118"/>
      <c r="E92" s="85"/>
      <c r="F92" s="84"/>
      <c r="G92" s="85"/>
      <c r="H92" s="84"/>
      <c r="I92" s="85"/>
      <c r="J92" s="84"/>
      <c r="K92" s="85"/>
      <c r="L92" s="84"/>
      <c r="M92" s="85"/>
      <c r="N92" s="84"/>
      <c r="O92" s="542"/>
      <c r="P92" s="542"/>
      <c r="Q92" s="542"/>
      <c r="R92" s="542"/>
      <c r="S92" s="542"/>
      <c r="T92" s="542"/>
      <c r="U92" s="542"/>
      <c r="V92" s="542"/>
      <c r="W92" s="535"/>
      <c r="X92" s="535"/>
      <c r="Y92" s="535"/>
    </row>
    <row r="93" spans="1:25" ht="15.75">
      <c r="A93" s="532"/>
      <c r="B93" s="532"/>
      <c r="C93" s="117"/>
      <c r="D93" s="1304" t="s">
        <v>600</v>
      </c>
      <c r="E93" s="1304"/>
      <c r="F93" s="1304"/>
      <c r="G93" s="1304"/>
      <c r="H93" s="1304"/>
      <c r="I93" s="1304"/>
      <c r="J93" s="1304"/>
      <c r="K93" s="85"/>
      <c r="L93" s="84"/>
      <c r="M93" s="85"/>
      <c r="N93" s="84"/>
      <c r="O93" s="542"/>
      <c r="P93" s="542"/>
      <c r="Q93" s="542"/>
      <c r="R93" s="542"/>
      <c r="S93" s="542"/>
      <c r="T93" s="542"/>
      <c r="U93" s="542"/>
      <c r="V93" s="542"/>
      <c r="W93" s="535"/>
      <c r="X93" s="535"/>
      <c r="Y93" s="535"/>
    </row>
    <row r="94" spans="1:25" ht="15.75" thickBot="1">
      <c r="A94" s="532"/>
      <c r="B94" s="532"/>
      <c r="C94" s="117"/>
      <c r="D94" s="118"/>
      <c r="E94" s="85"/>
      <c r="F94" s="84"/>
      <c r="G94" s="85"/>
      <c r="H94" s="84"/>
      <c r="I94" s="85"/>
      <c r="J94" s="84"/>
      <c r="K94" s="85"/>
      <c r="L94" s="84"/>
      <c r="M94" s="85"/>
      <c r="N94" s="84"/>
      <c r="O94" s="542"/>
      <c r="P94" s="710"/>
      <c r="Q94" s="535" t="str">
        <f>LEFT(P94,1)</f>
        <v/>
      </c>
      <c r="R94" s="535"/>
      <c r="S94" s="535"/>
      <c r="T94" s="535"/>
      <c r="U94" s="535"/>
      <c r="V94" s="524"/>
      <c r="W94" s="535"/>
      <c r="X94" s="535"/>
      <c r="Y94" s="535"/>
    </row>
    <row r="95" spans="1:25" ht="15.75" thickBot="1">
      <c r="A95" s="1297" t="s">
        <v>601</v>
      </c>
      <c r="B95" s="1302"/>
      <c r="C95" s="712" t="s">
        <v>607</v>
      </c>
      <c r="D95" s="705" t="s">
        <v>221</v>
      </c>
      <c r="E95" s="704">
        <v>11</v>
      </c>
      <c r="F95" s="706" t="str">
        <f>IF(E95=0,"ND",IF(E95&lt;=8.3,"BAJO",IF(E95=8.4,"NL",IF(E95&lt;=10.2,"NL",IF(E95&gt;=10.3,"ALTO")))))</f>
        <v>ALTO</v>
      </c>
      <c r="G95" s="704"/>
      <c r="H95" s="706" t="str">
        <f>IF(G95=0,"ND",IF(G95&lt;=8.2,"BAJO",IF(G95=8.3,"NL",IF(G95&lt;=10.6,"NL",IF(G95&gt;=10.7,"ALTO")))))</f>
        <v>ND</v>
      </c>
      <c r="I95" s="704"/>
      <c r="J95" s="706" t="str">
        <f>IF(I95=0,"ND",IF(I95&lt;=8.2,"BAJO",IF(I95=8.3,"NL",IF(I95&lt;=10.6,"NL",IF(I95&gt;=10.7,"ALTO")))))</f>
        <v>ND</v>
      </c>
      <c r="K95" s="704"/>
      <c r="L95" s="706" t="str">
        <f>IF(K95=0,"ND",IF(K95&lt;=8.2,"BAJO",IF(K95=8.3,"NL",IF(K95&lt;=10.6,"NL",IF(K95&gt;=10.7,"ALTO")))))</f>
        <v>ND</v>
      </c>
      <c r="M95" s="704"/>
      <c r="N95" s="706" t="str">
        <f>IF(M95=0,"ND",IF(M95&lt;=8.2,"BAJO",IF(M95=8.3,"NL",IF(M95&lt;=10.6,"NL",IF(M95&gt;=10.7,"ALTO")))))</f>
        <v>ND</v>
      </c>
      <c r="O95" s="542"/>
      <c r="P95" s="535"/>
      <c r="Q95" s="535"/>
      <c r="R95" s="535"/>
      <c r="S95" s="535"/>
      <c r="T95" s="535"/>
      <c r="U95" s="535"/>
      <c r="V95" s="524"/>
      <c r="W95" s="535"/>
      <c r="X95" s="535"/>
      <c r="Y95" s="535"/>
    </row>
    <row r="96" spans="1:25">
      <c r="A96" s="532" t="s">
        <v>602</v>
      </c>
      <c r="B96" s="532"/>
      <c r="C96" s="706" t="str">
        <f>IF(E95&lt;=8.3,"HIPERRELEXIA, MAREO, IRRITABILIDAD, CONVULSIONES, HIPERVENTILACION",IF(E95=8.4,"SIN SINTOMATOLOGIA AGREGADA",IF(E95&lt;=10.2,"SIN SINTOMATOLOGIA AGREGADA",IF(E95&gt;=10.3,"   "))))</f>
        <v xml:space="preserve">   </v>
      </c>
      <c r="D96" s="706"/>
      <c r="E96" s="118"/>
      <c r="F96" s="118"/>
      <c r="G96" s="85"/>
      <c r="H96" s="84"/>
      <c r="I96" s="85"/>
      <c r="J96" s="84"/>
      <c r="K96" s="85"/>
      <c r="L96" s="84"/>
      <c r="M96" s="85"/>
      <c r="N96" s="84"/>
      <c r="O96" s="542"/>
      <c r="P96" s="535"/>
      <c r="Q96" s="535"/>
      <c r="R96" s="535"/>
      <c r="S96" s="535"/>
      <c r="T96" s="535"/>
      <c r="U96" s="535"/>
      <c r="V96" s="524"/>
      <c r="W96" s="535"/>
      <c r="X96" s="535"/>
      <c r="Y96" s="535"/>
    </row>
    <row r="97" spans="1:25">
      <c r="A97" s="532" t="s">
        <v>603</v>
      </c>
      <c r="B97" s="708"/>
      <c r="C97" s="706" t="str">
        <f>IF(E95&lt;=8.3,"DEBIDO AL AUMENTO DE LA EXCITABILIAD DE LAS CELULAS NERVIOSAS Y MUSCULARES",IF(E95=8.4,"HOMEOSTASIS",IF(E95&lt;=10.2,"HOMEOSTASIS",IF(E95&gt;=10.3,"   "))))</f>
        <v xml:space="preserve">   </v>
      </c>
      <c r="D97" s="118"/>
      <c r="E97" s="85"/>
      <c r="F97" s="84"/>
      <c r="G97" s="85"/>
      <c r="H97" s="84"/>
      <c r="I97" s="85"/>
      <c r="J97" s="84"/>
      <c r="K97" s="85"/>
      <c r="L97" s="84"/>
      <c r="M97" s="85"/>
      <c r="N97" s="84"/>
      <c r="O97" s="542"/>
      <c r="P97" s="535"/>
      <c r="Q97" s="535"/>
      <c r="R97" s="535"/>
      <c r="S97" s="535"/>
      <c r="T97" s="535"/>
      <c r="U97" s="535"/>
      <c r="V97" s="524"/>
      <c r="W97" s="535"/>
      <c r="X97" s="535"/>
      <c r="Y97" s="535"/>
    </row>
    <row r="98" spans="1:25">
      <c r="A98" s="532" t="s">
        <v>602</v>
      </c>
      <c r="B98" s="532"/>
      <c r="C98" s="706" t="str">
        <f>IF(E95&lt;=8.3,"TETANIA, HORMIGUEO DE LOS DEDOS",IF(E95=8.4,"SIN SINTOMATOLOGIA ASOCIADA",IF(E95&lt;=10.2,"SIN SINTOMATOLOGIA ASOCIADA",IF(E95&gt;=10.3,"   "))))</f>
        <v xml:space="preserve">   </v>
      </c>
      <c r="D98" s="118"/>
      <c r="E98" s="85"/>
      <c r="F98" s="84"/>
      <c r="G98" s="85"/>
      <c r="H98" s="84"/>
      <c r="I98" s="85"/>
      <c r="J98" s="84"/>
      <c r="K98" s="85"/>
      <c r="L98" s="84"/>
      <c r="M98" s="85"/>
      <c r="N98" s="84"/>
      <c r="O98" s="542"/>
      <c r="P98" s="535"/>
      <c r="Q98" s="709"/>
      <c r="R98" s="709"/>
      <c r="S98" s="535"/>
      <c r="T98" s="535"/>
      <c r="U98" s="535"/>
      <c r="V98" s="524"/>
      <c r="W98" s="535"/>
      <c r="X98" s="535"/>
      <c r="Y98" s="535"/>
    </row>
    <row r="99" spans="1:25">
      <c r="A99" s="532" t="s">
        <v>603</v>
      </c>
      <c r="B99" s="532"/>
      <c r="C99" s="706" t="str">
        <f>IF(E95&lt;=8.2,"DEBIDO A LAS CONTACCIONES ESPONTANEAS Y REPETITIVAS DEL MUSCULO ESQUELETICO",IF(E95=8.4,"HOMEOSTASIS",IF(E95&lt;=10.2,"HOMEOSTASIS ",IF(E95&gt;=10.3,"   "))))</f>
        <v xml:space="preserve">   </v>
      </c>
      <c r="D99" s="118"/>
      <c r="E99" s="85"/>
      <c r="F99" s="84"/>
      <c r="G99" s="85"/>
      <c r="H99" s="84"/>
      <c r="I99" s="85"/>
      <c r="J99" s="84"/>
      <c r="K99" s="85"/>
      <c r="L99" s="84"/>
      <c r="M99" s="85"/>
      <c r="N99" s="84"/>
      <c r="O99" s="542"/>
      <c r="P99" s="535"/>
      <c r="Q99" s="709"/>
      <c r="R99" s="709"/>
      <c r="S99" s="535"/>
      <c r="T99" s="535"/>
      <c r="U99" s="535"/>
      <c r="V99" s="524"/>
      <c r="W99" s="535"/>
      <c r="X99" s="535"/>
      <c r="Y99" s="535"/>
    </row>
    <row r="100" spans="1:25">
      <c r="A100" s="532" t="s">
        <v>604</v>
      </c>
      <c r="B100" s="532"/>
      <c r="C100" s="1301" t="str">
        <f>IF(E95&lt;=8.3,"DAR DIETA CALCULADA EN 1000 A 1500 mg DE CALCIO/DIA ",IF(E95=8.4,"DAR DIETA CALCULADA EN 800 mg DE CALCIO/DIA",IF(E95&lt;=10.2,"DAR DIETA CALCULADA EN 800 mg DE CALCIO/DIA", IF(E95&gt;= 10.3,"DAR DIETA BAJA EN CALCIO. REDUCIR VITAMINA A, VITAMINA D  Y/O ANTIACIDOS QUE CONTIENEN CALCIO"))))</f>
        <v>DAR DIETA BAJA EN CALCIO. REDUCIR VITAMINA A, VITAMINA D  Y/O ANTIACIDOS QUE CONTIENEN CALCIO</v>
      </c>
      <c r="D100" s="1301"/>
      <c r="E100" s="1301"/>
      <c r="F100" s="1301"/>
      <c r="G100" s="1301"/>
      <c r="H100" s="1301"/>
      <c r="I100" s="1301"/>
      <c r="J100" s="1301"/>
      <c r="K100" s="1301"/>
      <c r="L100" s="1301"/>
      <c r="M100" s="1301"/>
      <c r="N100" s="1301"/>
      <c r="O100" s="1301"/>
      <c r="P100" s="535"/>
      <c r="Q100" s="709"/>
      <c r="R100" s="709"/>
      <c r="S100" s="535"/>
      <c r="T100" s="535"/>
      <c r="U100" s="535"/>
      <c r="V100" s="524"/>
      <c r="W100" s="535"/>
      <c r="X100" s="535"/>
      <c r="Y100" s="535"/>
    </row>
    <row r="101" spans="1:25" ht="15.75" thickBot="1">
      <c r="A101" s="532"/>
      <c r="B101" s="532"/>
      <c r="C101" s="1301"/>
      <c r="D101" s="1301"/>
      <c r="E101" s="1301"/>
      <c r="F101" s="1301"/>
      <c r="G101" s="1301"/>
      <c r="H101" s="1301"/>
      <c r="I101" s="1301"/>
      <c r="J101" s="1301"/>
      <c r="K101" s="1301"/>
      <c r="L101" s="1301"/>
      <c r="M101" s="1301"/>
      <c r="N101" s="1301"/>
      <c r="O101" s="1301"/>
      <c r="P101" s="535"/>
      <c r="Q101" s="709"/>
      <c r="R101" s="709"/>
      <c r="S101" s="535"/>
      <c r="T101" s="535"/>
      <c r="U101" s="535"/>
      <c r="V101" s="524"/>
      <c r="W101" s="535"/>
      <c r="X101" s="535"/>
      <c r="Y101" s="535"/>
    </row>
    <row r="102" spans="1:25" ht="15.75" thickBot="1">
      <c r="A102" s="1297" t="s">
        <v>605</v>
      </c>
      <c r="B102" s="1302"/>
      <c r="C102" s="712" t="s">
        <v>606</v>
      </c>
      <c r="D102" s="705" t="s">
        <v>221</v>
      </c>
      <c r="E102" s="704">
        <v>3</v>
      </c>
      <c r="F102" s="706" t="str">
        <f>IF(E102=0,"ND",IF(E102&lt;=2.4,"BAJO",IF(E102=2.5,"NL",IF(E102&lt;=4.5,"NL",IF(E102&gt;=4.5,"ALTO")))))</f>
        <v>NL</v>
      </c>
      <c r="G102" s="704"/>
      <c r="H102" s="706" t="str">
        <f>IF(G102=0,"ND",IF(G102&lt;=8.2,"BAJO",IF(G102=8.3,"NL",IF(G102&lt;=10.6,"NL",IF(G102&gt;=10.7,"ALTO")))))</f>
        <v>ND</v>
      </c>
      <c r="I102" s="704"/>
      <c r="J102" s="706" t="str">
        <f>IF(I102=0,"ND",IF(I102&lt;=8.2,"BAJO",IF(I102=8.3,"NL",IF(I102&lt;=10.6,"NL",IF(I102&gt;=10.7,"ALTO")))))</f>
        <v>ND</v>
      </c>
      <c r="K102" s="704"/>
      <c r="L102" s="706" t="str">
        <f>IF(K102=0,"ND",IF(K102&lt;=8.2,"BAJO",IF(K102=8.3,"NL",IF(K102&lt;=10.6,"NL",IF(K102&gt;=10.7,"ALTO")))))</f>
        <v>ND</v>
      </c>
      <c r="M102" s="704"/>
      <c r="N102" s="706" t="str">
        <f>IF(M102=0,"ND",IF(M102&lt;=8.2,"BAJO",IF(M102=8.3,"NL",IF(M102&lt;=10.6,"NL",IF(M102&gt;=10.7,"ALTO")))))</f>
        <v>ND</v>
      </c>
      <c r="O102" s="542"/>
      <c r="P102" s="535"/>
      <c r="Q102" s="709"/>
      <c r="R102" s="709"/>
      <c r="S102" s="535"/>
      <c r="T102" s="535"/>
      <c r="U102" s="535"/>
      <c r="V102" s="524"/>
      <c r="W102" s="535"/>
      <c r="X102" s="535"/>
      <c r="Y102" s="535"/>
    </row>
    <row r="103" spans="1:25">
      <c r="A103" s="532" t="s">
        <v>602</v>
      </c>
      <c r="B103" s="532"/>
      <c r="C103" s="1305" t="str">
        <f>IF(E102&lt;=2.4,"CONFUSION, CONVULSIONES, COMA",IF(E102=2.5,"SIN SINTOMATOLOGIA ASOCIADA",IF(E102&lt;=4.5,"SIN SINTOMATOLOGIA ASOCIADA",IF(E102&gt;=4.6,"      "))))</f>
        <v>SIN SINTOMATOLOGIA ASOCIADA</v>
      </c>
      <c r="D103" s="1305"/>
      <c r="E103" s="1305"/>
      <c r="F103" s="1305"/>
      <c r="G103" s="1305"/>
      <c r="H103" s="1305"/>
      <c r="I103" s="1305"/>
      <c r="J103" s="1305"/>
      <c r="K103" s="1305"/>
      <c r="L103" s="1305"/>
      <c r="M103" s="1305"/>
      <c r="N103" s="1305"/>
      <c r="O103" s="1305"/>
      <c r="P103" s="535"/>
      <c r="Q103" s="709"/>
      <c r="R103" s="709"/>
      <c r="S103" s="535"/>
      <c r="T103" s="535"/>
      <c r="U103" s="535"/>
      <c r="V103" s="524"/>
      <c r="W103" s="535"/>
      <c r="X103" s="535"/>
      <c r="Y103" s="535"/>
    </row>
    <row r="104" spans="1:25">
      <c r="A104" s="532" t="s">
        <v>608</v>
      </c>
      <c r="B104" s="532"/>
      <c r="C104" s="706" t="str">
        <f>IF(E102&lt;=2.4,"REDUCCION DE LA OXIGENACION MIOCARDICA",IF(E102=2.5,"HOMEOSTASIS",IF(E102&lt;=4.5,"HOMEOSTASIS",IF(E102&gt;=4.6,"      "))))</f>
        <v>HOMEOSTASIS</v>
      </c>
      <c r="D104" s="118"/>
      <c r="E104" s="85"/>
      <c r="F104" s="84"/>
      <c r="G104" s="85"/>
      <c r="H104" s="84"/>
      <c r="I104" s="85"/>
      <c r="J104" s="84"/>
      <c r="K104" s="85"/>
      <c r="L104" s="84"/>
      <c r="M104" s="85"/>
      <c r="N104" s="84"/>
      <c r="O104" s="542"/>
      <c r="P104" s="535"/>
      <c r="Q104" s="709"/>
      <c r="R104" s="709"/>
      <c r="S104" s="535"/>
      <c r="T104" s="535"/>
      <c r="U104" s="535"/>
      <c r="V104" s="524"/>
      <c r="W104" s="535"/>
      <c r="X104" s="535"/>
      <c r="Y104" s="535"/>
    </row>
    <row r="105" spans="1:25">
      <c r="A105" s="532" t="s">
        <v>602</v>
      </c>
      <c r="B105" s="532"/>
      <c r="C105" s="1300" t="str">
        <f>IF(E102&lt;=2.4,"DOLOR DE PECHO",IF(E102=2.5,"SIN SINTOMATOLOGIA ASOCIADA",IF(E102&lt;=4.5,"SIN SINTOMATOLOGIA ASOCIADA",IF(E102&gt;=4.6,"      "))))</f>
        <v>SIN SINTOMATOLOGIA ASOCIADA</v>
      </c>
      <c r="D105" s="1300"/>
      <c r="E105" s="1300"/>
      <c r="F105" s="1300"/>
      <c r="G105" s="1300"/>
      <c r="H105" s="1300"/>
      <c r="I105" s="1300"/>
      <c r="J105" s="1300"/>
      <c r="K105" s="1300"/>
      <c r="L105" s="1300"/>
      <c r="M105" s="1300"/>
      <c r="N105" s="1300"/>
      <c r="O105" s="1300"/>
      <c r="P105" s="535"/>
      <c r="Q105" s="709"/>
      <c r="R105" s="709"/>
      <c r="S105" s="535"/>
      <c r="T105" s="535"/>
      <c r="U105" s="535"/>
      <c r="V105" s="524"/>
      <c r="W105" s="535"/>
      <c r="X105" s="535"/>
      <c r="Y105" s="535"/>
    </row>
    <row r="106" spans="1:25" ht="15" customHeight="1">
      <c r="A106" s="532" t="s">
        <v>608</v>
      </c>
      <c r="B106" s="532"/>
      <c r="C106" s="1301" t="str">
        <f>IF(E102&lt;=2.4,"MENOS ATPEN EL MUSCULO CARDIACO, LO QUE DISMINUYE EL GASTO CARDIACO Y LA PRESION ARTERIAL E INCREMENTA LA PRESION CAPILAR EN CUÑA ",IF(E102=2.5,"HOMEOSTASIS",IF(E102&lt;=4.5,"HOMEOSTASIS",IF(E102&gt;=4.6,"      "))))</f>
        <v>HOMEOSTASIS</v>
      </c>
      <c r="D106" s="1301"/>
      <c r="E106" s="1301"/>
      <c r="F106" s="1301"/>
      <c r="G106" s="1301"/>
      <c r="H106" s="1301"/>
      <c r="I106" s="1301"/>
      <c r="J106" s="1301"/>
      <c r="K106" s="1301"/>
      <c r="L106" s="1301"/>
      <c r="M106" s="1301"/>
      <c r="N106" s="1301"/>
      <c r="O106" s="1301"/>
      <c r="P106" s="535"/>
      <c r="Q106" s="709"/>
      <c r="R106" s="709"/>
      <c r="S106" s="535"/>
      <c r="T106" s="535"/>
      <c r="U106" s="535"/>
      <c r="V106" s="524"/>
      <c r="W106" s="535"/>
      <c r="X106" s="535"/>
      <c r="Y106" s="535"/>
    </row>
    <row r="107" spans="1:25">
      <c r="A107" s="532"/>
      <c r="B107" s="532"/>
      <c r="C107" s="1301"/>
      <c r="D107" s="1301"/>
      <c r="E107" s="1301"/>
      <c r="F107" s="1301"/>
      <c r="G107" s="1301"/>
      <c r="H107" s="1301"/>
      <c r="I107" s="1301"/>
      <c r="J107" s="1301"/>
      <c r="K107" s="1301"/>
      <c r="L107" s="1301"/>
      <c r="M107" s="1301"/>
      <c r="N107" s="1301"/>
      <c r="O107" s="1301"/>
      <c r="P107" s="524"/>
      <c r="Q107" s="707"/>
      <c r="R107" s="707"/>
      <c r="S107" s="524"/>
      <c r="T107" s="524"/>
      <c r="U107" s="524"/>
      <c r="V107" s="524"/>
      <c r="W107" s="535"/>
      <c r="X107" s="535"/>
      <c r="Y107" s="535"/>
    </row>
    <row r="108" spans="1:25">
      <c r="A108" s="532" t="s">
        <v>602</v>
      </c>
      <c r="B108" s="532"/>
      <c r="C108" s="1300" t="str">
        <f>IF(E102&lt;=2.4,"DIFICULTAD  RESPIRATORIA",IF(E102=2.5,"SIN SINTOMATOLOGIA ASOCIADA",IF(E102&lt;=4.5,"SIN SINTOMATOLOGIA ASOCIADA",IF(E102&gt;=4.6,"      "))))</f>
        <v>SIN SINTOMATOLOGIA ASOCIADA</v>
      </c>
      <c r="D108" s="1300"/>
      <c r="E108" s="1300"/>
      <c r="F108" s="1300"/>
      <c r="G108" s="1300"/>
      <c r="H108" s="1300"/>
      <c r="I108" s="1300"/>
      <c r="J108" s="1300"/>
      <c r="K108" s="1300"/>
      <c r="L108" s="1300"/>
      <c r="M108" s="1300"/>
      <c r="N108" s="1300"/>
      <c r="O108" s="1300"/>
      <c r="P108" s="524"/>
      <c r="Q108" s="707"/>
      <c r="R108" s="707"/>
      <c r="S108" s="524"/>
      <c r="T108" s="524"/>
      <c r="U108" s="524"/>
      <c r="V108" s="524"/>
      <c r="W108" s="535"/>
      <c r="X108" s="535"/>
      <c r="Y108" s="535"/>
    </row>
    <row r="109" spans="1:25">
      <c r="A109" s="532" t="s">
        <v>608</v>
      </c>
      <c r="B109" s="532"/>
      <c r="C109" s="706" t="str">
        <f>IF(E102&lt;=2.4,"DISMINUYE EL 2,3 DIFOSFOGLICERATO Y EL ATP EN LOS GLOBULOS ROJOS",IF(E102=2.5,"HOMEOSTASIS",IF(E102&lt;=4.5,"HOMEOSTASIS",IF(E102&gt;=4.6,"      "))))</f>
        <v>HOMEOSTASIS</v>
      </c>
      <c r="D109" s="118"/>
      <c r="E109" s="85"/>
      <c r="F109" s="84"/>
      <c r="G109" s="85"/>
      <c r="H109" s="84"/>
      <c r="I109" s="85"/>
      <c r="J109" s="84"/>
      <c r="K109" s="85"/>
      <c r="L109" s="84"/>
      <c r="M109" s="85"/>
      <c r="N109" s="84"/>
      <c r="O109" s="542"/>
      <c r="P109" s="524"/>
      <c r="Q109" s="707"/>
      <c r="R109" s="707"/>
      <c r="S109" s="524"/>
      <c r="T109" s="524"/>
      <c r="U109" s="524"/>
      <c r="V109" s="524"/>
      <c r="W109" s="535"/>
      <c r="X109" s="535"/>
      <c r="Y109" s="535"/>
    </row>
    <row r="110" spans="1:25">
      <c r="A110" s="532" t="s">
        <v>602</v>
      </c>
      <c r="B110" s="532"/>
      <c r="C110" s="1300" t="str">
        <f>IF(E102&lt;=2.4,"DEBILIDAD",IF(E102=2.5,"SIN SINTOMATOLOGIA ASOCIADA",IF(E102&lt;=4.5,"SIN SINTOMATOLOGIA ASOCIADA",IF(E102&gt;=4.6,"      "))))</f>
        <v>SIN SINTOMATOLOGIA ASOCIADA</v>
      </c>
      <c r="D110" s="1300"/>
      <c r="E110" s="1300"/>
      <c r="F110" s="1300"/>
      <c r="G110" s="1300"/>
      <c r="H110" s="1300"/>
      <c r="I110" s="1300"/>
      <c r="J110" s="1300"/>
      <c r="K110" s="1300"/>
      <c r="L110" s="1300"/>
      <c r="M110" s="1300"/>
      <c r="N110" s="1300"/>
      <c r="O110" s="1300"/>
      <c r="P110" s="524"/>
      <c r="Q110" s="524"/>
      <c r="R110" s="524"/>
      <c r="S110" s="524"/>
      <c r="T110" s="524"/>
      <c r="U110" s="524"/>
      <c r="V110" s="524"/>
      <c r="W110" s="535"/>
      <c r="X110" s="535"/>
      <c r="Y110" s="535"/>
    </row>
    <row r="111" spans="1:25">
      <c r="A111" s="532" t="s">
        <v>608</v>
      </c>
      <c r="B111" s="532"/>
      <c r="C111" s="1301" t="str">
        <f>IF(E102&lt;=2.4,"FALTA DE FOSFORO Y ATP EN EL MUSCULO CAUSANDO DISMINUCION DE LA FUERZA EN LA CONTRACCION MUSCULAR",IF(E102=2.5,"HOMEOSTASIS",IF(E102&lt;=4.5,"HOMEOSTASIS",IF(E102&gt;=4.6,"      "))))</f>
        <v>HOMEOSTASIS</v>
      </c>
      <c r="D111" s="1301"/>
      <c r="E111" s="1301"/>
      <c r="F111" s="1301"/>
      <c r="G111" s="1301"/>
      <c r="H111" s="1301"/>
      <c r="I111" s="1301"/>
      <c r="J111" s="1301"/>
      <c r="K111" s="1301"/>
      <c r="L111" s="1301"/>
      <c r="M111" s="1301"/>
      <c r="N111" s="1301"/>
      <c r="O111" s="1301"/>
      <c r="P111" s="524"/>
      <c r="Q111" s="524"/>
      <c r="R111" s="524"/>
      <c r="S111" s="524"/>
      <c r="T111" s="524"/>
      <c r="U111" s="524"/>
      <c r="V111" s="524"/>
      <c r="W111" s="535"/>
      <c r="X111" s="535"/>
      <c r="Y111" s="535"/>
    </row>
    <row r="112" spans="1:25">
      <c r="A112" s="532"/>
      <c r="B112" s="532"/>
      <c r="C112" s="1301"/>
      <c r="D112" s="1301"/>
      <c r="E112" s="1301"/>
      <c r="F112" s="1301"/>
      <c r="G112" s="1301"/>
      <c r="H112" s="1301"/>
      <c r="I112" s="1301"/>
      <c r="J112" s="1301"/>
      <c r="K112" s="1301"/>
      <c r="L112" s="1301"/>
      <c r="M112" s="1301"/>
      <c r="N112" s="1301"/>
      <c r="O112" s="1301"/>
      <c r="P112" s="524"/>
      <c r="Q112" s="524"/>
      <c r="R112" s="524"/>
      <c r="S112" s="524"/>
      <c r="T112" s="524"/>
      <c r="U112" s="524"/>
      <c r="V112" s="524"/>
      <c r="W112" s="535"/>
      <c r="X112" s="535"/>
      <c r="Y112" s="535"/>
    </row>
    <row r="113" spans="1:25" ht="15" customHeight="1">
      <c r="A113" s="532" t="s">
        <v>602</v>
      </c>
      <c r="B113" s="532"/>
      <c r="C113" s="1300" t="str">
        <f>IF(E102&lt;=2.4,"DOLOR DE HUESOS",IF(E102=2.5,"SIN SINTOMATOLOGIA ASOCIADA",IF(E102&lt;=4.5,"SIN SINTOMATOLOGIA ASOCIADA",IF(E102&gt;=4.6,"      "))))</f>
        <v>SIN SINTOMATOLOGIA ASOCIADA</v>
      </c>
      <c r="D113" s="1300"/>
      <c r="E113" s="1300"/>
      <c r="F113" s="1300"/>
      <c r="G113" s="1300"/>
      <c r="H113" s="1300"/>
      <c r="I113" s="1300"/>
      <c r="J113" s="1300"/>
      <c r="K113" s="1300"/>
      <c r="L113" s="1300"/>
      <c r="M113" s="1300"/>
      <c r="N113" s="1300"/>
      <c r="O113" s="1300"/>
      <c r="P113" s="711"/>
      <c r="Q113" s="524"/>
      <c r="R113" s="524"/>
      <c r="S113" s="524"/>
      <c r="T113" s="524"/>
      <c r="U113" s="524"/>
      <c r="V113" s="524"/>
      <c r="W113" s="535"/>
      <c r="X113" s="535"/>
      <c r="Y113" s="535"/>
    </row>
    <row r="114" spans="1:25">
      <c r="A114" s="532" t="s">
        <v>608</v>
      </c>
      <c r="B114" s="532"/>
      <c r="C114" s="1301" t="str">
        <f>IF(E102&lt;=2.4,"CAMBIOS EN FOSFORO Y ATP INCREMENTAN EL DEFICIT DE LA RESORCION OSEA, OSTEOMALACIA Y BAJA DE CALCIO, FOSFORO Y MAGNESIO EN HUESO ",IF(E102=2.5,"HOMEOSTASIS",IF(E102&lt;=4.5,"HOMEOSTASIS",IF(E102&gt;=4.6,"      "))))</f>
        <v>HOMEOSTASIS</v>
      </c>
      <c r="D114" s="1301"/>
      <c r="E114" s="1301"/>
      <c r="F114" s="1301"/>
      <c r="G114" s="1301"/>
      <c r="H114" s="1301"/>
      <c r="I114" s="1301"/>
      <c r="J114" s="1301"/>
      <c r="K114" s="1301"/>
      <c r="L114" s="1301"/>
      <c r="M114" s="1301"/>
      <c r="N114" s="1301"/>
      <c r="O114" s="1301"/>
      <c r="P114" s="524"/>
      <c r="Q114" s="524"/>
      <c r="R114" s="524"/>
      <c r="S114" s="524"/>
      <c r="T114" s="524"/>
      <c r="U114" s="524"/>
      <c r="V114" s="524"/>
      <c r="W114" s="535"/>
      <c r="X114" s="535"/>
      <c r="Y114" s="535"/>
    </row>
    <row r="115" spans="1:25">
      <c r="A115" s="532"/>
      <c r="B115" s="532"/>
      <c r="C115" s="1301"/>
      <c r="D115" s="1301"/>
      <c r="E115" s="1301"/>
      <c r="F115" s="1301"/>
      <c r="G115" s="1301"/>
      <c r="H115" s="1301"/>
      <c r="I115" s="1301"/>
      <c r="J115" s="1301"/>
      <c r="K115" s="1301"/>
      <c r="L115" s="1301"/>
      <c r="M115" s="1301"/>
      <c r="N115" s="1301"/>
      <c r="O115" s="1301"/>
      <c r="P115" s="524"/>
      <c r="Q115" s="524"/>
      <c r="R115" s="524"/>
      <c r="S115" s="524"/>
      <c r="T115" s="524"/>
      <c r="U115" s="524"/>
      <c r="V115" s="524"/>
      <c r="W115" s="535"/>
      <c r="X115" s="535"/>
      <c r="Y115" s="535"/>
    </row>
    <row r="116" spans="1:25">
      <c r="A116" s="532" t="s">
        <v>602</v>
      </c>
      <c r="B116" s="532"/>
      <c r="C116" s="1300" t="str">
        <f>IF(E102&lt;=2.4,"HEMATOMAS, SANGRADO",IF(E102=2.5,"SIN SINTOMATOLOGIA ASOCIADA",IF(E102&lt;=4.5,"SIN SINTOMATOLOGIA ASOCIADA",IF(E102&gt;=4.6,"      "))))</f>
        <v>SIN SINTOMATOLOGIA ASOCIADA</v>
      </c>
      <c r="D116" s="1300"/>
      <c r="E116" s="1300"/>
      <c r="F116" s="1300"/>
      <c r="G116" s="1300"/>
      <c r="H116" s="1300"/>
      <c r="I116" s="1300"/>
      <c r="J116" s="1300"/>
      <c r="K116" s="1300"/>
      <c r="L116" s="1300"/>
      <c r="M116" s="1300"/>
      <c r="N116" s="1300"/>
      <c r="O116" s="1300"/>
      <c r="P116" s="524"/>
      <c r="Q116" s="524"/>
      <c r="R116" s="524"/>
      <c r="S116" s="524"/>
      <c r="T116" s="524"/>
      <c r="U116" s="524"/>
      <c r="V116" s="524"/>
      <c r="W116" s="535"/>
      <c r="X116" s="535"/>
      <c r="Y116" s="535"/>
    </row>
    <row r="117" spans="1:25">
      <c r="A117" s="532" t="s">
        <v>609</v>
      </c>
      <c r="B117" s="532"/>
      <c r="C117" s="1301" t="str">
        <f>IF(E102&lt;=2.4,"DEBIDO A LA DISFUNCION DE LAS PLAQUETAS ",IF(E102=2.5,"HOMEOSTASIS",IF(E102&lt;=4.5,"HOMEOSTASIS",IF(E102&gt;=4.6,"      "))))</f>
        <v>HOMEOSTASIS</v>
      </c>
      <c r="D117" s="1301"/>
      <c r="E117" s="1301"/>
      <c r="F117" s="1301"/>
      <c r="G117" s="1301"/>
      <c r="H117" s="1301"/>
      <c r="I117" s="1301"/>
      <c r="J117" s="1301"/>
      <c r="K117" s="1301"/>
      <c r="L117" s="1301"/>
      <c r="M117" s="1301"/>
      <c r="N117" s="1301"/>
      <c r="O117" s="1301"/>
      <c r="P117" s="524"/>
      <c r="Q117" s="524"/>
      <c r="R117" s="524"/>
      <c r="S117" s="524"/>
      <c r="T117" s="524"/>
      <c r="U117" s="524"/>
      <c r="V117" s="524"/>
      <c r="W117" s="535"/>
      <c r="X117" s="535"/>
      <c r="Y117" s="535"/>
    </row>
    <row r="118" spans="1:25">
      <c r="A118" s="532"/>
      <c r="B118" s="532"/>
      <c r="C118" s="1301"/>
      <c r="D118" s="1301"/>
      <c r="E118" s="1301"/>
      <c r="F118" s="1301"/>
      <c r="G118" s="1301"/>
      <c r="H118" s="1301"/>
      <c r="I118" s="1301"/>
      <c r="J118" s="1301"/>
      <c r="K118" s="1301"/>
      <c r="L118" s="1301"/>
      <c r="M118" s="1301"/>
      <c r="N118" s="1301"/>
      <c r="O118" s="1301"/>
      <c r="P118" s="524"/>
      <c r="Q118" s="524"/>
      <c r="R118" s="524"/>
      <c r="S118" s="524"/>
      <c r="T118" s="524"/>
      <c r="U118" s="524"/>
      <c r="V118" s="524"/>
      <c r="W118" s="535"/>
      <c r="X118" s="535"/>
      <c r="Y118" s="535"/>
    </row>
    <row r="119" spans="1:25">
      <c r="A119" s="532" t="s">
        <v>602</v>
      </c>
      <c r="B119" s="532"/>
      <c r="C119" s="1300" t="str">
        <f>IF(E102&lt;=2.4,"DISFUCION RESPIRATORIA",IF(E102=2.5,"SIN SINTOMATOLOGIA ASOCIADA",IF(E102&lt;=4.5,"SIN SINTOMATOLOGIA ASOCIADA",IF(E102&gt;=4.6,"      "))))</f>
        <v>SIN SINTOMATOLOGIA ASOCIADA</v>
      </c>
      <c r="D119" s="1300"/>
      <c r="E119" s="1300"/>
      <c r="F119" s="1300"/>
      <c r="G119" s="1300"/>
      <c r="H119" s="1300"/>
      <c r="I119" s="1300"/>
      <c r="J119" s="1300"/>
      <c r="K119" s="1300"/>
      <c r="L119" s="1300"/>
      <c r="M119" s="1300"/>
      <c r="N119" s="1300"/>
      <c r="O119" s="1300"/>
      <c r="P119" s="524"/>
      <c r="Q119" s="524"/>
      <c r="R119" s="524"/>
      <c r="S119" s="524"/>
      <c r="T119" s="524"/>
      <c r="U119" s="524"/>
      <c r="V119" s="524"/>
      <c r="W119" s="535"/>
      <c r="X119" s="535"/>
      <c r="Y119" s="535"/>
    </row>
    <row r="120" spans="1:25" ht="15" customHeight="1">
      <c r="A120" s="532" t="s">
        <v>608</v>
      </c>
      <c r="B120" s="532"/>
      <c r="C120" s="1301" t="str">
        <f>IF(E102&lt;=2.4,"DISMINUCION DE LA DISPONIBILIDAD DE FOSFATOS QUE CONTIENE ENERGIA ",IF(E102=2.5,"HOMEOSTASIS",IF(E102&lt;=4.5,"HOMEOSTASIS",IF(E102&gt;=4.6,"      "))))</f>
        <v>HOMEOSTASIS</v>
      </c>
      <c r="D120" s="1301"/>
      <c r="E120" s="1301"/>
      <c r="F120" s="1301"/>
      <c r="G120" s="1301"/>
      <c r="H120" s="1301"/>
      <c r="I120" s="1301"/>
      <c r="J120" s="1301"/>
      <c r="K120" s="1301"/>
      <c r="L120" s="1301"/>
      <c r="M120" s="1301"/>
      <c r="N120" s="1301"/>
      <c r="O120" s="1301"/>
      <c r="P120" s="524"/>
      <c r="Q120" s="524"/>
      <c r="R120" s="524"/>
      <c r="S120" s="524"/>
      <c r="T120" s="524"/>
      <c r="U120" s="524"/>
      <c r="V120" s="524"/>
      <c r="W120" s="535"/>
      <c r="X120" s="535"/>
      <c r="Y120" s="535"/>
    </row>
    <row r="121" spans="1:25">
      <c r="A121" s="532"/>
      <c r="B121" s="532"/>
      <c r="C121" s="1301"/>
      <c r="D121" s="1301"/>
      <c r="E121" s="1301"/>
      <c r="F121" s="1301"/>
      <c r="G121" s="1301"/>
      <c r="H121" s="1301"/>
      <c r="I121" s="1301"/>
      <c r="J121" s="1301"/>
      <c r="K121" s="1301"/>
      <c r="L121" s="1301"/>
      <c r="M121" s="1301"/>
      <c r="N121" s="1301"/>
      <c r="O121" s="1301"/>
      <c r="P121" s="524"/>
      <c r="Q121" s="524"/>
      <c r="R121" s="524"/>
      <c r="S121" s="524"/>
      <c r="T121" s="524"/>
      <c r="U121" s="524"/>
      <c r="V121" s="524"/>
      <c r="W121" s="535"/>
      <c r="X121" s="535"/>
      <c r="Y121" s="535"/>
    </row>
    <row r="122" spans="1:25">
      <c r="A122" s="532" t="s">
        <v>611</v>
      </c>
      <c r="B122" s="532"/>
      <c r="C122" s="1306" t="str">
        <f>IF(E102&lt;=2.4,"AUMENTO DE LA INGESTA DIETETICA O CONSIDERE UN MULTIVITAMINICO QUE CONTENGA FOSFATO", IF(E102=2.5," DAR DIETA CALCULADA EN      mg DE FOSFORO/DIA",IF(E102&lt;=4.5,"DAR DIETA CALCULADA EN    mg DE FOSFORO/DIA", IF(E102&gt;=4.6,"DAR DIETA BAJA EN FOSFORO,  QUELANTES DE FOSFORO"))))</f>
        <v>DAR DIETA CALCULADA EN    mg DE FOSFORO/DIA</v>
      </c>
      <c r="D122" s="1306"/>
      <c r="E122" s="1306"/>
      <c r="F122" s="1306"/>
      <c r="G122" s="1306"/>
      <c r="H122" s="1306"/>
      <c r="I122" s="1306"/>
      <c r="J122" s="1306"/>
      <c r="K122" s="1306"/>
      <c r="L122" s="1306"/>
      <c r="M122" s="1306"/>
      <c r="N122" s="1306"/>
      <c r="O122" s="1306"/>
      <c r="P122" s="524"/>
      <c r="Q122" s="524"/>
      <c r="R122" s="524"/>
      <c r="S122" s="524"/>
      <c r="T122" s="524"/>
      <c r="U122" s="524"/>
      <c r="V122" s="524"/>
      <c r="W122" s="535"/>
      <c r="X122" s="535"/>
      <c r="Y122" s="535"/>
    </row>
    <row r="123" spans="1:25" ht="15.75" thickBot="1">
      <c r="A123" s="532"/>
      <c r="B123" s="532"/>
      <c r="C123" s="1306"/>
      <c r="D123" s="1306"/>
      <c r="E123" s="1306"/>
      <c r="F123" s="1306"/>
      <c r="G123" s="1306"/>
      <c r="H123" s="1306"/>
      <c r="I123" s="1306"/>
      <c r="J123" s="1306"/>
      <c r="K123" s="1306"/>
      <c r="L123" s="1306"/>
      <c r="M123" s="1306"/>
      <c r="N123" s="1306"/>
      <c r="O123" s="1306"/>
      <c r="P123" s="524"/>
      <c r="Q123" s="524"/>
      <c r="R123" s="524"/>
      <c r="S123" s="524"/>
      <c r="T123" s="524"/>
      <c r="U123" s="524"/>
      <c r="V123" s="524"/>
      <c r="W123" s="535"/>
      <c r="X123" s="535"/>
      <c r="Y123" s="535"/>
    </row>
    <row r="124" spans="1:25" ht="15.75" thickBot="1">
      <c r="A124" s="1297" t="s">
        <v>610</v>
      </c>
      <c r="B124" s="1302"/>
      <c r="C124" s="712" t="s">
        <v>612</v>
      </c>
      <c r="D124" s="705" t="s">
        <v>221</v>
      </c>
      <c r="E124" s="704">
        <v>1</v>
      </c>
      <c r="F124" s="706" t="str">
        <f>IF(E124=0,"ND",IF(E124&lt;=1.5,"BAJO",IF(E124=1.6,"NL",IF(E124&lt;=2.4,"NL",IF(E124&gt;=2.5,"ALTO")))))</f>
        <v>BAJO</v>
      </c>
      <c r="G124" s="704"/>
      <c r="H124" s="706" t="str">
        <f>IF(G124=0,"ND",IF(G124&lt;=8.2,"BAJO",IF(G124=8.3,"NL",IF(G124&lt;=10.6,"NL",IF(G124&gt;=10.7,"ALTO")))))</f>
        <v>ND</v>
      </c>
      <c r="I124" s="704"/>
      <c r="J124" s="706" t="str">
        <f>IF(I124=0,"ND",IF(I124&lt;=8.2,"BAJO",IF(I124=8.3,"NL",IF(I124&lt;=10.6,"NL",IF(I124&gt;=10.7,"ALTO")))))</f>
        <v>ND</v>
      </c>
      <c r="K124" s="704"/>
      <c r="L124" s="706" t="str">
        <f>IF(K124=0,"ND",IF(K124&lt;=8.2,"BAJO",IF(K124=8.3,"NL",IF(K124&lt;=10.6,"NL",IF(K124&gt;=10.7,"ALTO")))))</f>
        <v>ND</v>
      </c>
      <c r="M124" s="704"/>
      <c r="N124" s="706" t="str">
        <f>IF(M124=0,"ND",IF(M124&lt;=8.2,"BAJO",IF(M124=8.3,"NL",IF(M124&lt;=10.6,"NL",IF(M124&gt;=10.7,"ALTO")))))</f>
        <v>ND</v>
      </c>
      <c r="O124" s="542"/>
      <c r="P124" s="524"/>
      <c r="Q124" s="524"/>
      <c r="R124" s="524"/>
      <c r="S124" s="524"/>
      <c r="T124" s="524"/>
      <c r="U124" s="524"/>
      <c r="V124" s="524"/>
      <c r="W124" s="535"/>
      <c r="X124" s="535"/>
      <c r="Y124" s="535"/>
    </row>
    <row r="125" spans="1:25">
      <c r="A125" s="532" t="s">
        <v>602</v>
      </c>
      <c r="B125" s="532"/>
      <c r="C125" s="1299" t="str">
        <f>IF(E124&lt;=1.5,"DEBILIDAD, LETARGO, CALAMBRES MUSCULARES",IF(E124=1.6,"SIN PATOLOGIA AGREGADA",IF(E124&lt;=2.4,"SIN PATOLOGIA AGREGADA",IF(E124&gt;=2.5,"   "))))</f>
        <v>DEBILIDAD, LETARGO, CALAMBRES MUSCULARES</v>
      </c>
      <c r="D125" s="1299"/>
      <c r="E125" s="1299"/>
      <c r="F125" s="1299"/>
      <c r="G125" s="1299"/>
      <c r="H125" s="1299"/>
      <c r="I125" s="1299"/>
      <c r="J125" s="1299"/>
      <c r="K125" s="1299"/>
      <c r="L125" s="1299"/>
      <c r="M125" s="1299"/>
      <c r="N125" s="1299"/>
      <c r="O125" s="1299"/>
      <c r="P125" s="524"/>
      <c r="Q125" s="524"/>
      <c r="R125" s="524"/>
      <c r="S125" s="524"/>
      <c r="T125" s="524"/>
      <c r="U125" s="524"/>
      <c r="V125" s="524"/>
      <c r="W125" s="535"/>
      <c r="X125" s="535"/>
      <c r="Y125" s="535"/>
    </row>
    <row r="126" spans="1:25">
      <c r="A126" s="532" t="s">
        <v>608</v>
      </c>
      <c r="B126" s="532"/>
      <c r="C126" s="1299" t="str">
        <f>IF(E124&lt;=1.5,"INCREMENTO DEL CACIO CAUSANDO TENSION DEL MUSCULO LISO VASCULAR",IF(E124=1.6,"HOMEOSTASIS",IF(E124&lt;=2.4,"HOMEOSTASIS",IF(E124&gt;=2.5,"    "))))</f>
        <v>INCREMENTO DEL CACIO CAUSANDO TENSION DEL MUSCULO LISO VASCULAR</v>
      </c>
      <c r="D126" s="1299"/>
      <c r="E126" s="1299"/>
      <c r="F126" s="1299"/>
      <c r="G126" s="1299"/>
      <c r="H126" s="1299"/>
      <c r="I126" s="1299"/>
      <c r="J126" s="1299"/>
      <c r="K126" s="1299"/>
      <c r="L126" s="1299"/>
      <c r="M126" s="1299"/>
      <c r="N126" s="1299"/>
      <c r="O126" s="1299"/>
      <c r="P126" s="524"/>
      <c r="Q126" s="524"/>
      <c r="R126" s="524"/>
      <c r="S126" s="524"/>
      <c r="T126" s="524"/>
      <c r="U126" s="524"/>
      <c r="V126" s="524"/>
      <c r="W126" s="535"/>
      <c r="X126" s="535"/>
      <c r="Y126" s="535"/>
    </row>
    <row r="127" spans="1:25">
      <c r="A127" s="532" t="s">
        <v>602</v>
      </c>
      <c r="B127" s="532"/>
      <c r="C127" s="1299" t="str">
        <f>IF(E124&lt;=1.5,"CAMBIOS DE HUMOR, CONFUSION",IF(E124=1.6,"SIN PATOLOGIA AGREGADA",IF(E124&lt;=2.4,"SIN PATOLOGIA AGREGADA",IF(E124&gt;=2.5,"   "))))</f>
        <v>CAMBIOS DE HUMOR, CONFUSION</v>
      </c>
      <c r="D127" s="1299"/>
      <c r="E127" s="1299"/>
      <c r="F127" s="1299"/>
      <c r="G127" s="1299"/>
      <c r="H127" s="1299"/>
      <c r="I127" s="1299"/>
      <c r="J127" s="1299"/>
      <c r="K127" s="1299"/>
      <c r="L127" s="1299"/>
      <c r="M127" s="1299"/>
      <c r="N127" s="1299"/>
      <c r="O127" s="1299"/>
      <c r="P127" s="542"/>
      <c r="Q127" s="542"/>
      <c r="R127" s="542"/>
      <c r="S127" s="542"/>
      <c r="T127" s="542"/>
      <c r="U127" s="542"/>
      <c r="V127" s="542"/>
      <c r="W127" s="535"/>
      <c r="X127" s="535"/>
      <c r="Y127" s="535"/>
    </row>
    <row r="128" spans="1:25">
      <c r="A128" s="532" t="s">
        <v>608</v>
      </c>
      <c r="B128" s="532"/>
      <c r="C128" s="1299" t="str">
        <f>IF(E124&lt;=1.5,"CAMBIOS EN EL SISTEMA NERVIOSO CENTRAL",IF(E124=1.6,"HOMEOSTASIS",IF(E124&lt;=2.4,"HOMEOSTASIS",IF(E124&gt;=2.5,"    "))))</f>
        <v>CAMBIOS EN EL SISTEMA NERVIOSO CENTRAL</v>
      </c>
      <c r="D128" s="1299"/>
      <c r="E128" s="1299"/>
      <c r="F128" s="1299"/>
      <c r="G128" s="1299"/>
      <c r="H128" s="1299"/>
      <c r="I128" s="1299"/>
      <c r="J128" s="1299"/>
      <c r="K128" s="1299"/>
      <c r="L128" s="1299"/>
      <c r="M128" s="1299"/>
      <c r="N128" s="1299"/>
      <c r="O128" s="1299"/>
      <c r="P128" s="542"/>
      <c r="Q128" s="542"/>
      <c r="R128" s="542"/>
      <c r="S128" s="542"/>
      <c r="T128" s="542"/>
      <c r="U128" s="542"/>
      <c r="V128" s="542"/>
      <c r="W128" s="535"/>
      <c r="X128" s="535"/>
      <c r="Y128" s="535"/>
    </row>
    <row r="129" spans="1:29">
      <c r="A129" s="532" t="s">
        <v>602</v>
      </c>
      <c r="B129" s="532"/>
      <c r="C129" s="1299" t="str">
        <f>IF(E124&lt;=1.5,"VOMITO, DISMINUCION DEL GASTO CARDIACO",IF(E124=1.6,"SIN PATOLOGIA AGREGADA",IF(E124&lt;=2.4,"SIN PATOLOGIA AGREGADA",IF(E124&gt;=2.5,"   "))))</f>
        <v>VOMITO, DISMINUCION DEL GASTO CARDIACO</v>
      </c>
      <c r="D129" s="1299"/>
      <c r="E129" s="1299"/>
      <c r="F129" s="1299"/>
      <c r="G129" s="1299"/>
      <c r="H129" s="1299"/>
      <c r="I129" s="1299"/>
      <c r="J129" s="1299"/>
      <c r="K129" s="1299"/>
      <c r="L129" s="1299"/>
      <c r="M129" s="1299"/>
      <c r="N129" s="1299"/>
      <c r="O129" s="1299"/>
      <c r="P129" s="542"/>
      <c r="Q129" s="542"/>
      <c r="R129" s="542"/>
      <c r="S129" s="542"/>
      <c r="T129" s="542"/>
      <c r="U129" s="542"/>
      <c r="V129" s="542"/>
      <c r="W129" s="535"/>
      <c r="X129" s="535"/>
      <c r="Y129" s="535"/>
    </row>
    <row r="130" spans="1:29">
      <c r="A130" s="532" t="s">
        <v>608</v>
      </c>
      <c r="B130" s="532"/>
      <c r="C130" s="1299" t="str">
        <f>IF(E124&lt;=1.5,"INCREMENTO DEL CALCIO CAUSANDO TENSION DEL MUSCULO LISO VASCULAR",IF(E124=1.6,"HOMEOSTASIS",IF(E124&lt;=2.4,"HOMEOSTASIS",IF(E124&gt;=2.5,"    "))))</f>
        <v>INCREMENTO DEL CALCIO CAUSANDO TENSION DEL MUSCULO LISO VASCULAR</v>
      </c>
      <c r="D130" s="1299"/>
      <c r="E130" s="1299"/>
      <c r="F130" s="1299"/>
      <c r="G130" s="1299"/>
      <c r="H130" s="1299"/>
      <c r="I130" s="1299"/>
      <c r="J130" s="1299"/>
      <c r="K130" s="1299"/>
      <c r="L130" s="1299"/>
      <c r="M130" s="1299"/>
      <c r="N130" s="1299"/>
      <c r="O130" s="1299"/>
      <c r="P130" s="542"/>
      <c r="Q130" s="542"/>
      <c r="R130" s="542"/>
      <c r="S130" s="542"/>
      <c r="T130" s="542"/>
      <c r="U130" s="542"/>
      <c r="V130" s="542"/>
      <c r="W130" s="535"/>
      <c r="X130" s="535"/>
      <c r="Y130" s="535"/>
    </row>
    <row r="131" spans="1:29">
      <c r="A131" s="532" t="s">
        <v>611</v>
      </c>
      <c r="B131" s="532"/>
      <c r="C131" s="1303" t="str">
        <f>IF(E124&lt;=1.6,"AUMENTO DE LA INGESTA DIETETICA")</f>
        <v>AUMENTO DE LA INGESTA DIETETICA</v>
      </c>
      <c r="D131" s="1303"/>
      <c r="E131" s="1303"/>
      <c r="F131" s="1303"/>
      <c r="G131" s="1303"/>
      <c r="H131" s="1303"/>
      <c r="I131" s="1303"/>
      <c r="J131" s="1303"/>
      <c r="K131" s="1303"/>
      <c r="L131" s="1303"/>
      <c r="M131" s="1303"/>
      <c r="N131" s="84"/>
      <c r="O131" s="542"/>
      <c r="P131" s="542"/>
      <c r="Q131" s="1300"/>
      <c r="R131" s="1300"/>
      <c r="S131" s="1300"/>
      <c r="T131" s="1300"/>
      <c r="U131" s="1300"/>
      <c r="V131" s="1300"/>
      <c r="W131" s="1300"/>
      <c r="X131" s="1300"/>
      <c r="Y131" s="1300"/>
      <c r="Z131" s="1300"/>
      <c r="AA131" s="1300"/>
      <c r="AB131" s="1300"/>
      <c r="AC131" s="1300"/>
    </row>
    <row r="132" spans="1:29">
      <c r="A132" s="532"/>
      <c r="B132" s="532"/>
      <c r="C132" s="715"/>
      <c r="D132" s="715"/>
      <c r="E132" s="715"/>
      <c r="F132" s="715"/>
      <c r="G132" s="715"/>
      <c r="H132" s="715"/>
      <c r="I132" s="715"/>
      <c r="J132" s="715"/>
      <c r="K132" s="715"/>
      <c r="L132" s="715"/>
      <c r="M132" s="715"/>
      <c r="N132" s="84"/>
      <c r="O132" s="542"/>
      <c r="P132" s="542"/>
      <c r="Q132" s="713"/>
      <c r="R132" s="713"/>
      <c r="S132" s="713"/>
      <c r="T132" s="713"/>
      <c r="U132" s="713"/>
      <c r="V132" s="713"/>
      <c r="W132" s="713"/>
      <c r="X132" s="713"/>
      <c r="Y132" s="713"/>
      <c r="Z132" s="713"/>
      <c r="AA132" s="713"/>
      <c r="AB132" s="713"/>
      <c r="AC132" s="713"/>
    </row>
    <row r="133" spans="1:29">
      <c r="A133" s="532"/>
      <c r="B133" s="532"/>
      <c r="C133" s="715"/>
      <c r="D133" s="715"/>
      <c r="E133" s="715"/>
      <c r="F133" s="715"/>
      <c r="G133" s="715"/>
      <c r="H133" s="715"/>
      <c r="I133" s="715"/>
      <c r="J133" s="715"/>
      <c r="K133" s="715"/>
      <c r="L133" s="715"/>
      <c r="M133" s="715"/>
      <c r="N133" s="84"/>
      <c r="O133" s="542"/>
      <c r="P133" s="542"/>
      <c r="Q133" s="713"/>
      <c r="R133" s="713"/>
      <c r="S133" s="713"/>
      <c r="T133" s="713"/>
      <c r="U133" s="713"/>
      <c r="V133" s="713"/>
      <c r="W133" s="713"/>
      <c r="X133" s="713"/>
      <c r="Y133" s="713"/>
      <c r="Z133" s="713"/>
      <c r="AA133" s="713"/>
      <c r="AB133" s="713"/>
      <c r="AC133" s="713"/>
    </row>
    <row r="134" spans="1:29">
      <c r="A134" s="532"/>
      <c r="B134" s="532"/>
      <c r="C134" s="715"/>
      <c r="D134" s="715"/>
      <c r="E134" s="715"/>
      <c r="F134" s="715"/>
      <c r="G134" s="715"/>
      <c r="H134" s="715"/>
      <c r="I134" s="715"/>
      <c r="J134" s="715"/>
      <c r="K134" s="715"/>
      <c r="L134" s="715"/>
      <c r="M134" s="715"/>
      <c r="N134" s="84"/>
      <c r="O134" s="542"/>
      <c r="P134" s="542"/>
      <c r="Q134" s="713"/>
      <c r="R134" s="713"/>
      <c r="S134" s="713"/>
      <c r="T134" s="713"/>
      <c r="U134" s="713"/>
      <c r="V134" s="713"/>
      <c r="W134" s="713"/>
      <c r="X134" s="713"/>
      <c r="Y134" s="713"/>
      <c r="Z134" s="713"/>
      <c r="AA134" s="713"/>
      <c r="AB134" s="713"/>
      <c r="AC134" s="713"/>
    </row>
    <row r="135" spans="1:29">
      <c r="A135" s="532"/>
      <c r="B135" s="532"/>
      <c r="C135" s="715"/>
      <c r="D135" s="715"/>
      <c r="E135" s="715"/>
      <c r="F135" s="715"/>
      <c r="G135" s="715"/>
      <c r="H135" s="715"/>
      <c r="I135" s="715"/>
      <c r="J135" s="715"/>
      <c r="K135" s="715"/>
      <c r="L135" s="715"/>
      <c r="M135" s="715"/>
      <c r="N135" s="84"/>
      <c r="O135" s="542"/>
      <c r="P135" s="542"/>
      <c r="Q135" s="713"/>
      <c r="R135" s="713"/>
      <c r="S135" s="713"/>
      <c r="T135" s="713"/>
      <c r="U135" s="713"/>
      <c r="V135" s="713"/>
      <c r="W135" s="713"/>
      <c r="X135" s="713"/>
      <c r="Y135" s="713"/>
      <c r="Z135" s="713"/>
      <c r="AA135" s="713"/>
      <c r="AB135" s="713"/>
      <c r="AC135" s="713"/>
    </row>
    <row r="136" spans="1:29">
      <c r="A136" s="532"/>
      <c r="B136" s="532"/>
      <c r="C136" s="715"/>
      <c r="D136" s="715"/>
      <c r="E136" s="715"/>
      <c r="F136" s="715"/>
      <c r="G136" s="715"/>
      <c r="H136" s="715"/>
      <c r="I136" s="715"/>
      <c r="J136" s="715"/>
      <c r="K136" s="715"/>
      <c r="L136" s="715"/>
      <c r="M136" s="715"/>
      <c r="N136" s="84"/>
      <c r="O136" s="542"/>
      <c r="P136" s="542"/>
      <c r="Q136" s="713"/>
      <c r="R136" s="713"/>
      <c r="S136" s="713"/>
      <c r="T136" s="713"/>
      <c r="U136" s="713"/>
      <c r="V136" s="713"/>
      <c r="W136" s="713"/>
      <c r="X136" s="713"/>
      <c r="Y136" s="713"/>
      <c r="Z136" s="713"/>
      <c r="AA136" s="713"/>
      <c r="AB136" s="713"/>
      <c r="AC136" s="713"/>
    </row>
    <row r="137" spans="1:29">
      <c r="A137" s="532"/>
      <c r="B137" s="532"/>
      <c r="C137" s="715"/>
      <c r="D137" s="715"/>
      <c r="E137" s="715"/>
      <c r="F137" s="715"/>
      <c r="G137" s="715"/>
      <c r="H137" s="715"/>
      <c r="I137" s="715"/>
      <c r="J137" s="715"/>
      <c r="K137" s="715"/>
      <c r="L137" s="715"/>
      <c r="M137" s="715"/>
      <c r="N137" s="84"/>
      <c r="O137" s="542"/>
      <c r="P137" s="542"/>
      <c r="Q137" s="713"/>
      <c r="R137" s="713"/>
      <c r="S137" s="713"/>
      <c r="T137" s="713"/>
      <c r="U137" s="713"/>
      <c r="V137" s="713"/>
      <c r="W137" s="713"/>
      <c r="X137" s="713"/>
      <c r="Y137" s="713"/>
      <c r="Z137" s="713"/>
      <c r="AA137" s="713"/>
      <c r="AB137" s="713"/>
      <c r="AC137" s="713"/>
    </row>
    <row r="138" spans="1:29" ht="15.75" thickBot="1">
      <c r="A138" s="532"/>
      <c r="B138" s="532"/>
      <c r="C138" s="117"/>
      <c r="D138" s="118"/>
      <c r="E138" s="85"/>
      <c r="F138" s="84"/>
      <c r="G138" s="85"/>
      <c r="H138" s="84"/>
      <c r="I138" s="85"/>
      <c r="J138" s="84"/>
      <c r="K138" s="85"/>
      <c r="L138" s="84"/>
      <c r="M138" s="85"/>
      <c r="N138" s="84"/>
      <c r="O138" s="542"/>
      <c r="P138" s="542"/>
      <c r="Q138" s="542"/>
      <c r="R138" s="542"/>
      <c r="S138" s="542"/>
      <c r="T138" s="542"/>
      <c r="U138" s="542"/>
      <c r="V138" s="542"/>
      <c r="W138" s="535"/>
      <c r="X138" s="535"/>
      <c r="Y138" s="535"/>
    </row>
    <row r="139" spans="1:29" ht="15.75" thickBot="1">
      <c r="A139" s="1297" t="s">
        <v>613</v>
      </c>
      <c r="B139" s="1298"/>
      <c r="C139" s="716" t="s">
        <v>614</v>
      </c>
      <c r="D139" s="717" t="s">
        <v>221</v>
      </c>
      <c r="E139" s="704">
        <v>100</v>
      </c>
      <c r="F139" s="84" t="str">
        <f>IF(E139&lt;=135,"BAJO",IF(E139=136,"NL",IF(E139&lt;=145,"NL",IF(E139&gt;=146,"ALTO"))))</f>
        <v>BAJO</v>
      </c>
      <c r="G139" s="85"/>
      <c r="H139" s="84"/>
      <c r="I139" s="85"/>
      <c r="J139" s="84"/>
      <c r="K139" s="85"/>
      <c r="L139" s="84"/>
      <c r="M139" s="85"/>
      <c r="N139" s="84"/>
      <c r="O139" s="542"/>
      <c r="P139" s="542"/>
      <c r="Q139" s="542"/>
      <c r="R139" s="542"/>
      <c r="S139" s="542"/>
      <c r="T139" s="542"/>
      <c r="U139" s="542"/>
      <c r="V139" s="542"/>
      <c r="W139" s="535"/>
      <c r="X139" s="535"/>
      <c r="Y139" s="535"/>
    </row>
    <row r="140" spans="1:29" ht="15.75" customHeight="1">
      <c r="A140" s="532" t="s">
        <v>602</v>
      </c>
      <c r="B140" s="532"/>
      <c r="C140" s="1309" t="str">
        <f>IF(E139&lt;=135,"NAUSEA,VOMITO, DOLORDE CABEZA,CALAMBRES MUSCULARES,DESORIENTACION,DEBILIDAD,LETARGO,CONFUSION,MAREO,CONVULSIONES,COMA MUERTE",IF(E139=136,"SIN PATOLOGIA ASOCIADA",IF(E139&lt;=145,"SIN PATOLOGIA AGREGADA",IF(E139&gt;=146,"   "))))</f>
        <v>NAUSEA,VOMITO, DOLORDE CABEZA,CALAMBRES MUSCULARES,DESORIENTACION,DEBILIDAD,LETARGO,CONFUSION,MAREO,CONVULSIONES,COMA MUERTE</v>
      </c>
      <c r="D140" s="1309"/>
      <c r="E140" s="1309"/>
      <c r="F140" s="1309"/>
      <c r="G140" s="1309"/>
      <c r="H140" s="1309"/>
      <c r="I140" s="1309"/>
      <c r="J140" s="1309"/>
      <c r="K140" s="1309"/>
      <c r="L140" s="1309"/>
      <c r="M140" s="1309"/>
      <c r="N140" s="1309"/>
      <c r="O140" s="542"/>
      <c r="P140" s="542"/>
      <c r="Q140" s="542"/>
      <c r="R140" s="542"/>
      <c r="S140" s="542"/>
      <c r="T140" s="542"/>
      <c r="U140" s="542"/>
      <c r="V140" s="542"/>
      <c r="W140" s="535"/>
      <c r="X140" s="535"/>
      <c r="Y140" s="535"/>
    </row>
    <row r="141" spans="1:29">
      <c r="A141" s="532"/>
      <c r="B141" s="532"/>
      <c r="C141" s="1309"/>
      <c r="D141" s="1309"/>
      <c r="E141" s="1309"/>
      <c r="F141" s="1309"/>
      <c r="G141" s="1309"/>
      <c r="H141" s="1309"/>
      <c r="I141" s="1309"/>
      <c r="J141" s="1309"/>
      <c r="K141" s="1309"/>
      <c r="L141" s="1309"/>
      <c r="M141" s="1309"/>
      <c r="N141" s="1309"/>
      <c r="O141" s="542"/>
      <c r="P141" s="542"/>
      <c r="Q141" s="542"/>
      <c r="R141" s="542"/>
      <c r="S141" s="542"/>
      <c r="T141" s="542"/>
      <c r="U141" s="542"/>
      <c r="V141" s="542"/>
      <c r="W141" s="535"/>
      <c r="X141" s="535"/>
      <c r="Y141" s="535"/>
    </row>
    <row r="142" spans="1:29">
      <c r="A142" s="532"/>
      <c r="B142" s="532"/>
      <c r="C142" s="1309"/>
      <c r="D142" s="1309"/>
      <c r="E142" s="1309"/>
      <c r="F142" s="1309"/>
      <c r="G142" s="1309"/>
      <c r="H142" s="1309"/>
      <c r="I142" s="1309"/>
      <c r="J142" s="1309"/>
      <c r="K142" s="1309"/>
      <c r="L142" s="1309"/>
      <c r="M142" s="1309"/>
      <c r="N142" s="1309"/>
      <c r="O142" s="542"/>
      <c r="P142" s="542"/>
      <c r="Q142" s="542"/>
      <c r="R142" s="542"/>
      <c r="S142" s="542"/>
      <c r="T142" s="542"/>
      <c r="U142" s="542"/>
      <c r="V142" s="542"/>
      <c r="W142" s="535"/>
      <c r="X142" s="535"/>
      <c r="Y142" s="535"/>
    </row>
    <row r="143" spans="1:29">
      <c r="A143" s="532" t="s">
        <v>608</v>
      </c>
      <c r="B143" s="532"/>
      <c r="C143" s="1299" t="str">
        <f>IF(E139&lt;=136,"RELACIONADO A LOS CAMBIOS EN LA OSMOLARIDAD SERICA EN EL SNC",IF(E139=136,"HOMEOSTASIS",IF(E139&lt;=145,"HOMEOSTASIS",IF(E139&gt;=146,"    "))))</f>
        <v>RELACIONADO A LOS CAMBIOS EN LA OSMOLARIDAD SERICA EN EL SNC</v>
      </c>
      <c r="D143" s="1299"/>
      <c r="E143" s="1299"/>
      <c r="F143" s="1299"/>
      <c r="G143" s="1299"/>
      <c r="H143" s="1299"/>
      <c r="I143" s="1299"/>
      <c r="J143" s="1299"/>
      <c r="K143" s="1299"/>
      <c r="L143" s="1299"/>
      <c r="M143" s="1299"/>
      <c r="N143" s="1299"/>
      <c r="O143" s="1299"/>
      <c r="P143" s="542"/>
      <c r="Q143" s="542"/>
      <c r="R143" s="542"/>
      <c r="S143" s="542"/>
      <c r="T143" s="542"/>
      <c r="U143" s="542"/>
      <c r="V143" s="542"/>
      <c r="W143" s="535"/>
      <c r="X143" s="535"/>
      <c r="Y143" s="535"/>
    </row>
    <row r="144" spans="1:29">
      <c r="A144" s="1307" t="s">
        <v>611</v>
      </c>
      <c r="B144" s="1307"/>
      <c r="C144" s="1303" t="str">
        <f>IF(E139&lt;=135,"NO DE AGUA SIN ELECTROLITOS",IF(E139&gt;=146,"DIETA BAJO EN SODIO, AUMENTAR LA INGESTA DE LIQUIDOS VIA ORAL"))</f>
        <v>NO DE AGUA SIN ELECTROLITOS</v>
      </c>
      <c r="D144" s="1303"/>
      <c r="E144" s="1303"/>
      <c r="F144" s="1303"/>
      <c r="G144" s="1303"/>
      <c r="H144" s="1303"/>
      <c r="I144" s="1303"/>
      <c r="J144" s="1303"/>
      <c r="K144" s="1303"/>
      <c r="L144" s="1303"/>
      <c r="M144" s="1303"/>
      <c r="N144" s="714"/>
      <c r="O144" s="714"/>
      <c r="P144" s="542"/>
      <c r="Q144" s="542"/>
      <c r="R144" s="542"/>
      <c r="S144" s="542"/>
      <c r="T144" s="542"/>
      <c r="U144" s="542"/>
      <c r="V144" s="542"/>
      <c r="W144" s="535"/>
      <c r="X144" s="535"/>
      <c r="Y144" s="535"/>
    </row>
    <row r="145" spans="1:25">
      <c r="A145" s="532"/>
      <c r="B145" s="532"/>
      <c r="C145" s="714"/>
      <c r="D145" s="714"/>
      <c r="E145" s="714"/>
      <c r="F145" s="714"/>
      <c r="G145" s="714"/>
      <c r="H145" s="714"/>
      <c r="I145" s="714"/>
      <c r="J145" s="714"/>
      <c r="K145" s="714"/>
      <c r="L145" s="714"/>
      <c r="M145" s="714"/>
      <c r="N145" s="714"/>
      <c r="O145" s="714"/>
      <c r="P145" s="542"/>
      <c r="Q145" s="542"/>
      <c r="R145" s="542"/>
      <c r="S145" s="542"/>
      <c r="T145" s="542"/>
      <c r="U145" s="542"/>
      <c r="V145" s="542"/>
      <c r="W145" s="535"/>
      <c r="X145" s="535"/>
      <c r="Y145" s="535"/>
    </row>
    <row r="146" spans="1:25">
      <c r="A146" s="1310" t="s">
        <v>615</v>
      </c>
      <c r="B146" s="1311"/>
      <c r="C146" s="718" t="s">
        <v>614</v>
      </c>
      <c r="D146" s="718" t="s">
        <v>221</v>
      </c>
      <c r="E146" s="719">
        <v>150</v>
      </c>
      <c r="F146" s="84" t="str">
        <f>IF(E146&lt;=135,"BAJO",IF(E146=136,"NL",IF(E146&lt;=145,"NL",IF(E146&gt;=146,"ALTO"))))</f>
        <v>ALTO</v>
      </c>
      <c r="G146" s="714"/>
      <c r="H146" s="714"/>
      <c r="I146" s="714"/>
      <c r="J146" s="714"/>
      <c r="K146" s="714"/>
      <c r="L146" s="714"/>
      <c r="M146" s="714"/>
      <c r="N146" s="714"/>
      <c r="O146" s="714"/>
      <c r="P146" s="542"/>
      <c r="Q146" s="542"/>
      <c r="R146" s="542"/>
      <c r="S146" s="542"/>
      <c r="T146" s="542"/>
      <c r="U146" s="542"/>
      <c r="V146" s="542"/>
      <c r="W146" s="535"/>
      <c r="X146" s="535"/>
      <c r="Y146" s="535"/>
    </row>
    <row r="147" spans="1:25" ht="15" customHeight="1">
      <c r="A147" s="1312" t="s">
        <v>602</v>
      </c>
      <c r="B147" s="1312"/>
      <c r="C147" s="1309" t="str">
        <f>IF(E146&lt;=135,"CONSTIPACION",IF(E146=136,"SIN PATOLOGIA ASOCIADA",IF(E146&lt;=145,"SIN PATOLOGIA AGREGADA",IF(E146&gt;=146,"   "))))</f>
        <v xml:space="preserve">   </v>
      </c>
      <c r="D147" s="1309"/>
      <c r="E147" s="1309"/>
      <c r="F147" s="1309"/>
      <c r="G147" s="1309"/>
      <c r="H147" s="1309"/>
      <c r="I147" s="1309"/>
      <c r="J147" s="1309"/>
      <c r="K147" s="1309"/>
      <c r="L147" s="1309"/>
      <c r="M147" s="1309"/>
      <c r="N147" s="1309"/>
      <c r="O147" s="714"/>
      <c r="P147" s="542"/>
      <c r="Q147" s="542"/>
      <c r="R147" s="542"/>
      <c r="S147" s="542"/>
      <c r="T147" s="542"/>
      <c r="U147" s="542"/>
      <c r="V147" s="542"/>
      <c r="W147" s="535"/>
      <c r="X147" s="535"/>
      <c r="Y147" s="535"/>
    </row>
    <row r="148" spans="1:25">
      <c r="A148" s="1307" t="s">
        <v>616</v>
      </c>
      <c r="B148" s="1307"/>
      <c r="C148" s="1303" t="b">
        <f>IF(E146&lt;=136,"CAUSADA POR LA DEBILIDAD DEL MUSCULO LISO",IF(E146=136,"HOMEOSTASIS",IF(E146&lt;=145,"HOMEOSTASIS",IF(E143&gt;=146,"    "))))</f>
        <v>0</v>
      </c>
      <c r="D148" s="1303"/>
      <c r="E148" s="1303"/>
      <c r="F148" s="1303"/>
      <c r="G148" s="1303"/>
      <c r="H148" s="1303"/>
      <c r="I148" s="1303"/>
      <c r="J148" s="1303"/>
      <c r="K148" s="1303"/>
      <c r="L148" s="1303"/>
      <c r="M148" s="1303"/>
      <c r="N148" s="1303"/>
      <c r="O148" s="1303"/>
      <c r="P148" s="542"/>
      <c r="Q148" s="542"/>
      <c r="R148" s="542"/>
      <c r="S148" s="542"/>
      <c r="T148" s="542"/>
      <c r="U148" s="542"/>
      <c r="V148" s="542"/>
      <c r="W148" s="535"/>
      <c r="X148" s="535"/>
      <c r="Y148" s="535"/>
    </row>
    <row r="149" spans="1:25">
      <c r="A149" s="1307" t="s">
        <v>602</v>
      </c>
      <c r="B149" s="1307"/>
      <c r="C149" s="1308" t="b">
        <f>IF(E146&lt;=135,"DEBILIDAD, LETARGO,ANORMALIDADES ELECTROCARDIOGRAFICAS",IF(E146=136,"SIN PATOLOGIA ASOCIADA",IF(E146&lt;=145,"SIN PATOLOGIA AGREGADA",IF(E148&gt;=146,"   "))))</f>
        <v>0</v>
      </c>
      <c r="D149" s="1308"/>
      <c r="E149" s="1308"/>
      <c r="F149" s="1308"/>
      <c r="G149" s="1308"/>
      <c r="H149" s="1308"/>
      <c r="I149" s="1308"/>
      <c r="J149" s="1308"/>
      <c r="K149" s="1308"/>
      <c r="L149" s="1308"/>
      <c r="M149" s="1308"/>
      <c r="N149" s="1308"/>
      <c r="O149" s="714"/>
      <c r="P149" s="542"/>
      <c r="Q149" s="542"/>
      <c r="R149" s="542"/>
      <c r="S149" s="542"/>
      <c r="T149" s="542"/>
      <c r="U149" s="542"/>
      <c r="V149" s="542"/>
      <c r="W149" s="535"/>
      <c r="X149" s="535"/>
      <c r="Y149" s="535"/>
    </row>
    <row r="150" spans="1:25">
      <c r="A150" s="1307" t="s">
        <v>617</v>
      </c>
      <c r="B150" s="1307"/>
      <c r="C150" s="1303" t="str">
        <f>IF(E146&lt;=136,"DEBIDO AL INCREMENTO DE LA RELACION DE POTASIO INTRACELULAR AL EXTRACELULAR",IF(E146=136,"HOMEOSTASIS",IF(E146&lt;=145,"HOMEOSTASIS",IF(E146&gt;=146,"    "))))</f>
        <v xml:space="preserve">    </v>
      </c>
      <c r="D150" s="1303"/>
      <c r="E150" s="1303"/>
      <c r="F150" s="1303"/>
      <c r="G150" s="1303"/>
      <c r="H150" s="1303"/>
      <c r="I150" s="1303"/>
      <c r="J150" s="1303"/>
      <c r="K150" s="1303"/>
      <c r="L150" s="1303"/>
      <c r="M150" s="1303"/>
      <c r="N150" s="1303"/>
      <c r="O150" s="1303"/>
      <c r="P150" s="542"/>
      <c r="Q150" s="542"/>
      <c r="R150" s="542"/>
      <c r="S150" s="542"/>
      <c r="T150" s="542"/>
      <c r="U150" s="542"/>
      <c r="V150" s="542"/>
      <c r="W150" s="535"/>
      <c r="X150" s="535"/>
      <c r="Y150" s="535"/>
    </row>
    <row r="151" spans="1:25">
      <c r="A151" s="1307" t="s">
        <v>611</v>
      </c>
      <c r="B151" s="1307"/>
      <c r="C151" s="1308" t="str">
        <f>IF(E146&lt;=135,"AUMENTO DE LA INGESTA DIETETICA Y/O  AGREGAR SUSTITUTOS DE SAL",IF(E146&gt;=146,"DIETA BAJA EN POTASIO, RETIRE MEDICAMENTOS AHORRADORES DE POTASIO, CONSIDERE USO DE DIURETICOS"))</f>
        <v>DIETA BAJA EN POTASIO, RETIRE MEDICAMENTOS AHORRADORES DE POTASIO, CONSIDERE USO DE DIURETICOS</v>
      </c>
      <c r="D151" s="1308"/>
      <c r="E151" s="1308"/>
      <c r="F151" s="1308"/>
      <c r="G151" s="1308"/>
      <c r="H151" s="1308"/>
      <c r="I151" s="1308"/>
      <c r="J151" s="1308"/>
      <c r="K151" s="1308"/>
      <c r="L151" s="1308"/>
      <c r="M151" s="1308"/>
      <c r="N151" s="1308"/>
      <c r="O151" s="714"/>
      <c r="P151" s="542"/>
      <c r="Q151" s="542"/>
      <c r="R151" s="542"/>
      <c r="S151" s="542"/>
      <c r="T151" s="542"/>
      <c r="U151" s="542"/>
      <c r="V151" s="542"/>
      <c r="W151" s="535"/>
      <c r="X151" s="535"/>
      <c r="Y151" s="535"/>
    </row>
    <row r="152" spans="1:25">
      <c r="A152" s="532"/>
      <c r="B152" s="532"/>
      <c r="C152" s="1308"/>
      <c r="D152" s="1308"/>
      <c r="E152" s="1308"/>
      <c r="F152" s="1308"/>
      <c r="G152" s="1308"/>
      <c r="H152" s="1308"/>
      <c r="I152" s="1308"/>
      <c r="J152" s="1308"/>
      <c r="K152" s="1308"/>
      <c r="L152" s="1308"/>
      <c r="M152" s="1308"/>
      <c r="N152" s="1308"/>
      <c r="O152" s="714"/>
      <c r="P152" s="542"/>
      <c r="Q152" s="542"/>
      <c r="R152" s="542"/>
      <c r="S152" s="542"/>
      <c r="T152" s="542"/>
      <c r="U152" s="542"/>
      <c r="V152" s="542"/>
      <c r="W152" s="535"/>
      <c r="X152" s="535"/>
      <c r="Y152" s="535"/>
    </row>
    <row r="153" spans="1:25">
      <c r="A153" s="532"/>
      <c r="B153" s="532"/>
      <c r="C153" s="714"/>
      <c r="D153" s="714"/>
      <c r="E153" s="714"/>
      <c r="F153" s="714"/>
      <c r="G153" s="714"/>
      <c r="H153" s="714"/>
      <c r="I153" s="714"/>
      <c r="J153" s="714"/>
      <c r="K153" s="714"/>
      <c r="L153" s="714"/>
      <c r="M153" s="714"/>
      <c r="N153" s="714"/>
      <c r="O153" s="714"/>
      <c r="P153" s="542"/>
      <c r="Q153" s="542"/>
      <c r="R153" s="542"/>
      <c r="S153" s="542"/>
      <c r="T153" s="542"/>
      <c r="U153" s="542"/>
      <c r="V153" s="542"/>
      <c r="W153" s="535"/>
      <c r="X153" s="535"/>
      <c r="Y153" s="535"/>
    </row>
    <row r="154" spans="1:25">
      <c r="A154" s="532"/>
      <c r="B154" s="532"/>
      <c r="C154" s="714"/>
      <c r="D154" s="714"/>
      <c r="E154" s="714"/>
      <c r="F154" s="714"/>
      <c r="G154" s="714"/>
      <c r="H154" s="714"/>
      <c r="I154" s="714"/>
      <c r="J154" s="714"/>
      <c r="K154" s="714"/>
      <c r="L154" s="714"/>
      <c r="M154" s="714"/>
      <c r="N154" s="714"/>
      <c r="O154" s="714"/>
      <c r="P154" s="542"/>
      <c r="Q154" s="542"/>
      <c r="R154" s="542"/>
      <c r="S154" s="542"/>
      <c r="T154" s="542"/>
      <c r="U154" s="542"/>
      <c r="V154" s="542"/>
      <c r="W154" s="535"/>
      <c r="X154" s="535"/>
      <c r="Y154" s="535"/>
    </row>
    <row r="155" spans="1:25">
      <c r="A155" s="532"/>
      <c r="B155" s="532"/>
      <c r="C155" s="714"/>
      <c r="D155" s="714"/>
      <c r="E155" s="714"/>
      <c r="F155" s="714"/>
      <c r="G155" s="714"/>
      <c r="H155" s="714"/>
      <c r="I155" s="714"/>
      <c r="J155" s="714"/>
      <c r="K155" s="714"/>
      <c r="L155" s="714"/>
      <c r="M155" s="714"/>
      <c r="N155" s="714"/>
      <c r="O155" s="714"/>
      <c r="P155" s="542"/>
      <c r="Q155" s="542"/>
      <c r="R155" s="542"/>
      <c r="S155" s="542"/>
      <c r="T155" s="542"/>
      <c r="U155" s="542"/>
      <c r="V155" s="542"/>
      <c r="W155" s="535"/>
      <c r="X155" s="535"/>
      <c r="Y155" s="535"/>
    </row>
    <row r="156" spans="1:25">
      <c r="A156" s="532"/>
      <c r="B156" s="532"/>
      <c r="C156" s="714"/>
      <c r="D156" s="714"/>
      <c r="E156" s="714"/>
      <c r="F156" s="714"/>
      <c r="G156" s="714"/>
      <c r="H156" s="714"/>
      <c r="I156" s="714"/>
      <c r="J156" s="714"/>
      <c r="K156" s="714"/>
      <c r="L156" s="714"/>
      <c r="M156" s="714"/>
      <c r="N156" s="714"/>
      <c r="O156" s="714"/>
      <c r="P156" s="542"/>
      <c r="Q156" s="542"/>
      <c r="R156" s="542"/>
      <c r="S156" s="542"/>
      <c r="T156" s="542"/>
      <c r="U156" s="542"/>
      <c r="V156" s="542"/>
      <c r="W156" s="535"/>
      <c r="X156" s="535"/>
      <c r="Y156" s="535"/>
    </row>
    <row r="157" spans="1:25">
      <c r="A157" s="532"/>
      <c r="B157" s="532"/>
      <c r="C157" s="714"/>
      <c r="D157" s="714"/>
      <c r="E157" s="714"/>
      <c r="F157" s="714"/>
      <c r="G157" s="714"/>
      <c r="H157" s="714"/>
      <c r="I157" s="714"/>
      <c r="J157" s="714"/>
      <c r="K157" s="714"/>
      <c r="L157" s="714"/>
      <c r="M157" s="714"/>
      <c r="N157" s="714"/>
      <c r="O157" s="714"/>
      <c r="P157" s="542"/>
      <c r="Q157" s="542"/>
      <c r="R157" s="542"/>
      <c r="S157" s="542"/>
      <c r="T157" s="542"/>
      <c r="U157" s="542"/>
      <c r="V157" s="542"/>
      <c r="W157" s="535"/>
      <c r="X157" s="535"/>
      <c r="Y157" s="535"/>
    </row>
    <row r="158" spans="1:25">
      <c r="A158" s="532"/>
      <c r="B158" s="532"/>
      <c r="C158" s="714"/>
      <c r="D158" s="714"/>
      <c r="E158" s="714"/>
      <c r="F158" s="714"/>
      <c r="G158" s="714"/>
      <c r="H158" s="714"/>
      <c r="I158" s="714"/>
      <c r="J158" s="714"/>
      <c r="K158" s="714"/>
      <c r="L158" s="714"/>
      <c r="M158" s="714"/>
      <c r="N158" s="714"/>
      <c r="O158" s="714"/>
      <c r="P158" s="542"/>
      <c r="Q158" s="542"/>
      <c r="R158" s="542"/>
      <c r="S158" s="542"/>
      <c r="T158" s="542"/>
      <c r="U158" s="542"/>
      <c r="V158" s="542"/>
      <c r="W158" s="535"/>
      <c r="X158" s="535"/>
      <c r="Y158" s="535"/>
    </row>
    <row r="159" spans="1:25">
      <c r="A159" s="532"/>
      <c r="B159" s="532"/>
      <c r="C159" s="714"/>
      <c r="D159" s="714"/>
      <c r="E159" s="714"/>
      <c r="F159" s="714"/>
      <c r="G159" s="714"/>
      <c r="H159" s="714"/>
      <c r="I159" s="714"/>
      <c r="J159" s="714"/>
      <c r="K159" s="714"/>
      <c r="L159" s="714"/>
      <c r="M159" s="714"/>
      <c r="N159" s="714"/>
      <c r="O159" s="714"/>
      <c r="P159" s="542"/>
      <c r="Q159" s="542"/>
      <c r="R159" s="542"/>
      <c r="S159" s="542"/>
      <c r="T159" s="542"/>
      <c r="U159" s="542"/>
      <c r="V159" s="542"/>
      <c r="W159" s="535"/>
      <c r="X159" s="535"/>
      <c r="Y159" s="535"/>
    </row>
    <row r="160" spans="1:25">
      <c r="A160" s="532"/>
      <c r="B160" s="532"/>
      <c r="C160" s="714"/>
      <c r="D160" s="714"/>
      <c r="E160" s="714"/>
      <c r="F160" s="714"/>
      <c r="G160" s="714"/>
      <c r="H160" s="714"/>
      <c r="I160" s="714"/>
      <c r="J160" s="714"/>
      <c r="K160" s="714"/>
      <c r="L160" s="714"/>
      <c r="M160" s="714"/>
      <c r="N160" s="714"/>
      <c r="O160" s="714"/>
      <c r="P160" s="542"/>
      <c r="Q160" s="542"/>
      <c r="R160" s="542"/>
      <c r="S160" s="542"/>
      <c r="T160" s="542"/>
      <c r="U160" s="542"/>
      <c r="V160" s="542"/>
      <c r="W160" s="535"/>
      <c r="X160" s="535"/>
      <c r="Y160" s="535"/>
    </row>
    <row r="161" spans="1:25">
      <c r="A161" s="532"/>
      <c r="B161" s="532"/>
      <c r="C161" s="714"/>
      <c r="D161" s="714"/>
      <c r="E161" s="714"/>
      <c r="F161" s="714"/>
      <c r="G161" s="714"/>
      <c r="H161" s="714"/>
      <c r="I161" s="714"/>
      <c r="J161" s="714"/>
      <c r="K161" s="714"/>
      <c r="L161" s="714"/>
      <c r="M161" s="714"/>
      <c r="N161" s="714"/>
      <c r="O161" s="714"/>
      <c r="P161" s="542"/>
      <c r="Q161" s="542"/>
      <c r="R161" s="542"/>
      <c r="S161" s="542"/>
      <c r="T161" s="542"/>
      <c r="U161" s="542"/>
      <c r="V161" s="542"/>
      <c r="W161" s="535"/>
      <c r="X161" s="535"/>
      <c r="Y161" s="535"/>
    </row>
    <row r="162" spans="1:25">
      <c r="A162" s="532"/>
      <c r="B162" s="532"/>
      <c r="C162" s="714"/>
      <c r="D162" s="714"/>
      <c r="E162" s="714"/>
      <c r="F162" s="714"/>
      <c r="G162" s="714"/>
      <c r="H162" s="714"/>
      <c r="I162" s="714"/>
      <c r="J162" s="714"/>
      <c r="K162" s="714"/>
      <c r="L162" s="714"/>
      <c r="M162" s="714"/>
      <c r="N162" s="714"/>
      <c r="O162" s="714"/>
      <c r="P162" s="542"/>
      <c r="Q162" s="542"/>
      <c r="R162" s="542"/>
      <c r="S162" s="542"/>
      <c r="T162" s="542"/>
      <c r="U162" s="542"/>
      <c r="V162" s="542"/>
      <c r="W162" s="535"/>
      <c r="X162" s="535"/>
      <c r="Y162" s="535"/>
    </row>
    <row r="163" spans="1:25">
      <c r="A163" s="532"/>
      <c r="B163" s="532"/>
      <c r="C163" s="714"/>
      <c r="D163" s="714"/>
      <c r="E163" s="714"/>
      <c r="F163" s="714"/>
      <c r="G163" s="714"/>
      <c r="H163" s="714"/>
      <c r="I163" s="714"/>
      <c r="J163" s="714"/>
      <c r="K163" s="714"/>
      <c r="L163" s="714"/>
      <c r="M163" s="714"/>
      <c r="N163" s="714"/>
      <c r="O163" s="714"/>
      <c r="P163" s="542"/>
      <c r="Q163" s="542"/>
      <c r="R163" s="542"/>
      <c r="S163" s="542"/>
      <c r="T163" s="542"/>
      <c r="U163" s="542"/>
      <c r="V163" s="542"/>
      <c r="W163" s="535"/>
      <c r="X163" s="535"/>
      <c r="Y163" s="535"/>
    </row>
    <row r="164" spans="1:25">
      <c r="A164" s="532"/>
      <c r="B164" s="532"/>
      <c r="C164" s="714"/>
      <c r="D164" s="714"/>
      <c r="E164" s="714"/>
      <c r="F164" s="714"/>
      <c r="G164" s="714"/>
      <c r="H164" s="714"/>
      <c r="I164" s="714"/>
      <c r="J164" s="714"/>
      <c r="K164" s="714"/>
      <c r="L164" s="714"/>
      <c r="M164" s="714"/>
      <c r="N164" s="714"/>
      <c r="O164" s="714"/>
      <c r="P164" s="542"/>
      <c r="Q164" s="542"/>
      <c r="R164" s="542"/>
      <c r="S164" s="542"/>
      <c r="T164" s="542"/>
      <c r="U164" s="542"/>
      <c r="V164" s="542"/>
      <c r="W164" s="535"/>
      <c r="X164" s="535"/>
      <c r="Y164" s="535"/>
    </row>
    <row r="165" spans="1:25">
      <c r="A165" s="532"/>
      <c r="B165" s="532"/>
      <c r="C165" s="714"/>
      <c r="D165" s="714"/>
      <c r="E165" s="714"/>
      <c r="F165" s="714"/>
      <c r="G165" s="714"/>
      <c r="H165" s="714"/>
      <c r="I165" s="714"/>
      <c r="J165" s="714"/>
      <c r="K165" s="714"/>
      <c r="L165" s="714"/>
      <c r="M165" s="714"/>
      <c r="N165" s="714"/>
      <c r="O165" s="714"/>
      <c r="P165" s="542"/>
      <c r="Q165" s="542"/>
      <c r="R165" s="542"/>
      <c r="S165" s="542"/>
      <c r="T165" s="542"/>
      <c r="U165" s="542"/>
      <c r="V165" s="542"/>
      <c r="W165" s="535"/>
      <c r="X165" s="535"/>
      <c r="Y165" s="535"/>
    </row>
    <row r="166" spans="1:25">
      <c r="A166" s="532"/>
      <c r="B166" s="532"/>
      <c r="C166" s="714"/>
      <c r="D166" s="714"/>
      <c r="E166" s="714"/>
      <c r="F166" s="714"/>
      <c r="G166" s="714"/>
      <c r="H166" s="714"/>
      <c r="I166" s="714"/>
      <c r="J166" s="714"/>
      <c r="K166" s="714"/>
      <c r="L166" s="714"/>
      <c r="M166" s="714"/>
      <c r="N166" s="714"/>
      <c r="O166" s="714"/>
      <c r="P166" s="542"/>
      <c r="Q166" s="542"/>
      <c r="R166" s="542"/>
      <c r="S166" s="542"/>
      <c r="T166" s="542"/>
      <c r="U166" s="542"/>
      <c r="V166" s="542"/>
      <c r="W166" s="535"/>
      <c r="X166" s="535"/>
      <c r="Y166" s="535"/>
    </row>
    <row r="167" spans="1:25">
      <c r="A167" s="532"/>
      <c r="B167" s="532"/>
      <c r="C167" s="714"/>
      <c r="D167" s="714"/>
      <c r="E167" s="714"/>
      <c r="F167" s="714"/>
      <c r="G167" s="714"/>
      <c r="H167" s="714"/>
      <c r="I167" s="714"/>
      <c r="J167" s="714"/>
      <c r="K167" s="714"/>
      <c r="L167" s="714"/>
      <c r="M167" s="714"/>
      <c r="N167" s="714"/>
      <c r="O167" s="714"/>
      <c r="P167" s="542"/>
      <c r="Q167" s="542"/>
      <c r="R167" s="542"/>
      <c r="S167" s="542"/>
      <c r="T167" s="542"/>
      <c r="U167" s="542"/>
      <c r="V167" s="542"/>
      <c r="W167" s="535"/>
      <c r="X167" s="535"/>
      <c r="Y167" s="535"/>
    </row>
    <row r="168" spans="1:25">
      <c r="A168" s="532"/>
      <c r="B168" s="532"/>
      <c r="C168" s="714"/>
      <c r="D168" s="714"/>
      <c r="E168" s="714"/>
      <c r="F168" s="714"/>
      <c r="G168" s="714"/>
      <c r="H168" s="714"/>
      <c r="I168" s="714"/>
      <c r="J168" s="714"/>
      <c r="K168" s="714"/>
      <c r="L168" s="714"/>
      <c r="M168" s="714"/>
      <c r="N168" s="714"/>
      <c r="O168" s="714"/>
      <c r="P168" s="542"/>
      <c r="Q168" s="542"/>
      <c r="R168" s="542"/>
      <c r="S168" s="542"/>
      <c r="T168" s="542"/>
      <c r="U168" s="542"/>
      <c r="V168" s="542"/>
      <c r="W168" s="535"/>
      <c r="X168" s="535"/>
      <c r="Y168" s="535"/>
    </row>
    <row r="169" spans="1:25">
      <c r="A169" s="532"/>
      <c r="B169" s="532"/>
      <c r="C169" s="714"/>
      <c r="D169" s="714"/>
      <c r="E169" s="714"/>
      <c r="F169" s="714"/>
      <c r="G169" s="714"/>
      <c r="H169" s="714"/>
      <c r="I169" s="714"/>
      <c r="J169" s="714"/>
      <c r="K169" s="714"/>
      <c r="L169" s="714"/>
      <c r="M169" s="714"/>
      <c r="N169" s="714"/>
      <c r="O169" s="714"/>
      <c r="P169" s="542"/>
      <c r="Q169" s="542"/>
      <c r="R169" s="542"/>
      <c r="S169" s="542"/>
      <c r="T169" s="542"/>
      <c r="U169" s="542"/>
      <c r="V169" s="542"/>
      <c r="W169" s="535"/>
      <c r="X169" s="535"/>
      <c r="Y169" s="535"/>
    </row>
    <row r="170" spans="1:25">
      <c r="A170" s="532"/>
      <c r="B170" s="532"/>
      <c r="C170" s="714"/>
      <c r="D170" s="714"/>
      <c r="E170" s="714"/>
      <c r="F170" s="714"/>
      <c r="G170" s="714"/>
      <c r="H170" s="714"/>
      <c r="I170" s="714"/>
      <c r="J170" s="714"/>
      <c r="K170" s="714"/>
      <c r="L170" s="714"/>
      <c r="M170" s="714"/>
      <c r="N170" s="714"/>
      <c r="O170" s="714"/>
      <c r="P170" s="542"/>
      <c r="Q170" s="542"/>
      <c r="R170" s="542"/>
      <c r="S170" s="542"/>
      <c r="T170" s="542"/>
      <c r="U170" s="542"/>
      <c r="V170" s="542"/>
      <c r="W170" s="535"/>
      <c r="X170" s="535"/>
      <c r="Y170" s="535"/>
    </row>
    <row r="171" spans="1:25">
      <c r="A171" s="532"/>
      <c r="B171" s="532"/>
      <c r="C171" s="714"/>
      <c r="D171" s="714"/>
      <c r="E171" s="714"/>
      <c r="F171" s="714"/>
      <c r="G171" s="714"/>
      <c r="H171" s="714"/>
      <c r="I171" s="714"/>
      <c r="J171" s="714"/>
      <c r="K171" s="714"/>
      <c r="L171" s="714"/>
      <c r="M171" s="714"/>
      <c r="N171" s="714"/>
      <c r="O171" s="714"/>
      <c r="P171" s="542"/>
      <c r="Q171" s="542"/>
      <c r="R171" s="542"/>
      <c r="S171" s="542"/>
      <c r="T171" s="542"/>
      <c r="U171" s="542"/>
      <c r="V171" s="542"/>
      <c r="W171" s="535"/>
      <c r="X171" s="535"/>
      <c r="Y171" s="535"/>
    </row>
    <row r="172" spans="1:25">
      <c r="A172" s="532"/>
      <c r="B172" s="532"/>
      <c r="C172" s="714"/>
      <c r="D172" s="714"/>
      <c r="E172" s="714"/>
      <c r="F172" s="714"/>
      <c r="G172" s="714"/>
      <c r="H172" s="714"/>
      <c r="I172" s="714"/>
      <c r="J172" s="714"/>
      <c r="K172" s="714"/>
      <c r="L172" s="714"/>
      <c r="M172" s="714"/>
      <c r="N172" s="714"/>
      <c r="O172" s="714"/>
      <c r="P172" s="542"/>
      <c r="Q172" s="542"/>
      <c r="R172" s="542"/>
      <c r="S172" s="542"/>
      <c r="T172" s="542"/>
      <c r="U172" s="542"/>
      <c r="V172" s="542"/>
      <c r="W172" s="535"/>
      <c r="X172" s="535"/>
      <c r="Y172" s="535"/>
    </row>
    <row r="173" spans="1:25">
      <c r="A173" s="532"/>
      <c r="B173" s="532"/>
      <c r="C173" s="714"/>
      <c r="D173" s="714"/>
      <c r="E173" s="714"/>
      <c r="F173" s="714"/>
      <c r="G173" s="714"/>
      <c r="H173" s="714"/>
      <c r="I173" s="714"/>
      <c r="J173" s="714"/>
      <c r="K173" s="714"/>
      <c r="L173" s="714"/>
      <c r="M173" s="714"/>
      <c r="N173" s="714"/>
      <c r="O173" s="714"/>
      <c r="P173" s="542"/>
      <c r="Q173" s="542"/>
      <c r="R173" s="542"/>
      <c r="S173" s="542"/>
      <c r="T173" s="542"/>
      <c r="U173" s="542"/>
      <c r="V173" s="542"/>
      <c r="W173" s="535"/>
      <c r="X173" s="535"/>
      <c r="Y173" s="535"/>
    </row>
    <row r="174" spans="1:25">
      <c r="A174" s="532"/>
      <c r="B174" s="532"/>
      <c r="C174" s="714"/>
      <c r="D174" s="714"/>
      <c r="E174" s="714"/>
      <c r="F174" s="714"/>
      <c r="G174" s="714"/>
      <c r="H174" s="714"/>
      <c r="I174" s="714"/>
      <c r="J174" s="714"/>
      <c r="K174" s="714"/>
      <c r="L174" s="714"/>
      <c r="M174" s="714"/>
      <c r="N174" s="714"/>
      <c r="O174" s="714"/>
      <c r="P174" s="542"/>
      <c r="Q174" s="542"/>
      <c r="R174" s="542"/>
      <c r="S174" s="542"/>
      <c r="T174" s="542"/>
      <c r="U174" s="542"/>
      <c r="V174" s="542"/>
      <c r="W174" s="535"/>
      <c r="X174" s="535"/>
      <c r="Y174" s="535"/>
    </row>
    <row r="175" spans="1:25">
      <c r="A175" s="532"/>
      <c r="B175" s="532"/>
      <c r="C175" s="714"/>
      <c r="D175" s="714"/>
      <c r="E175" s="714"/>
      <c r="F175" s="714"/>
      <c r="G175" s="714"/>
      <c r="H175" s="714"/>
      <c r="I175" s="714"/>
      <c r="J175" s="714"/>
      <c r="K175" s="714"/>
      <c r="L175" s="714"/>
      <c r="M175" s="714"/>
      <c r="N175" s="714"/>
      <c r="O175" s="714"/>
      <c r="P175" s="542"/>
      <c r="Q175" s="542"/>
      <c r="R175" s="542"/>
      <c r="S175" s="542"/>
      <c r="T175" s="542"/>
      <c r="U175" s="542"/>
      <c r="V175" s="542"/>
      <c r="W175" s="535"/>
      <c r="X175" s="535"/>
      <c r="Y175" s="535"/>
    </row>
    <row r="176" spans="1:25">
      <c r="A176" s="532"/>
      <c r="B176" s="532"/>
      <c r="C176" s="714"/>
      <c r="D176" s="714"/>
      <c r="E176" s="714"/>
      <c r="F176" s="714"/>
      <c r="G176" s="714"/>
      <c r="H176" s="714"/>
      <c r="I176" s="714"/>
      <c r="J176" s="714"/>
      <c r="K176" s="714"/>
      <c r="L176" s="714"/>
      <c r="M176" s="714"/>
      <c r="N176" s="714"/>
      <c r="O176" s="714"/>
      <c r="P176" s="542"/>
      <c r="Q176" s="542"/>
      <c r="R176" s="542"/>
      <c r="S176" s="542"/>
      <c r="T176" s="542"/>
      <c r="U176" s="542"/>
      <c r="V176" s="542"/>
      <c r="W176" s="535"/>
      <c r="X176" s="535"/>
      <c r="Y176" s="535"/>
    </row>
    <row r="177" spans="1:25">
      <c r="A177" s="532"/>
      <c r="B177" s="532"/>
      <c r="C177" s="714"/>
      <c r="D177" s="714"/>
      <c r="E177" s="714"/>
      <c r="F177" s="714"/>
      <c r="G177" s="714"/>
      <c r="H177" s="714"/>
      <c r="I177" s="714"/>
      <c r="J177" s="714"/>
      <c r="K177" s="714"/>
      <c r="L177" s="714"/>
      <c r="M177" s="714"/>
      <c r="N177" s="714"/>
      <c r="O177" s="714"/>
      <c r="P177" s="542"/>
      <c r="Q177" s="542"/>
      <c r="R177" s="542"/>
      <c r="S177" s="542"/>
      <c r="T177" s="542"/>
      <c r="U177" s="542"/>
      <c r="V177" s="542"/>
      <c r="W177" s="535"/>
      <c r="X177" s="535"/>
      <c r="Y177" s="535"/>
    </row>
    <row r="178" spans="1:25">
      <c r="A178" s="532"/>
      <c r="B178" s="532"/>
      <c r="C178" s="714"/>
      <c r="D178" s="714"/>
      <c r="E178" s="714"/>
      <c r="F178" s="714"/>
      <c r="G178" s="714"/>
      <c r="H178" s="714"/>
      <c r="I178" s="714"/>
      <c r="J178" s="714"/>
      <c r="K178" s="714"/>
      <c r="L178" s="714"/>
      <c r="M178" s="714"/>
      <c r="N178" s="714"/>
      <c r="O178" s="714"/>
      <c r="P178" s="542"/>
      <c r="Q178" s="542"/>
      <c r="R178" s="542"/>
      <c r="S178" s="542"/>
      <c r="T178" s="542"/>
      <c r="U178" s="542"/>
      <c r="V178" s="542"/>
      <c r="W178" s="535"/>
      <c r="X178" s="535"/>
      <c r="Y178" s="535"/>
    </row>
    <row r="179" spans="1:25">
      <c r="A179" s="532"/>
      <c r="B179" s="532"/>
      <c r="C179" s="714"/>
      <c r="D179" s="714"/>
      <c r="E179" s="714"/>
      <c r="F179" s="714"/>
      <c r="G179" s="714"/>
      <c r="H179" s="714"/>
      <c r="I179" s="714"/>
      <c r="J179" s="714"/>
      <c r="K179" s="714"/>
      <c r="L179" s="714"/>
      <c r="M179" s="714"/>
      <c r="N179" s="714"/>
      <c r="O179" s="714"/>
      <c r="P179" s="542"/>
      <c r="Q179" s="542"/>
      <c r="R179" s="542"/>
      <c r="S179" s="542"/>
      <c r="T179" s="542"/>
      <c r="U179" s="542"/>
      <c r="V179" s="542"/>
      <c r="W179" s="535"/>
      <c r="X179" s="535"/>
      <c r="Y179" s="535"/>
    </row>
    <row r="180" spans="1:25">
      <c r="A180" s="532"/>
      <c r="B180" s="532"/>
      <c r="C180" s="714"/>
      <c r="D180" s="714"/>
      <c r="E180" s="714"/>
      <c r="F180" s="714"/>
      <c r="G180" s="714"/>
      <c r="H180" s="714"/>
      <c r="I180" s="714"/>
      <c r="J180" s="714"/>
      <c r="K180" s="714"/>
      <c r="L180" s="714"/>
      <c r="M180" s="714"/>
      <c r="N180" s="714"/>
      <c r="O180" s="714"/>
      <c r="P180" s="542"/>
      <c r="Q180" s="542"/>
      <c r="R180" s="542"/>
      <c r="S180" s="542"/>
      <c r="T180" s="542"/>
      <c r="U180" s="542"/>
      <c r="V180" s="542"/>
      <c r="W180" s="535"/>
      <c r="X180" s="535"/>
      <c r="Y180" s="535"/>
    </row>
    <row r="181" spans="1:25">
      <c r="A181" s="532"/>
      <c r="B181" s="532"/>
      <c r="C181" s="714"/>
      <c r="D181" s="714"/>
      <c r="E181" s="714"/>
      <c r="F181" s="714"/>
      <c r="G181" s="714"/>
      <c r="H181" s="714"/>
      <c r="I181" s="714"/>
      <c r="J181" s="714"/>
      <c r="K181" s="714"/>
      <c r="L181" s="714"/>
      <c r="M181" s="714"/>
      <c r="N181" s="714"/>
      <c r="O181" s="714"/>
      <c r="P181" s="542"/>
      <c r="Q181" s="542"/>
      <c r="R181" s="542"/>
      <c r="S181" s="542"/>
      <c r="T181" s="542"/>
      <c r="U181" s="542"/>
      <c r="V181" s="542"/>
      <c r="W181" s="535"/>
      <c r="X181" s="535"/>
      <c r="Y181" s="535"/>
    </row>
    <row r="182" spans="1:25">
      <c r="A182" s="532"/>
      <c r="B182" s="532"/>
      <c r="C182" s="714"/>
      <c r="D182" s="714"/>
      <c r="E182" s="714"/>
      <c r="F182" s="714"/>
      <c r="G182" s="714"/>
      <c r="H182" s="714"/>
      <c r="I182" s="714"/>
      <c r="J182" s="714"/>
      <c r="K182" s="714"/>
      <c r="L182" s="714"/>
      <c r="M182" s="714"/>
      <c r="N182" s="714"/>
      <c r="O182" s="714"/>
      <c r="P182" s="542"/>
      <c r="Q182" s="542"/>
      <c r="R182" s="542"/>
      <c r="S182" s="542"/>
      <c r="T182" s="542"/>
      <c r="U182" s="542"/>
      <c r="V182" s="542"/>
      <c r="W182" s="535"/>
      <c r="X182" s="535"/>
      <c r="Y182" s="535"/>
    </row>
    <row r="183" spans="1:25">
      <c r="A183" s="532"/>
      <c r="B183" s="532"/>
      <c r="C183" s="714"/>
      <c r="D183" s="714"/>
      <c r="E183" s="714"/>
      <c r="F183" s="714"/>
      <c r="G183" s="714"/>
      <c r="H183" s="714"/>
      <c r="I183" s="714"/>
      <c r="J183" s="714"/>
      <c r="K183" s="714"/>
      <c r="L183" s="714"/>
      <c r="M183" s="714"/>
      <c r="N183" s="714"/>
      <c r="O183" s="714"/>
      <c r="P183" s="542"/>
      <c r="Q183" s="542"/>
      <c r="R183" s="542"/>
      <c r="S183" s="542"/>
      <c r="T183" s="542"/>
      <c r="U183" s="542"/>
      <c r="V183" s="542"/>
      <c r="W183" s="535"/>
      <c r="X183" s="535"/>
      <c r="Y183" s="535"/>
    </row>
    <row r="184" spans="1:25">
      <c r="A184" s="984"/>
      <c r="B184" s="984"/>
      <c r="C184" s="984"/>
      <c r="D184" s="4"/>
      <c r="F184" s="1137" t="s">
        <v>37</v>
      </c>
      <c r="G184" s="1137"/>
      <c r="H184" s="1137"/>
      <c r="I184" s="1137"/>
      <c r="J184" s="1137"/>
      <c r="O184" s="542"/>
      <c r="P184" s="542"/>
      <c r="Q184" s="542"/>
      <c r="R184" s="542"/>
      <c r="S184" s="542"/>
      <c r="T184" s="542"/>
      <c r="U184" s="542"/>
      <c r="V184" s="542"/>
      <c r="W184" s="535"/>
      <c r="X184" s="535"/>
      <c r="Y184" s="535"/>
    </row>
    <row r="185" spans="1:25">
      <c r="A185" s="1131" t="s">
        <v>82</v>
      </c>
      <c r="B185" s="1131"/>
      <c r="C185" s="1131"/>
      <c r="D185" s="1131"/>
      <c r="E185" s="1131"/>
      <c r="F185" s="1131"/>
      <c r="G185" s="2"/>
      <c r="H185" s="2"/>
      <c r="I185" s="2"/>
      <c r="O185" s="542"/>
      <c r="P185" s="542"/>
      <c r="Q185" s="542"/>
      <c r="R185" s="542"/>
      <c r="S185" s="542"/>
      <c r="T185" s="542"/>
      <c r="U185" s="542"/>
      <c r="V185" s="542"/>
      <c r="W185" s="535"/>
      <c r="X185" s="535"/>
      <c r="Y185" s="535"/>
    </row>
    <row r="186" spans="1:25">
      <c r="A186" s="4"/>
      <c r="B186" s="4" t="s">
        <v>39</v>
      </c>
      <c r="C186" s="53" t="s">
        <v>40</v>
      </c>
      <c r="D186" s="54" t="s">
        <v>41</v>
      </c>
      <c r="E186" s="55" t="s">
        <v>42</v>
      </c>
      <c r="F186" s="4" t="s">
        <v>43</v>
      </c>
      <c r="G186" s="2"/>
      <c r="H186" s="2"/>
      <c r="I186" s="2"/>
      <c r="O186" s="542"/>
      <c r="P186" s="542"/>
      <c r="Q186" s="542"/>
      <c r="R186" s="542"/>
      <c r="S186" s="542"/>
      <c r="T186" s="542"/>
      <c r="U186" s="542"/>
      <c r="V186" s="542"/>
      <c r="W186" s="535"/>
      <c r="X186" s="535"/>
      <c r="Y186" s="535"/>
    </row>
    <row r="187" spans="1:25">
      <c r="A187" s="4" t="s">
        <v>44</v>
      </c>
      <c r="B187" s="146">
        <v>1</v>
      </c>
      <c r="C187" s="50">
        <f>B187*12</f>
        <v>12</v>
      </c>
      <c r="D187" s="51">
        <f>B187*9</f>
        <v>9</v>
      </c>
      <c r="E187" s="52">
        <f>B187*5</f>
        <v>5</v>
      </c>
      <c r="F187" s="9">
        <f t="shared" ref="F187:F194" si="0">(C187*4)+(D187*4)+(E187*9)</f>
        <v>129</v>
      </c>
      <c r="G187" s="2"/>
      <c r="H187" s="2"/>
      <c r="I187" s="2"/>
      <c r="O187" s="542"/>
      <c r="P187" s="542"/>
      <c r="Q187" s="542"/>
      <c r="R187" s="542"/>
      <c r="S187" s="542"/>
      <c r="T187" s="542"/>
      <c r="U187" s="542"/>
      <c r="V187" s="542"/>
      <c r="W187" s="535"/>
      <c r="X187" s="535"/>
      <c r="Y187" s="535"/>
    </row>
    <row r="188" spans="1:25">
      <c r="A188" s="4" t="s">
        <v>45</v>
      </c>
      <c r="B188" s="146">
        <v>0</v>
      </c>
      <c r="C188" s="6">
        <v>0</v>
      </c>
      <c r="D188" s="7">
        <f>B188*7</f>
        <v>0</v>
      </c>
      <c r="E188" s="8">
        <f>B188*4</f>
        <v>0</v>
      </c>
      <c r="F188" s="9">
        <f t="shared" si="0"/>
        <v>0</v>
      </c>
      <c r="G188" s="2"/>
      <c r="H188" s="2"/>
      <c r="I188" s="2"/>
      <c r="O188" s="542"/>
      <c r="P188" s="542"/>
      <c r="Q188" s="542"/>
      <c r="R188" s="542"/>
      <c r="S188" s="542"/>
      <c r="T188" s="542"/>
      <c r="U188" s="542"/>
      <c r="V188" s="542"/>
      <c r="W188" s="535"/>
      <c r="X188" s="535"/>
      <c r="Y188" s="535"/>
    </row>
    <row r="189" spans="1:25">
      <c r="A189" s="4" t="s">
        <v>46</v>
      </c>
      <c r="B189" s="146">
        <v>0</v>
      </c>
      <c r="C189" s="6">
        <f>B189*15</f>
        <v>0</v>
      </c>
      <c r="D189" s="7">
        <f>B189*0</f>
        <v>0</v>
      </c>
      <c r="E189" s="8">
        <f>B189*0</f>
        <v>0</v>
      </c>
      <c r="F189" s="9">
        <f t="shared" si="0"/>
        <v>0</v>
      </c>
      <c r="G189" s="2"/>
      <c r="H189" s="2"/>
      <c r="I189" s="2"/>
      <c r="O189" s="542"/>
      <c r="P189" s="542"/>
      <c r="Q189" s="542"/>
      <c r="R189" s="542"/>
      <c r="S189" s="542"/>
      <c r="T189" s="542"/>
      <c r="U189" s="542"/>
      <c r="V189" s="542"/>
      <c r="W189" s="535"/>
      <c r="X189" s="535"/>
      <c r="Y189" s="535"/>
    </row>
    <row r="190" spans="1:25">
      <c r="A190" s="4" t="s">
        <v>47</v>
      </c>
      <c r="B190" s="146">
        <v>1</v>
      </c>
      <c r="C190" s="6">
        <f>B190*4</f>
        <v>4</v>
      </c>
      <c r="D190" s="7">
        <f>B190*2</f>
        <v>2</v>
      </c>
      <c r="E190" s="8"/>
      <c r="F190" s="9">
        <f t="shared" si="0"/>
        <v>24</v>
      </c>
      <c r="G190" s="2"/>
      <c r="H190" s="2"/>
      <c r="I190" s="2"/>
      <c r="O190" s="542"/>
      <c r="P190" s="542"/>
      <c r="Q190" s="542"/>
      <c r="R190" s="542"/>
      <c r="S190" s="542"/>
      <c r="T190" s="542"/>
      <c r="U190" s="542"/>
      <c r="V190" s="542"/>
      <c r="W190" s="535"/>
      <c r="X190" s="535"/>
      <c r="Y190" s="535"/>
    </row>
    <row r="191" spans="1:25">
      <c r="A191" s="4" t="s">
        <v>48</v>
      </c>
      <c r="B191" s="146">
        <v>8</v>
      </c>
      <c r="C191" s="6">
        <f>B191*15</f>
        <v>120</v>
      </c>
      <c r="D191" s="7">
        <f>B191*2</f>
        <v>16</v>
      </c>
      <c r="E191" s="8">
        <f>B191*0</f>
        <v>0</v>
      </c>
      <c r="F191" s="9">
        <f t="shared" si="0"/>
        <v>544</v>
      </c>
      <c r="G191" s="2"/>
      <c r="H191" s="2"/>
      <c r="I191" s="2"/>
      <c r="O191" s="542"/>
      <c r="P191" s="542"/>
      <c r="Q191" s="542"/>
      <c r="R191" s="542"/>
      <c r="S191" s="542"/>
      <c r="T191" s="542"/>
      <c r="U191" s="542"/>
      <c r="V191" s="542"/>
      <c r="W191" s="535"/>
      <c r="X191" s="535"/>
      <c r="Y191" s="535"/>
    </row>
    <row r="192" spans="1:25">
      <c r="A192" s="4" t="s">
        <v>49</v>
      </c>
      <c r="B192" s="146">
        <v>0</v>
      </c>
      <c r="C192" s="6">
        <f>B192*20</f>
        <v>0</v>
      </c>
      <c r="D192" s="7">
        <f>B192*8</f>
        <v>0</v>
      </c>
      <c r="E192" s="8">
        <f>B192*1</f>
        <v>0</v>
      </c>
      <c r="F192" s="9">
        <f t="shared" si="0"/>
        <v>0</v>
      </c>
      <c r="G192" s="2"/>
      <c r="H192" s="2"/>
      <c r="I192" s="2"/>
      <c r="O192" s="542"/>
      <c r="P192" s="542"/>
      <c r="Q192" s="542"/>
      <c r="R192" s="542"/>
      <c r="S192" s="542"/>
      <c r="T192" s="542"/>
      <c r="U192" s="542"/>
      <c r="V192" s="542"/>
      <c r="W192" s="535"/>
      <c r="X192" s="535"/>
      <c r="Y192" s="535"/>
    </row>
    <row r="193" spans="1:25">
      <c r="A193" s="4" t="s">
        <v>50</v>
      </c>
      <c r="B193" s="146">
        <v>1</v>
      </c>
      <c r="C193" s="6">
        <f>B193*0</f>
        <v>0</v>
      </c>
      <c r="D193" s="7">
        <f>B193*0</f>
        <v>0</v>
      </c>
      <c r="E193" s="8">
        <f>B193*5</f>
        <v>5</v>
      </c>
      <c r="F193" s="9">
        <f t="shared" si="0"/>
        <v>45</v>
      </c>
      <c r="G193" s="2"/>
      <c r="H193" s="2"/>
      <c r="I193" s="2"/>
      <c r="O193" s="542"/>
      <c r="P193" s="542"/>
      <c r="Q193" s="542"/>
      <c r="R193" s="542"/>
      <c r="S193" s="542"/>
      <c r="T193" s="542"/>
      <c r="U193" s="542"/>
      <c r="V193" s="542"/>
      <c r="W193" s="535"/>
      <c r="X193" s="535"/>
      <c r="Y193" s="535"/>
    </row>
    <row r="194" spans="1:25">
      <c r="A194" s="4" t="s">
        <v>51</v>
      </c>
      <c r="B194" s="146">
        <v>4</v>
      </c>
      <c r="C194" s="6">
        <f>B194*10</f>
        <v>40</v>
      </c>
      <c r="D194" s="7">
        <f>B194*0</f>
        <v>0</v>
      </c>
      <c r="E194" s="10">
        <f>B194*0</f>
        <v>0</v>
      </c>
      <c r="F194" s="11">
        <f t="shared" si="0"/>
        <v>160</v>
      </c>
      <c r="O194" s="542"/>
      <c r="P194" s="542"/>
      <c r="Q194" s="542"/>
      <c r="R194" s="542"/>
      <c r="S194" s="542"/>
      <c r="T194" s="542"/>
      <c r="U194" s="542"/>
      <c r="V194" s="542"/>
      <c r="W194" s="535"/>
      <c r="X194" s="535"/>
      <c r="Y194" s="535"/>
    </row>
    <row r="195" spans="1:25">
      <c r="A195" s="4"/>
      <c r="B195" s="12"/>
      <c r="C195" s="6">
        <f>SUM(C187:C194)</f>
        <v>176</v>
      </c>
      <c r="D195" s="7">
        <f>SUM(D187:D194)</f>
        <v>27</v>
      </c>
      <c r="E195" s="10">
        <f>SUM(E187:E194)</f>
        <v>10</v>
      </c>
      <c r="F195" s="11">
        <f>SUM(F187:F194)</f>
        <v>902</v>
      </c>
      <c r="O195" s="542"/>
      <c r="P195" s="542"/>
      <c r="Q195" s="542"/>
      <c r="R195" s="542"/>
      <c r="S195" s="542"/>
      <c r="T195" s="542"/>
      <c r="U195" s="542"/>
      <c r="V195" s="542"/>
      <c r="W195" s="535"/>
      <c r="X195" s="535"/>
      <c r="Y195" s="535"/>
    </row>
    <row r="196" spans="1:25">
      <c r="B196" s="1" t="s">
        <v>52</v>
      </c>
      <c r="C196" s="1" t="s">
        <v>53</v>
      </c>
      <c r="D196" s="1" t="s">
        <v>54</v>
      </c>
      <c r="O196" s="542"/>
      <c r="P196" s="542"/>
      <c r="Q196" s="542"/>
      <c r="R196" s="542"/>
      <c r="S196" s="542"/>
      <c r="T196" s="542"/>
      <c r="U196" s="542"/>
      <c r="V196" s="542"/>
      <c r="W196" s="535"/>
      <c r="X196" s="535"/>
      <c r="Y196" s="535"/>
    </row>
    <row r="197" spans="1:25">
      <c r="A197" s="13" t="s">
        <v>55</v>
      </c>
      <c r="B197" s="14">
        <f>(D197*100)/F195</f>
        <v>78.048780487804876</v>
      </c>
      <c r="C197" s="1">
        <f>C195</f>
        <v>176</v>
      </c>
      <c r="D197" s="1130">
        <f>C197*4</f>
        <v>704</v>
      </c>
      <c r="E197" s="1130"/>
      <c r="O197" s="542"/>
      <c r="P197" s="542"/>
      <c r="Q197" s="542"/>
      <c r="R197" s="542"/>
      <c r="S197" s="542"/>
      <c r="T197" s="542"/>
      <c r="U197" s="542"/>
      <c r="V197" s="542"/>
      <c r="W197" s="535"/>
      <c r="X197" s="535"/>
      <c r="Y197" s="535"/>
    </row>
    <row r="198" spans="1:25">
      <c r="A198" s="15" t="s">
        <v>29</v>
      </c>
      <c r="B198" s="16">
        <f>(D198*100)/F195</f>
        <v>11.973392461197339</v>
      </c>
      <c r="C198" s="1">
        <f>D195</f>
        <v>27</v>
      </c>
      <c r="D198" s="1130">
        <f>C198*4</f>
        <v>108</v>
      </c>
      <c r="E198" s="1130"/>
      <c r="O198" s="542"/>
      <c r="P198" s="542"/>
      <c r="Q198" s="542"/>
      <c r="R198" s="542"/>
      <c r="S198" s="542"/>
      <c r="T198" s="542"/>
      <c r="U198" s="542"/>
      <c r="V198" s="542"/>
      <c r="W198" s="535"/>
      <c r="X198" s="535"/>
      <c r="Y198" s="535"/>
    </row>
    <row r="199" spans="1:25">
      <c r="A199" s="17" t="s">
        <v>56</v>
      </c>
      <c r="B199" s="18">
        <f>(D199*100)/F195</f>
        <v>9.9778270509977833</v>
      </c>
      <c r="C199" s="1">
        <f>E195</f>
        <v>10</v>
      </c>
      <c r="D199" s="1130">
        <f>C199*9</f>
        <v>90</v>
      </c>
      <c r="E199" s="1130"/>
      <c r="O199" s="542"/>
      <c r="P199" s="542"/>
      <c r="Q199" s="542"/>
      <c r="R199" s="542"/>
      <c r="S199" s="542"/>
      <c r="T199" s="542"/>
      <c r="U199" s="542"/>
      <c r="V199" s="542"/>
      <c r="W199" s="535"/>
      <c r="X199" s="535"/>
      <c r="Y199" s="535"/>
    </row>
    <row r="200" spans="1:25">
      <c r="A200" s="1131" t="s">
        <v>84</v>
      </c>
      <c r="B200" s="1131"/>
      <c r="C200" s="1131"/>
      <c r="D200" s="1131"/>
      <c r="E200" s="1131"/>
      <c r="F200" s="1131"/>
      <c r="O200" s="542"/>
      <c r="P200" s="542"/>
      <c r="Q200" s="542"/>
      <c r="R200" s="542"/>
      <c r="S200" s="542"/>
      <c r="T200" s="542"/>
      <c r="U200" s="542"/>
      <c r="V200" s="542"/>
      <c r="W200" s="535"/>
      <c r="X200" s="535"/>
      <c r="Y200" s="535"/>
    </row>
    <row r="201" spans="1:25">
      <c r="A201" s="4"/>
      <c r="B201" s="4" t="s">
        <v>39</v>
      </c>
      <c r="C201" s="53" t="s">
        <v>40</v>
      </c>
      <c r="D201" s="54" t="s">
        <v>41</v>
      </c>
      <c r="E201" s="55" t="s">
        <v>42</v>
      </c>
      <c r="F201" s="4" t="s">
        <v>43</v>
      </c>
      <c r="O201" s="542"/>
      <c r="P201" s="542"/>
      <c r="Q201" s="542"/>
      <c r="R201" s="542"/>
      <c r="S201" s="542"/>
      <c r="T201" s="542"/>
      <c r="U201" s="542"/>
      <c r="V201" s="542"/>
      <c r="W201" s="535"/>
      <c r="X201" s="535"/>
      <c r="Y201" s="535"/>
    </row>
    <row r="202" spans="1:25">
      <c r="A202" s="4" t="s">
        <v>44</v>
      </c>
      <c r="B202" s="146">
        <v>0</v>
      </c>
      <c r="C202" s="50">
        <f>B202*12</f>
        <v>0</v>
      </c>
      <c r="D202" s="51">
        <f>B202*9</f>
        <v>0</v>
      </c>
      <c r="E202" s="52">
        <f>B202*5</f>
        <v>0</v>
      </c>
      <c r="F202" s="9">
        <f t="shared" ref="F202:F209" si="1">(C202*4)+(D202*4)+(E202*9)</f>
        <v>0</v>
      </c>
      <c r="O202" s="542"/>
      <c r="P202" s="542"/>
      <c r="Q202" s="542"/>
      <c r="R202" s="542"/>
      <c r="S202" s="542"/>
      <c r="T202" s="542"/>
      <c r="U202" s="542"/>
      <c r="V202" s="542"/>
      <c r="W202" s="535"/>
      <c r="X202" s="535"/>
      <c r="Y202" s="535"/>
    </row>
    <row r="203" spans="1:25">
      <c r="A203" s="4" t="s">
        <v>45</v>
      </c>
      <c r="B203" s="146">
        <v>3</v>
      </c>
      <c r="C203" s="6">
        <v>0</v>
      </c>
      <c r="D203" s="7">
        <f>B203*7</f>
        <v>21</v>
      </c>
      <c r="E203" s="8">
        <f>B203*4</f>
        <v>12</v>
      </c>
      <c r="F203" s="9">
        <f t="shared" si="1"/>
        <v>192</v>
      </c>
      <c r="O203" s="542"/>
      <c r="P203" s="542"/>
      <c r="Q203" s="542"/>
      <c r="R203" s="542"/>
      <c r="S203" s="542"/>
      <c r="T203" s="542"/>
      <c r="U203" s="542"/>
      <c r="V203" s="542"/>
      <c r="W203" s="535"/>
      <c r="X203" s="535"/>
      <c r="Y203" s="535"/>
    </row>
    <row r="204" spans="1:25">
      <c r="A204" s="4" t="s">
        <v>46</v>
      </c>
      <c r="B204" s="146">
        <v>1</v>
      </c>
      <c r="C204" s="6">
        <f>B204*15</f>
        <v>15</v>
      </c>
      <c r="D204" s="7">
        <f>B204*0</f>
        <v>0</v>
      </c>
      <c r="E204" s="8">
        <f>B204*0</f>
        <v>0</v>
      </c>
      <c r="F204" s="9">
        <f t="shared" si="1"/>
        <v>60</v>
      </c>
      <c r="O204" s="542"/>
      <c r="P204" s="542"/>
      <c r="Q204" s="542"/>
      <c r="R204" s="542"/>
      <c r="S204" s="542"/>
      <c r="T204" s="542"/>
      <c r="U204" s="542"/>
      <c r="V204" s="542"/>
      <c r="W204" s="535"/>
      <c r="X204" s="535"/>
      <c r="Y204" s="535"/>
    </row>
    <row r="205" spans="1:25">
      <c r="A205" s="4" t="s">
        <v>47</v>
      </c>
      <c r="B205" s="146">
        <v>2</v>
      </c>
      <c r="C205" s="6">
        <f>B205*4</f>
        <v>8</v>
      </c>
      <c r="D205" s="7">
        <f>B205*2</f>
        <v>4</v>
      </c>
      <c r="E205" s="8"/>
      <c r="F205" s="9">
        <f t="shared" si="1"/>
        <v>48</v>
      </c>
      <c r="O205" s="542"/>
      <c r="P205" s="542"/>
      <c r="Q205" s="542"/>
      <c r="R205" s="542"/>
      <c r="S205" s="542"/>
      <c r="T205" s="542"/>
      <c r="U205" s="542"/>
      <c r="V205" s="542"/>
      <c r="W205" s="535"/>
      <c r="X205" s="535"/>
      <c r="Y205" s="535"/>
    </row>
    <row r="206" spans="1:25">
      <c r="A206" s="4" t="s">
        <v>48</v>
      </c>
      <c r="B206" s="146">
        <v>7</v>
      </c>
      <c r="C206" s="6">
        <f>B206*15</f>
        <v>105</v>
      </c>
      <c r="D206" s="7">
        <f>B206*2</f>
        <v>14</v>
      </c>
      <c r="E206" s="8">
        <f>B206*0</f>
        <v>0</v>
      </c>
      <c r="F206" s="9">
        <f t="shared" si="1"/>
        <v>476</v>
      </c>
      <c r="O206" s="542"/>
      <c r="P206" s="542"/>
      <c r="Q206" s="542"/>
      <c r="R206" s="542"/>
      <c r="S206" s="542"/>
      <c r="T206" s="542"/>
      <c r="U206" s="542"/>
      <c r="V206" s="542"/>
      <c r="W206" s="535"/>
      <c r="X206" s="535"/>
      <c r="Y206" s="535"/>
    </row>
    <row r="207" spans="1:25">
      <c r="A207" s="4" t="s">
        <v>49</v>
      </c>
      <c r="B207" s="146">
        <v>0</v>
      </c>
      <c r="C207" s="6">
        <f>B207*20</f>
        <v>0</v>
      </c>
      <c r="D207" s="7">
        <f>B207*8</f>
        <v>0</v>
      </c>
      <c r="E207" s="8">
        <f>B207*1</f>
        <v>0</v>
      </c>
      <c r="F207" s="9">
        <f t="shared" si="1"/>
        <v>0</v>
      </c>
      <c r="O207" s="542"/>
      <c r="P207" s="542"/>
      <c r="Q207" s="542"/>
      <c r="R207" s="542"/>
      <c r="S207" s="542"/>
      <c r="T207" s="542"/>
      <c r="U207" s="542"/>
      <c r="V207" s="542"/>
      <c r="W207" s="535"/>
      <c r="X207" s="535"/>
      <c r="Y207" s="535"/>
    </row>
    <row r="208" spans="1:25">
      <c r="A208" s="4" t="s">
        <v>50</v>
      </c>
      <c r="B208" s="146">
        <v>1</v>
      </c>
      <c r="C208" s="6">
        <f>B208*0</f>
        <v>0</v>
      </c>
      <c r="D208" s="7">
        <f>B208*0</f>
        <v>0</v>
      </c>
      <c r="E208" s="8">
        <f>B208*5</f>
        <v>5</v>
      </c>
      <c r="F208" s="9">
        <f t="shared" si="1"/>
        <v>45</v>
      </c>
      <c r="O208" s="542"/>
      <c r="P208" s="542"/>
      <c r="Q208" s="542"/>
      <c r="R208" s="542"/>
      <c r="S208" s="542"/>
      <c r="T208" s="542"/>
      <c r="U208" s="542"/>
      <c r="V208" s="542"/>
      <c r="W208" s="535"/>
      <c r="X208" s="535"/>
      <c r="Y208" s="535"/>
    </row>
    <row r="209" spans="1:25">
      <c r="A209" s="4" t="s">
        <v>51</v>
      </c>
      <c r="B209" s="146">
        <v>0</v>
      </c>
      <c r="C209" s="6">
        <f>B209*10</f>
        <v>0</v>
      </c>
      <c r="D209" s="7">
        <f>B209*0</f>
        <v>0</v>
      </c>
      <c r="E209" s="10">
        <f>B209*0</f>
        <v>0</v>
      </c>
      <c r="F209" s="11">
        <f t="shared" si="1"/>
        <v>0</v>
      </c>
      <c r="O209" s="542"/>
      <c r="P209" s="542"/>
      <c r="Q209" s="542"/>
      <c r="R209" s="542"/>
      <c r="S209" s="542"/>
      <c r="T209" s="542"/>
      <c r="U209" s="542"/>
      <c r="V209" s="542"/>
      <c r="W209" s="535"/>
      <c r="X209" s="535"/>
      <c r="Y209" s="535"/>
    </row>
    <row r="210" spans="1:25">
      <c r="A210" s="4"/>
      <c r="B210" s="12"/>
      <c r="C210" s="6">
        <f>SUM(C202:C209)</f>
        <v>128</v>
      </c>
      <c r="D210" s="7">
        <f>SUM(D202:D209)</f>
        <v>39</v>
      </c>
      <c r="E210" s="10">
        <f>SUM(E202:E209)</f>
        <v>17</v>
      </c>
      <c r="F210" s="11">
        <f>SUM(F202:F209)</f>
        <v>821</v>
      </c>
      <c r="O210" s="542"/>
      <c r="P210" s="542"/>
      <c r="Q210" s="542"/>
      <c r="R210" s="542"/>
      <c r="S210" s="542"/>
      <c r="T210" s="542"/>
      <c r="U210" s="542"/>
      <c r="V210" s="542"/>
      <c r="W210" s="535"/>
      <c r="X210" s="535"/>
      <c r="Y210" s="535"/>
    </row>
    <row r="211" spans="1:25">
      <c r="B211" s="1" t="s">
        <v>52</v>
      </c>
      <c r="C211" s="1" t="s">
        <v>53</v>
      </c>
      <c r="D211" s="1" t="s">
        <v>54</v>
      </c>
      <c r="O211" s="542"/>
      <c r="P211" s="542"/>
      <c r="Q211" s="542"/>
      <c r="R211" s="542"/>
      <c r="S211" s="542"/>
      <c r="T211" s="542"/>
      <c r="U211" s="542"/>
      <c r="V211" s="542"/>
      <c r="W211" s="535"/>
      <c r="X211" s="535"/>
      <c r="Y211" s="535"/>
    </row>
    <row r="212" spans="1:25">
      <c r="A212" s="13" t="s">
        <v>55</v>
      </c>
      <c r="B212" s="14">
        <f>(D212*100)/F210</f>
        <v>62.36297198538368</v>
      </c>
      <c r="C212" s="1">
        <f>C210</f>
        <v>128</v>
      </c>
      <c r="D212" s="1130">
        <f>C212*4</f>
        <v>512</v>
      </c>
      <c r="E212" s="1130"/>
      <c r="O212" s="542"/>
      <c r="P212" s="542"/>
      <c r="Q212" s="542"/>
      <c r="R212" s="542"/>
      <c r="S212" s="542"/>
      <c r="T212" s="542"/>
      <c r="U212" s="542"/>
      <c r="V212" s="542"/>
      <c r="W212" s="535"/>
      <c r="X212" s="535"/>
      <c r="Y212" s="535"/>
    </row>
    <row r="213" spans="1:25">
      <c r="A213" s="15" t="s">
        <v>29</v>
      </c>
      <c r="B213" s="16">
        <f>(D213*100)/F210</f>
        <v>19.00121802679659</v>
      </c>
      <c r="C213" s="1">
        <f>D210</f>
        <v>39</v>
      </c>
      <c r="D213" s="1130">
        <f>C213*4</f>
        <v>156</v>
      </c>
      <c r="E213" s="1130"/>
      <c r="O213" s="542"/>
      <c r="P213" s="542"/>
      <c r="Q213" s="542"/>
      <c r="R213" s="542"/>
      <c r="S213" s="542"/>
      <c r="T213" s="542"/>
      <c r="U213" s="542"/>
      <c r="V213" s="542"/>
      <c r="W213" s="535"/>
      <c r="X213" s="535"/>
      <c r="Y213" s="535"/>
    </row>
    <row r="214" spans="1:25">
      <c r="A214" s="17" t="s">
        <v>56</v>
      </c>
      <c r="B214" s="18">
        <f>(D214*100)/F210</f>
        <v>18.635809987819734</v>
      </c>
      <c r="C214" s="1">
        <f>E210</f>
        <v>17</v>
      </c>
      <c r="D214" s="1130">
        <f>C214*9</f>
        <v>153</v>
      </c>
      <c r="E214" s="1130"/>
      <c r="O214" s="542"/>
      <c r="P214" s="542"/>
      <c r="Q214" s="542"/>
      <c r="R214" s="542"/>
      <c r="S214" s="542"/>
      <c r="T214" s="542"/>
      <c r="U214" s="542"/>
      <c r="V214" s="542"/>
      <c r="W214" s="535"/>
      <c r="X214" s="535"/>
      <c r="Y214" s="535"/>
    </row>
    <row r="215" spans="1:25">
      <c r="A215" s="1131" t="s">
        <v>86</v>
      </c>
      <c r="B215" s="1131"/>
      <c r="C215" s="1131"/>
      <c r="D215" s="1131"/>
      <c r="E215" s="1131"/>
      <c r="F215" s="1131"/>
      <c r="O215" s="542"/>
      <c r="P215" s="542"/>
      <c r="Q215" s="542"/>
      <c r="R215" s="542"/>
      <c r="S215" s="542"/>
      <c r="T215" s="542"/>
      <c r="U215" s="542"/>
      <c r="V215" s="542"/>
      <c r="W215" s="535"/>
      <c r="X215" s="535"/>
      <c r="Y215" s="535"/>
    </row>
    <row r="216" spans="1:25">
      <c r="A216" s="4"/>
      <c r="B216" s="4" t="s">
        <v>39</v>
      </c>
      <c r="C216" s="53" t="s">
        <v>40</v>
      </c>
      <c r="D216" s="54" t="s">
        <v>41</v>
      </c>
      <c r="E216" s="55" t="s">
        <v>42</v>
      </c>
      <c r="F216" s="4" t="s">
        <v>43</v>
      </c>
      <c r="O216" s="542"/>
      <c r="P216" s="542"/>
      <c r="Q216" s="542"/>
      <c r="R216" s="542"/>
      <c r="S216" s="542"/>
      <c r="T216" s="542"/>
      <c r="U216" s="542"/>
      <c r="V216" s="542"/>
      <c r="W216" s="535"/>
      <c r="X216" s="535"/>
      <c r="Y216" s="535"/>
    </row>
    <row r="217" spans="1:25">
      <c r="A217" s="4" t="s">
        <v>44</v>
      </c>
      <c r="B217" s="146">
        <v>1</v>
      </c>
      <c r="C217" s="50">
        <f>B217*12</f>
        <v>12</v>
      </c>
      <c r="D217" s="51">
        <f>B217*9</f>
        <v>9</v>
      </c>
      <c r="E217" s="52">
        <f>B217*5</f>
        <v>5</v>
      </c>
      <c r="F217" s="9">
        <f t="shared" ref="F217:F224" si="2">(C217*4)+(D217*4)+(E217*9)</f>
        <v>129</v>
      </c>
      <c r="O217" s="542"/>
      <c r="P217" s="542"/>
      <c r="Q217" s="542"/>
      <c r="R217" s="542"/>
      <c r="S217" s="542"/>
      <c r="T217" s="542"/>
      <c r="U217" s="542"/>
      <c r="V217" s="542"/>
      <c r="W217" s="535"/>
      <c r="X217" s="535"/>
      <c r="Y217" s="535"/>
    </row>
    <row r="218" spans="1:25">
      <c r="A218" s="4" t="s">
        <v>45</v>
      </c>
      <c r="B218" s="146">
        <v>0</v>
      </c>
      <c r="C218" s="6">
        <v>0</v>
      </c>
      <c r="D218" s="7">
        <f>B218*7</f>
        <v>0</v>
      </c>
      <c r="E218" s="8">
        <f>B218*4</f>
        <v>0</v>
      </c>
      <c r="F218" s="9">
        <f t="shared" si="2"/>
        <v>0</v>
      </c>
      <c r="O218" s="542"/>
      <c r="P218" s="542"/>
      <c r="Q218" s="542"/>
      <c r="R218" s="542"/>
      <c r="S218" s="542"/>
      <c r="T218" s="542"/>
      <c r="U218" s="542"/>
      <c r="V218" s="542"/>
      <c r="W218" s="535"/>
      <c r="X218" s="535"/>
      <c r="Y218" s="535"/>
    </row>
    <row r="219" spans="1:25">
      <c r="A219" s="4" t="s">
        <v>46</v>
      </c>
      <c r="B219" s="146">
        <v>0</v>
      </c>
      <c r="C219" s="6">
        <f>B219*15</f>
        <v>0</v>
      </c>
      <c r="D219" s="7">
        <f>B219*0</f>
        <v>0</v>
      </c>
      <c r="E219" s="8">
        <f>B219*0</f>
        <v>0</v>
      </c>
      <c r="F219" s="9">
        <f t="shared" si="2"/>
        <v>0</v>
      </c>
      <c r="O219" s="542"/>
      <c r="P219" s="542"/>
      <c r="Q219" s="542"/>
      <c r="R219" s="542"/>
      <c r="S219" s="542"/>
      <c r="T219" s="542"/>
      <c r="U219" s="542"/>
      <c r="V219" s="542"/>
      <c r="W219" s="535"/>
      <c r="X219" s="535"/>
      <c r="Y219" s="535"/>
    </row>
    <row r="220" spans="1:25">
      <c r="A220" s="4" t="s">
        <v>47</v>
      </c>
      <c r="B220" s="146">
        <v>0</v>
      </c>
      <c r="C220" s="6">
        <f>B220*4</f>
        <v>0</v>
      </c>
      <c r="D220" s="7">
        <f>B220*2</f>
        <v>0</v>
      </c>
      <c r="E220" s="8"/>
      <c r="F220" s="9">
        <f t="shared" si="2"/>
        <v>0</v>
      </c>
      <c r="O220" s="542"/>
      <c r="P220" s="542"/>
      <c r="Q220" s="542"/>
      <c r="R220" s="542"/>
      <c r="S220" s="542"/>
      <c r="T220" s="542"/>
      <c r="U220" s="542"/>
      <c r="V220" s="542"/>
      <c r="W220" s="535"/>
      <c r="X220" s="535"/>
      <c r="Y220" s="535"/>
    </row>
    <row r="221" spans="1:25">
      <c r="A221" s="4" t="s">
        <v>48</v>
      </c>
      <c r="B221" s="146">
        <v>2</v>
      </c>
      <c r="C221" s="6">
        <f>B221*15</f>
        <v>30</v>
      </c>
      <c r="D221" s="7">
        <f>B221*2</f>
        <v>4</v>
      </c>
      <c r="E221" s="8">
        <f>B221*0</f>
        <v>0</v>
      </c>
      <c r="F221" s="9">
        <f t="shared" si="2"/>
        <v>136</v>
      </c>
      <c r="O221" s="542"/>
      <c r="P221" s="542"/>
      <c r="Q221" s="542"/>
      <c r="R221" s="542"/>
      <c r="S221" s="542"/>
      <c r="T221" s="542"/>
      <c r="U221" s="542"/>
      <c r="V221" s="542"/>
      <c r="W221" s="535"/>
      <c r="X221" s="535"/>
      <c r="Y221" s="535"/>
    </row>
    <row r="222" spans="1:25">
      <c r="A222" s="4" t="s">
        <v>49</v>
      </c>
      <c r="B222" s="146">
        <v>0</v>
      </c>
      <c r="C222" s="6">
        <f>B222*20</f>
        <v>0</v>
      </c>
      <c r="D222" s="7">
        <f>B222*8</f>
        <v>0</v>
      </c>
      <c r="E222" s="8">
        <f>B222*1</f>
        <v>0</v>
      </c>
      <c r="F222" s="9">
        <f t="shared" si="2"/>
        <v>0</v>
      </c>
      <c r="O222" s="542"/>
      <c r="P222" s="542"/>
      <c r="Q222" s="542"/>
      <c r="R222" s="542"/>
      <c r="S222" s="542"/>
      <c r="T222" s="542"/>
      <c r="U222" s="542"/>
      <c r="V222" s="542"/>
      <c r="W222" s="535"/>
      <c r="X222" s="535"/>
      <c r="Y222" s="535"/>
    </row>
    <row r="223" spans="1:25">
      <c r="A223" s="4" t="s">
        <v>50</v>
      </c>
      <c r="B223" s="146">
        <v>0</v>
      </c>
      <c r="C223" s="6">
        <f>B223*0</f>
        <v>0</v>
      </c>
      <c r="D223" s="7">
        <f>B223*0</f>
        <v>0</v>
      </c>
      <c r="E223" s="8">
        <f>B223*5</f>
        <v>0</v>
      </c>
      <c r="F223" s="9">
        <f t="shared" si="2"/>
        <v>0</v>
      </c>
      <c r="O223" s="542"/>
      <c r="P223" s="542"/>
      <c r="Q223" s="542"/>
      <c r="R223" s="542"/>
      <c r="S223" s="542"/>
      <c r="T223" s="542"/>
      <c r="U223" s="542"/>
      <c r="V223" s="542"/>
      <c r="W223" s="535"/>
      <c r="X223" s="535"/>
      <c r="Y223" s="535"/>
    </row>
    <row r="224" spans="1:25">
      <c r="A224" s="4" t="s">
        <v>51</v>
      </c>
      <c r="B224" s="146">
        <v>0</v>
      </c>
      <c r="C224" s="6">
        <f>B224*10</f>
        <v>0</v>
      </c>
      <c r="D224" s="7">
        <f>B224*0</f>
        <v>0</v>
      </c>
      <c r="E224" s="10">
        <f>B224*0</f>
        <v>0</v>
      </c>
      <c r="F224" s="11">
        <f t="shared" si="2"/>
        <v>0</v>
      </c>
      <c r="O224" s="542"/>
      <c r="P224" s="542"/>
      <c r="Q224" s="542"/>
      <c r="R224" s="542"/>
      <c r="S224" s="542"/>
      <c r="T224" s="542"/>
      <c r="U224" s="542"/>
      <c r="V224" s="542"/>
      <c r="W224" s="535"/>
      <c r="X224" s="535"/>
      <c r="Y224" s="535"/>
    </row>
    <row r="225" spans="1:25">
      <c r="A225" s="4"/>
      <c r="B225" s="12"/>
      <c r="C225" s="6">
        <f>SUM(C217:C224)</f>
        <v>42</v>
      </c>
      <c r="D225" s="7">
        <f>SUM(D217:D224)</f>
        <v>13</v>
      </c>
      <c r="E225" s="10">
        <f>SUM(E217:E224)</f>
        <v>5</v>
      </c>
      <c r="F225" s="11">
        <f>SUM(F217:F224)</f>
        <v>265</v>
      </c>
      <c r="O225" s="542"/>
      <c r="P225" s="542"/>
      <c r="Q225" s="542"/>
      <c r="R225" s="542"/>
      <c r="S225" s="542"/>
      <c r="T225" s="542"/>
      <c r="U225" s="542"/>
      <c r="V225" s="542"/>
      <c r="W225" s="535"/>
      <c r="X225" s="535"/>
      <c r="Y225" s="535"/>
    </row>
    <row r="226" spans="1:25">
      <c r="B226" s="1" t="s">
        <v>52</v>
      </c>
      <c r="C226" s="1" t="s">
        <v>53</v>
      </c>
      <c r="D226" s="1" t="s">
        <v>54</v>
      </c>
      <c r="O226" s="542"/>
      <c r="P226" s="542"/>
      <c r="Q226" s="542"/>
      <c r="R226" s="542"/>
      <c r="S226" s="542"/>
      <c r="T226" s="542"/>
      <c r="U226" s="542"/>
      <c r="V226" s="542"/>
      <c r="W226" s="535"/>
      <c r="X226" s="535"/>
      <c r="Y226" s="535"/>
    </row>
    <row r="227" spans="1:25">
      <c r="A227" s="13" t="s">
        <v>55</v>
      </c>
      <c r="B227" s="14">
        <f>(D227*100)/F225</f>
        <v>63.39622641509434</v>
      </c>
      <c r="C227" s="1">
        <f>C225</f>
        <v>42</v>
      </c>
      <c r="D227" s="1130">
        <f>C227*4</f>
        <v>168</v>
      </c>
      <c r="E227" s="1130"/>
      <c r="O227" s="542"/>
      <c r="P227" s="542"/>
      <c r="Q227" s="542"/>
      <c r="R227" s="542"/>
      <c r="S227" s="542"/>
      <c r="T227" s="542"/>
      <c r="U227" s="542"/>
      <c r="V227" s="542"/>
      <c r="W227" s="535"/>
      <c r="X227" s="535"/>
      <c r="Y227" s="535"/>
    </row>
    <row r="228" spans="1:25">
      <c r="A228" s="15" t="s">
        <v>29</v>
      </c>
      <c r="B228" s="16">
        <f>(D228*100)/F225</f>
        <v>19.622641509433961</v>
      </c>
      <c r="C228" s="1">
        <f>D225</f>
        <v>13</v>
      </c>
      <c r="D228" s="1130">
        <f>C228*4</f>
        <v>52</v>
      </c>
      <c r="E228" s="1130"/>
      <c r="O228" s="542"/>
      <c r="P228" s="542"/>
      <c r="Q228" s="542"/>
      <c r="R228" s="542"/>
      <c r="S228" s="542"/>
      <c r="T228" s="542"/>
      <c r="U228" s="542"/>
      <c r="V228" s="542"/>
      <c r="W228" s="535"/>
      <c r="X228" s="535"/>
      <c r="Y228" s="535"/>
    </row>
    <row r="229" spans="1:25">
      <c r="A229" s="17" t="s">
        <v>56</v>
      </c>
      <c r="B229" s="18">
        <f>(D229*100)/F225</f>
        <v>16.981132075471699</v>
      </c>
      <c r="C229" s="1">
        <f>E225</f>
        <v>5</v>
      </c>
      <c r="D229" s="1130">
        <f>C229*9</f>
        <v>45</v>
      </c>
      <c r="E229" s="1130"/>
      <c r="O229" s="542"/>
      <c r="P229" s="542"/>
      <c r="Q229" s="542"/>
      <c r="R229" s="542"/>
      <c r="S229" s="542"/>
      <c r="T229" s="542"/>
      <c r="U229" s="542"/>
      <c r="V229" s="542"/>
      <c r="W229" s="535"/>
      <c r="X229" s="535"/>
      <c r="Y229" s="535"/>
    </row>
    <row r="230" spans="1:25">
      <c r="O230" s="542"/>
      <c r="P230" s="542"/>
      <c r="Q230" s="542"/>
      <c r="R230" s="542"/>
      <c r="S230" s="542"/>
      <c r="T230" s="542"/>
      <c r="U230" s="542"/>
      <c r="V230" s="542"/>
      <c r="W230" s="535"/>
      <c r="X230" s="535"/>
      <c r="Y230" s="535"/>
    </row>
    <row r="231" spans="1:25">
      <c r="A231" s="1131" t="s">
        <v>207</v>
      </c>
      <c r="B231" s="1131"/>
      <c r="C231" s="1131"/>
      <c r="D231" s="1131"/>
      <c r="E231" s="1131"/>
      <c r="F231" s="1131"/>
      <c r="O231" s="542"/>
      <c r="P231" s="542"/>
      <c r="Q231" s="542"/>
      <c r="R231" s="542"/>
      <c r="S231" s="542"/>
      <c r="T231" s="542"/>
      <c r="U231" s="542"/>
      <c r="V231" s="542"/>
      <c r="W231" s="535"/>
      <c r="X231" s="535"/>
      <c r="Y231" s="535"/>
    </row>
    <row r="232" spans="1:25">
      <c r="A232" s="4"/>
      <c r="B232" s="4" t="s">
        <v>39</v>
      </c>
      <c r="C232" s="53" t="s">
        <v>40</v>
      </c>
      <c r="D232" s="54" t="s">
        <v>41</v>
      </c>
      <c r="E232" s="55" t="s">
        <v>42</v>
      </c>
      <c r="F232" s="4" t="s">
        <v>43</v>
      </c>
      <c r="O232" s="542"/>
      <c r="P232" s="542"/>
      <c r="Q232" s="542"/>
      <c r="R232" s="542"/>
      <c r="S232" s="542"/>
      <c r="T232" s="542"/>
      <c r="U232" s="542"/>
      <c r="V232" s="542"/>
      <c r="W232" s="535"/>
      <c r="X232" s="535"/>
      <c r="Y232" s="535"/>
    </row>
    <row r="233" spans="1:25">
      <c r="A233" s="4" t="s">
        <v>44</v>
      </c>
      <c r="B233" s="39">
        <f t="shared" ref="B233:B240" si="3">B187+B202+B217</f>
        <v>2</v>
      </c>
      <c r="C233" s="50">
        <f>B233*12</f>
        <v>24</v>
      </c>
      <c r="D233" s="51">
        <f>B233*9</f>
        <v>18</v>
      </c>
      <c r="E233" s="52">
        <f>B233*5</f>
        <v>10</v>
      </c>
      <c r="F233" s="9">
        <f t="shared" ref="F233:F240" si="4">(C233*4)+(D233*4)+(E233*9)</f>
        <v>258</v>
      </c>
      <c r="O233" s="542"/>
      <c r="P233" s="542"/>
      <c r="Q233" s="542"/>
      <c r="R233" s="542"/>
      <c r="S233" s="542"/>
      <c r="T233" s="542"/>
      <c r="U233" s="542"/>
      <c r="V233" s="542"/>
      <c r="W233" s="535"/>
      <c r="X233" s="535"/>
      <c r="Y233" s="535"/>
    </row>
    <row r="234" spans="1:25">
      <c r="A234" s="4" t="s">
        <v>45</v>
      </c>
      <c r="B234" s="39">
        <f t="shared" si="3"/>
        <v>3</v>
      </c>
      <c r="C234" s="6">
        <v>0</v>
      </c>
      <c r="D234" s="7">
        <f>B234*7</f>
        <v>21</v>
      </c>
      <c r="E234" s="8">
        <f>B234*4</f>
        <v>12</v>
      </c>
      <c r="F234" s="9">
        <f t="shared" si="4"/>
        <v>192</v>
      </c>
      <c r="O234" s="542"/>
      <c r="P234" s="542"/>
      <c r="Q234" s="542"/>
      <c r="R234" s="542"/>
      <c r="S234" s="542"/>
      <c r="T234" s="542"/>
      <c r="U234" s="542"/>
      <c r="V234" s="542"/>
      <c r="W234" s="535"/>
      <c r="X234" s="535"/>
      <c r="Y234" s="535"/>
    </row>
    <row r="235" spans="1:25">
      <c r="A235" s="4" t="s">
        <v>46</v>
      </c>
      <c r="B235" s="39">
        <f t="shared" si="3"/>
        <v>1</v>
      </c>
      <c r="C235" s="6">
        <f>B235*15</f>
        <v>15</v>
      </c>
      <c r="D235" s="7">
        <f>B235*0</f>
        <v>0</v>
      </c>
      <c r="E235" s="8">
        <f>B235*0</f>
        <v>0</v>
      </c>
      <c r="F235" s="9">
        <f t="shared" si="4"/>
        <v>60</v>
      </c>
      <c r="O235" s="542"/>
      <c r="P235" s="542"/>
      <c r="Q235" s="542"/>
      <c r="R235" s="542"/>
      <c r="S235" s="542"/>
      <c r="T235" s="542"/>
      <c r="U235" s="542"/>
      <c r="V235" s="542"/>
      <c r="W235" s="535"/>
      <c r="X235" s="535"/>
      <c r="Y235" s="535"/>
    </row>
    <row r="236" spans="1:25">
      <c r="A236" s="4" t="s">
        <v>47</v>
      </c>
      <c r="B236" s="39">
        <f t="shared" si="3"/>
        <v>3</v>
      </c>
      <c r="C236" s="6">
        <f>B236*4</f>
        <v>12</v>
      </c>
      <c r="D236" s="7">
        <f>B236*2</f>
        <v>6</v>
      </c>
      <c r="E236" s="8"/>
      <c r="F236" s="9">
        <f t="shared" si="4"/>
        <v>72</v>
      </c>
      <c r="O236" s="542"/>
      <c r="P236" s="542"/>
      <c r="Q236" s="542"/>
      <c r="R236" s="542"/>
      <c r="S236" s="542"/>
      <c r="T236" s="542"/>
      <c r="U236" s="542"/>
      <c r="V236" s="542"/>
      <c r="W236" s="535"/>
      <c r="X236" s="535"/>
      <c r="Y236" s="535"/>
    </row>
    <row r="237" spans="1:25">
      <c r="A237" s="4" t="s">
        <v>48</v>
      </c>
      <c r="B237" s="39">
        <f t="shared" si="3"/>
        <v>17</v>
      </c>
      <c r="C237" s="6">
        <f>B237*15</f>
        <v>255</v>
      </c>
      <c r="D237" s="7">
        <f>B237*2</f>
        <v>34</v>
      </c>
      <c r="E237" s="8">
        <f>B237*0</f>
        <v>0</v>
      </c>
      <c r="F237" s="9">
        <f t="shared" si="4"/>
        <v>1156</v>
      </c>
      <c r="O237" s="542"/>
      <c r="P237" s="542"/>
      <c r="Q237" s="542"/>
      <c r="R237" s="542"/>
      <c r="S237" s="542"/>
      <c r="T237" s="542"/>
      <c r="U237" s="542"/>
      <c r="V237" s="542"/>
      <c r="W237" s="535"/>
      <c r="X237" s="535"/>
      <c r="Y237" s="535"/>
    </row>
    <row r="238" spans="1:25">
      <c r="A238" s="4" t="s">
        <v>49</v>
      </c>
      <c r="B238" s="39">
        <f t="shared" si="3"/>
        <v>0</v>
      </c>
      <c r="C238" s="6">
        <f>B238*20</f>
        <v>0</v>
      </c>
      <c r="D238" s="7">
        <f>B238*8</f>
        <v>0</v>
      </c>
      <c r="E238" s="8">
        <f>B238*1</f>
        <v>0</v>
      </c>
      <c r="F238" s="9">
        <f t="shared" si="4"/>
        <v>0</v>
      </c>
      <c r="O238" s="542"/>
      <c r="P238" s="542"/>
      <c r="Q238" s="542"/>
      <c r="R238" s="542" t="s">
        <v>558</v>
      </c>
      <c r="S238" s="542"/>
      <c r="T238" s="542"/>
      <c r="U238" s="542"/>
      <c r="V238" s="542"/>
      <c r="W238" s="535"/>
      <c r="X238" s="535"/>
      <c r="Y238" s="535"/>
    </row>
    <row r="239" spans="1:25">
      <c r="A239" s="4" t="s">
        <v>50</v>
      </c>
      <c r="B239" s="39">
        <f t="shared" si="3"/>
        <v>2</v>
      </c>
      <c r="C239" s="6">
        <f>B239*0</f>
        <v>0</v>
      </c>
      <c r="D239" s="7">
        <f>B239*0</f>
        <v>0</v>
      </c>
      <c r="E239" s="8">
        <f>B239*5</f>
        <v>10</v>
      </c>
      <c r="F239" s="9">
        <f t="shared" si="4"/>
        <v>90</v>
      </c>
      <c r="O239" s="542"/>
      <c r="P239" s="580" t="s">
        <v>561</v>
      </c>
      <c r="Q239" s="580"/>
      <c r="R239" s="580"/>
      <c r="S239" s="580"/>
      <c r="T239" s="542"/>
      <c r="U239" s="542"/>
      <c r="V239" s="542"/>
      <c r="W239" s="535"/>
      <c r="X239" s="535"/>
      <c r="Y239" s="535"/>
    </row>
    <row r="240" spans="1:25">
      <c r="A240" s="4" t="s">
        <v>51</v>
      </c>
      <c r="B240" s="39">
        <f t="shared" si="3"/>
        <v>4</v>
      </c>
      <c r="C240" s="6">
        <f>B240*10</f>
        <v>40</v>
      </c>
      <c r="D240" s="7">
        <f>B240*0</f>
        <v>0</v>
      </c>
      <c r="E240" s="10">
        <f>B240*0</f>
        <v>0</v>
      </c>
      <c r="F240" s="11">
        <f t="shared" si="4"/>
        <v>160</v>
      </c>
      <c r="O240" s="542"/>
      <c r="P240" s="580" t="s">
        <v>562</v>
      </c>
      <c r="Q240" s="580"/>
      <c r="R240" s="580"/>
      <c r="S240" s="580"/>
      <c r="T240" s="542"/>
      <c r="U240" s="542"/>
      <c r="V240" s="542"/>
      <c r="W240" s="535"/>
      <c r="X240" s="535"/>
      <c r="Y240" s="535"/>
    </row>
    <row r="241" spans="1:25">
      <c r="A241" s="4"/>
      <c r="B241" s="12"/>
      <c r="C241" s="6">
        <f>SUM(C233:C240)</f>
        <v>346</v>
      </c>
      <c r="D241" s="7">
        <f>SUM(D233:D240)</f>
        <v>79</v>
      </c>
      <c r="E241" s="10">
        <f>SUM(E233:E240)</f>
        <v>32</v>
      </c>
      <c r="F241" s="11">
        <f>SUM(F233:F240)</f>
        <v>1988</v>
      </c>
      <c r="H241" s="534"/>
      <c r="I241" s="534"/>
      <c r="J241" s="534"/>
      <c r="K241" s="534"/>
      <c r="L241" s="534"/>
      <c r="M241" s="534"/>
      <c r="N241" s="534"/>
      <c r="O241" s="542"/>
      <c r="P241" s="580" t="s">
        <v>560</v>
      </c>
      <c r="Q241" s="580"/>
      <c r="R241" s="580"/>
      <c r="S241" s="580"/>
      <c r="T241" s="542"/>
      <c r="U241" s="542"/>
      <c r="V241" s="542"/>
      <c r="W241" s="535"/>
      <c r="X241" s="535"/>
      <c r="Y241" s="535"/>
    </row>
    <row r="242" spans="1:25" ht="15.75" thickBot="1">
      <c r="B242" s="1" t="s">
        <v>52</v>
      </c>
      <c r="C242" s="4" t="s">
        <v>53</v>
      </c>
      <c r="D242" s="75" t="s">
        <v>54</v>
      </c>
      <c r="E242" s="75"/>
      <c r="H242" s="84"/>
      <c r="I242" s="84"/>
      <c r="J242" s="84"/>
      <c r="K242" s="84"/>
      <c r="L242" s="84"/>
      <c r="M242" s="84"/>
      <c r="N242" s="84"/>
      <c r="O242" s="542"/>
      <c r="P242" s="580" t="s">
        <v>563</v>
      </c>
      <c r="Q242" s="580"/>
      <c r="R242" s="580"/>
      <c r="S242" s="580"/>
      <c r="T242" s="542"/>
      <c r="U242" s="542"/>
      <c r="V242" s="542"/>
      <c r="W242" s="535"/>
      <c r="X242" s="535"/>
      <c r="Y242" s="535"/>
    </row>
    <row r="243" spans="1:25" ht="15.75" thickBot="1">
      <c r="A243" s="13" t="s">
        <v>55</v>
      </c>
      <c r="B243" s="14">
        <v>54</v>
      </c>
      <c r="C243" s="4">
        <f>C241</f>
        <v>346</v>
      </c>
      <c r="D243" s="74">
        <f>C243*4</f>
        <v>1384</v>
      </c>
      <c r="E243" s="73"/>
      <c r="H243" s="581" t="s">
        <v>559</v>
      </c>
      <c r="I243" s="1132" t="s">
        <v>561</v>
      </c>
      <c r="J243" s="1133"/>
      <c r="K243" s="1133"/>
      <c r="L243" s="1133"/>
      <c r="M243" s="1294"/>
      <c r="N243" s="534"/>
      <c r="O243" s="542"/>
      <c r="P243" s="580" t="s">
        <v>564</v>
      </c>
      <c r="Q243" s="580"/>
      <c r="R243" s="580"/>
      <c r="S243" s="580"/>
      <c r="T243" s="542"/>
      <c r="U243" s="542"/>
      <c r="V243" s="542"/>
      <c r="W243" s="535"/>
      <c r="X243" s="535"/>
      <c r="Y243" s="535"/>
    </row>
    <row r="244" spans="1:25">
      <c r="A244" s="15" t="s">
        <v>29</v>
      </c>
      <c r="B244" s="16">
        <v>18</v>
      </c>
      <c r="C244" s="4">
        <f>D241</f>
        <v>79</v>
      </c>
      <c r="D244" s="74">
        <f>C244*4</f>
        <v>316</v>
      </c>
      <c r="E244" s="73"/>
      <c r="H244" s="84"/>
      <c r="I244" s="84"/>
      <c r="J244" s="84"/>
      <c r="K244" s="84"/>
      <c r="L244" s="84"/>
      <c r="M244" s="84"/>
      <c r="N244" s="84"/>
      <c r="O244" s="542"/>
      <c r="P244" s="1126"/>
      <c r="Q244" s="1126"/>
      <c r="R244" s="1126"/>
      <c r="S244" s="1126"/>
      <c r="T244" s="542"/>
      <c r="U244" s="542"/>
      <c r="V244" s="542"/>
      <c r="W244" s="535"/>
      <c r="X244" s="535"/>
      <c r="Y244" s="535"/>
    </row>
    <row r="245" spans="1:25">
      <c r="A245" s="17" t="s">
        <v>56</v>
      </c>
      <c r="B245" s="18">
        <v>28</v>
      </c>
      <c r="C245" s="4">
        <f>E241</f>
        <v>32</v>
      </c>
      <c r="D245" s="74">
        <f>C245*9</f>
        <v>288</v>
      </c>
      <c r="E245" s="73"/>
      <c r="H245" s="84"/>
      <c r="I245" s="84"/>
      <c r="J245" s="84"/>
      <c r="K245" s="84"/>
      <c r="L245" s="84"/>
      <c r="M245" s="84"/>
      <c r="N245" s="84"/>
      <c r="O245" s="542"/>
      <c r="P245" s="1126"/>
      <c r="Q245" s="1126"/>
      <c r="R245" s="1126"/>
      <c r="S245" s="1126"/>
      <c r="T245" s="542"/>
      <c r="U245" s="542"/>
      <c r="V245" s="542"/>
      <c r="W245" s="535"/>
      <c r="X245" s="535"/>
      <c r="Y245" s="535"/>
    </row>
    <row r="246" spans="1:25" ht="15.75" thickBot="1">
      <c r="B246" s="76">
        <f>SUM(B243:B245)</f>
        <v>100</v>
      </c>
      <c r="C246" s="77"/>
      <c r="D246" s="76">
        <f>SUM(D243:D245)</f>
        <v>1988</v>
      </c>
      <c r="H246" s="84"/>
      <c r="I246" s="84"/>
      <c r="J246" s="84"/>
      <c r="K246" s="84"/>
      <c r="L246" s="84"/>
      <c r="M246" s="84"/>
      <c r="N246" s="84"/>
      <c r="O246" s="542"/>
      <c r="P246" s="1126"/>
      <c r="Q246" s="1126"/>
      <c r="R246" s="1126"/>
      <c r="S246" s="1126"/>
      <c r="T246" s="542"/>
      <c r="U246" s="542"/>
      <c r="V246" s="542"/>
      <c r="W246" s="535"/>
      <c r="X246" s="535"/>
      <c r="Y246" s="535"/>
    </row>
    <row r="247" spans="1:25" ht="15.75" thickBot="1">
      <c r="A247" s="1127" t="s">
        <v>304</v>
      </c>
      <c r="B247" s="1286"/>
      <c r="C247" s="82"/>
      <c r="D247" s="1284" t="s">
        <v>321</v>
      </c>
      <c r="E247" s="1285"/>
      <c r="F247" s="499"/>
      <c r="G247" s="1284" t="s">
        <v>554</v>
      </c>
      <c r="H247" s="1285"/>
      <c r="J247" s="1284" t="s">
        <v>546</v>
      </c>
      <c r="K247" s="1285"/>
      <c r="M247" s="1284" t="s">
        <v>545</v>
      </c>
      <c r="N247" s="1285"/>
      <c r="O247" s="542"/>
      <c r="P247" s="542"/>
      <c r="Q247" s="542"/>
      <c r="R247" s="542"/>
      <c r="S247" s="542"/>
      <c r="T247" s="542"/>
      <c r="U247" s="542"/>
      <c r="V247" s="542"/>
      <c r="W247" s="535"/>
      <c r="X247" s="535"/>
      <c r="Y247" s="535"/>
    </row>
    <row r="248" spans="1:25" ht="15.75" thickBot="1">
      <c r="A248" s="596" t="s">
        <v>57</v>
      </c>
      <c r="B248" s="603">
        <f>IF(D9&lt;=3,(60.9*D12)-54,IF(D9&lt;=10,(22.7*D12)+495,IF(D9&lt;=18,(17.5*D12)+651,IF(D9&lt;=30,(15.3*D12)+679,IF(D9&lt;=60,(11.6*D12)+879,IF(D9&gt;60,(13.5*D12)+487))))))</f>
        <v>1286.8128999999999</v>
      </c>
      <c r="C248" s="215">
        <f>B248*1.1</f>
        <v>1415.4941900000001</v>
      </c>
      <c r="D248" s="596" t="s">
        <v>57</v>
      </c>
      <c r="E248" s="596">
        <f>66.5+(13.75*D12)+(5.003*G17)-(6.78*D9)</f>
        <v>1237.02225</v>
      </c>
      <c r="F248" s="540"/>
      <c r="G248" s="596" t="s">
        <v>57</v>
      </c>
      <c r="H248" s="596">
        <f>879+(10.2*D12)</f>
        <v>1483.3030799999999</v>
      </c>
      <c r="I248" s="215"/>
      <c r="J248" s="596" t="s">
        <v>57</v>
      </c>
      <c r="K248" s="596">
        <f>IF(D9&lt;=30,(13.37*D12)+747,IF(D9&lt;=60,(13.08*D12)+693,IF(D9&gt;=61,(14.21*D12)+429)))</f>
        <v>1270.8771339999998</v>
      </c>
      <c r="L248" s="215"/>
      <c r="M248" s="596" t="s">
        <v>57</v>
      </c>
      <c r="N248" s="597">
        <f>(9.99*D12)+(6.25*G17)-(4.92*D9)+ 5</f>
        <v>1289.961546</v>
      </c>
      <c r="O248" s="542"/>
      <c r="P248" s="542">
        <v>1.3</v>
      </c>
      <c r="Q248" s="542"/>
      <c r="R248" s="542"/>
      <c r="S248" s="542"/>
      <c r="T248" s="542"/>
      <c r="U248" s="542"/>
      <c r="V248" s="542"/>
      <c r="W248" s="535"/>
      <c r="X248" s="535"/>
      <c r="Y248" s="535"/>
    </row>
    <row r="249" spans="1:25" ht="15.75" thickBot="1">
      <c r="A249" s="582" t="s">
        <v>297</v>
      </c>
      <c r="B249" s="583" t="str">
        <f>LEFT(I243,3)</f>
        <v>1.2</v>
      </c>
      <c r="D249" s="83" t="s">
        <v>297</v>
      </c>
      <c r="E249" s="577" t="str">
        <f>LEFT(I243,3)</f>
        <v>1.2</v>
      </c>
      <c r="F249" s="85"/>
      <c r="G249" s="582" t="s">
        <v>297</v>
      </c>
      <c r="H249" s="584" t="str">
        <f>LEFT(I243,3)</f>
        <v>1.2</v>
      </c>
      <c r="J249" s="582" t="s">
        <v>297</v>
      </c>
      <c r="K249" s="584" t="str">
        <f>LEFT(I243,3)</f>
        <v>1.2</v>
      </c>
      <c r="M249" s="582" t="s">
        <v>297</v>
      </c>
      <c r="N249" s="584" t="str">
        <f>LEFT(I243,3)</f>
        <v>1.2</v>
      </c>
      <c r="O249" s="542"/>
      <c r="P249" s="542">
        <v>1.35</v>
      </c>
      <c r="Q249" s="542"/>
      <c r="R249" s="542"/>
      <c r="S249" s="542"/>
      <c r="T249" s="542"/>
      <c r="U249" s="542"/>
      <c r="V249" s="542"/>
      <c r="W249" s="535"/>
      <c r="X249" s="535"/>
      <c r="Y249" s="535"/>
    </row>
    <row r="250" spans="1:25">
      <c r="A250" s="533" t="s">
        <v>58</v>
      </c>
      <c r="B250" s="595">
        <f>(B248*1.1)*B249</f>
        <v>1698.593028</v>
      </c>
      <c r="D250" s="533" t="s">
        <v>58</v>
      </c>
      <c r="E250" s="585">
        <f>(E248*1.1)*E249</f>
        <v>1632.8693699999999</v>
      </c>
      <c r="F250" s="85"/>
      <c r="G250" s="533" t="s">
        <v>58</v>
      </c>
      <c r="H250" s="585">
        <f>(H248*1.1)*H249</f>
        <v>1957.9600655999998</v>
      </c>
      <c r="J250" s="533" t="s">
        <v>58</v>
      </c>
      <c r="K250" s="585">
        <f>(K248*1.1)*K249</f>
        <v>1677.5578168799998</v>
      </c>
      <c r="M250" s="533" t="s">
        <v>58</v>
      </c>
      <c r="N250" s="586">
        <f>(N248*1.1)*N249</f>
        <v>1702.7492407200002</v>
      </c>
      <c r="O250" s="542"/>
      <c r="P250" s="542">
        <v>1.6</v>
      </c>
      <c r="Q250" s="542">
        <v>1.45</v>
      </c>
      <c r="R250" s="542"/>
      <c r="S250" s="542"/>
      <c r="T250" s="542"/>
      <c r="U250" s="542"/>
      <c r="V250" s="542"/>
    </row>
    <row r="251" spans="1:25">
      <c r="A251" s="19"/>
      <c r="B251" s="519" t="s">
        <v>38</v>
      </c>
      <c r="C251" s="19"/>
      <c r="D251" s="19"/>
      <c r="E251" s="19"/>
      <c r="F251" s="19"/>
      <c r="O251" s="542"/>
      <c r="P251" s="542">
        <v>2.1</v>
      </c>
      <c r="Q251" s="542"/>
      <c r="R251" s="542"/>
      <c r="S251" s="542"/>
      <c r="T251" s="542"/>
      <c r="U251" s="542"/>
      <c r="V251" s="542"/>
    </row>
    <row r="252" spans="1:25" ht="45">
      <c r="A252" s="20"/>
      <c r="B252" s="21"/>
      <c r="C252" s="21" t="s">
        <v>60</v>
      </c>
      <c r="D252" s="21" t="s">
        <v>41</v>
      </c>
      <c r="E252" s="21" t="s">
        <v>42</v>
      </c>
      <c r="F252" s="21" t="s">
        <v>43</v>
      </c>
      <c r="G252" s="21" t="s">
        <v>59</v>
      </c>
      <c r="H252" s="21" t="s">
        <v>61</v>
      </c>
      <c r="I252" s="21" t="s">
        <v>62</v>
      </c>
      <c r="J252" s="21" t="s">
        <v>63</v>
      </c>
      <c r="K252" s="21" t="s">
        <v>64</v>
      </c>
      <c r="L252" s="21" t="s">
        <v>65</v>
      </c>
      <c r="O252" s="542"/>
      <c r="P252" s="542"/>
      <c r="Q252" s="542"/>
      <c r="R252" s="542"/>
      <c r="S252" s="542"/>
      <c r="T252" s="542"/>
      <c r="U252" s="542"/>
      <c r="V252" s="542"/>
    </row>
    <row r="253" spans="1:25" ht="21">
      <c r="A253" s="19" t="s">
        <v>44</v>
      </c>
      <c r="B253" s="147">
        <v>1</v>
      </c>
      <c r="C253" s="22">
        <f>B253*12</f>
        <v>12</v>
      </c>
      <c r="D253" s="27">
        <f>B253*9</f>
        <v>9</v>
      </c>
      <c r="E253" s="23">
        <f>B253*5</f>
        <v>5</v>
      </c>
      <c r="F253" s="150">
        <f t="shared" ref="F253:F260" si="5">(C253*4)+(D253*4)+(E253*9)</f>
        <v>129</v>
      </c>
      <c r="G253" s="592">
        <f t="shared" ref="G253:G260" si="6">B253</f>
        <v>1</v>
      </c>
      <c r="H253" s="148">
        <v>0.5</v>
      </c>
      <c r="I253" s="148">
        <v>0</v>
      </c>
      <c r="J253" s="148">
        <v>0</v>
      </c>
      <c r="K253" s="148">
        <v>0</v>
      </c>
      <c r="L253" s="513">
        <v>0.5</v>
      </c>
      <c r="M253" s="593">
        <f t="shared" ref="M253:M262" si="7">SUM(H253:L253)</f>
        <v>1</v>
      </c>
      <c r="N253" s="40" t="str">
        <f>IF(M253&lt;G253, "te falta ",IF(M253=G253,"muy bien",IF(M253&gt;G253,"te pasaste")))</f>
        <v>muy bien</v>
      </c>
      <c r="O253" s="542"/>
      <c r="P253" s="542"/>
      <c r="Q253" s="542"/>
      <c r="R253" s="542"/>
      <c r="S253" s="542"/>
      <c r="T253" s="542"/>
      <c r="U253" s="542"/>
      <c r="V253" s="542"/>
    </row>
    <row r="254" spans="1:25" ht="21">
      <c r="A254" s="19" t="s">
        <v>45</v>
      </c>
      <c r="B254" s="147">
        <v>6</v>
      </c>
      <c r="C254" s="22">
        <v>0</v>
      </c>
      <c r="D254" s="27">
        <f>B254*7</f>
        <v>42</v>
      </c>
      <c r="E254" s="23">
        <f>B254*4</f>
        <v>24</v>
      </c>
      <c r="F254" s="150">
        <f t="shared" si="5"/>
        <v>384</v>
      </c>
      <c r="G254" s="592">
        <f t="shared" si="6"/>
        <v>6</v>
      </c>
      <c r="H254" s="148">
        <v>2</v>
      </c>
      <c r="I254" s="148">
        <v>0</v>
      </c>
      <c r="J254" s="148">
        <v>2</v>
      </c>
      <c r="K254" s="148">
        <v>0</v>
      </c>
      <c r="L254" s="148">
        <v>2</v>
      </c>
      <c r="M254" s="593">
        <f t="shared" si="7"/>
        <v>6</v>
      </c>
      <c r="N254" s="40" t="str">
        <f t="shared" ref="N254:N260" si="8">IF(M254&lt;G254, "te falta",IF(M254=G254,"muy bien",IF(M254&gt;G254,"te pasaste")))</f>
        <v>muy bien</v>
      </c>
      <c r="O254" s="542"/>
      <c r="P254" s="542"/>
      <c r="Q254" s="542"/>
      <c r="R254" s="542"/>
      <c r="S254" s="542"/>
      <c r="T254" s="542"/>
      <c r="U254" s="542"/>
      <c r="V254" s="542"/>
    </row>
    <row r="255" spans="1:25" ht="21">
      <c r="A255" s="19" t="s">
        <v>46</v>
      </c>
      <c r="B255" s="147">
        <v>5</v>
      </c>
      <c r="C255" s="22">
        <f>B255*15</f>
        <v>75</v>
      </c>
      <c r="D255" s="27">
        <f>B255*0</f>
        <v>0</v>
      </c>
      <c r="E255" s="23">
        <f>B255*0</f>
        <v>0</v>
      </c>
      <c r="F255" s="150">
        <f t="shared" si="5"/>
        <v>300</v>
      </c>
      <c r="G255" s="592">
        <f t="shared" si="6"/>
        <v>5</v>
      </c>
      <c r="H255" s="148">
        <v>1</v>
      </c>
      <c r="I255" s="148">
        <v>1</v>
      </c>
      <c r="J255" s="148">
        <v>1</v>
      </c>
      <c r="K255" s="148">
        <v>1</v>
      </c>
      <c r="L255" s="148">
        <v>1</v>
      </c>
      <c r="M255" s="593">
        <f>SUM(H255:L255)</f>
        <v>5</v>
      </c>
      <c r="N255" s="40" t="str">
        <f t="shared" si="8"/>
        <v>muy bien</v>
      </c>
      <c r="O255" s="542"/>
      <c r="P255" s="542"/>
      <c r="Q255" s="542"/>
      <c r="R255" s="542"/>
      <c r="S255" s="542"/>
      <c r="T255" s="542"/>
      <c r="U255" s="542"/>
      <c r="V255" s="542"/>
    </row>
    <row r="256" spans="1:25" ht="21">
      <c r="A256" s="19" t="s">
        <v>47</v>
      </c>
      <c r="B256" s="147">
        <v>8</v>
      </c>
      <c r="C256" s="22">
        <f>B256*4</f>
        <v>32</v>
      </c>
      <c r="D256" s="27">
        <f>B256*2</f>
        <v>16</v>
      </c>
      <c r="E256" s="23"/>
      <c r="F256" s="150">
        <f t="shared" si="5"/>
        <v>192</v>
      </c>
      <c r="G256" s="592">
        <f t="shared" si="6"/>
        <v>8</v>
      </c>
      <c r="H256" s="148">
        <v>2</v>
      </c>
      <c r="I256" s="148">
        <v>1</v>
      </c>
      <c r="J256" s="148">
        <v>2</v>
      </c>
      <c r="K256" s="148">
        <v>1</v>
      </c>
      <c r="L256" s="148">
        <v>2</v>
      </c>
      <c r="M256" s="593">
        <f t="shared" si="7"/>
        <v>8</v>
      </c>
      <c r="N256" s="40" t="str">
        <f t="shared" si="8"/>
        <v>muy bien</v>
      </c>
      <c r="O256" s="542"/>
      <c r="P256" s="542"/>
      <c r="Q256" s="542"/>
      <c r="R256" s="542"/>
      <c r="S256" s="542"/>
      <c r="T256" s="542"/>
      <c r="U256" s="542"/>
      <c r="V256" s="542"/>
    </row>
    <row r="257" spans="1:22" ht="21">
      <c r="A257" s="19" t="s">
        <v>48</v>
      </c>
      <c r="B257" s="147">
        <v>8</v>
      </c>
      <c r="C257" s="22">
        <f>B257*15</f>
        <v>120</v>
      </c>
      <c r="D257" s="27">
        <f>B257*2</f>
        <v>16</v>
      </c>
      <c r="E257" s="23">
        <f>B257*0</f>
        <v>0</v>
      </c>
      <c r="F257" s="150">
        <f t="shared" si="5"/>
        <v>544</v>
      </c>
      <c r="G257" s="592">
        <f t="shared" si="6"/>
        <v>8</v>
      </c>
      <c r="H257" s="148">
        <v>2</v>
      </c>
      <c r="I257" s="148">
        <v>1</v>
      </c>
      <c r="J257" s="148">
        <v>3</v>
      </c>
      <c r="K257" s="148">
        <v>1</v>
      </c>
      <c r="L257" s="148">
        <v>1</v>
      </c>
      <c r="M257" s="593">
        <f t="shared" si="7"/>
        <v>8</v>
      </c>
      <c r="N257" s="40" t="str">
        <f t="shared" si="8"/>
        <v>muy bien</v>
      </c>
      <c r="O257" s="542"/>
      <c r="P257" s="542"/>
      <c r="Q257" s="542"/>
      <c r="R257" s="542"/>
      <c r="S257" s="542"/>
      <c r="T257" s="542"/>
      <c r="U257" s="542"/>
      <c r="V257" s="542"/>
    </row>
    <row r="258" spans="1:22" ht="21">
      <c r="A258" s="19" t="s">
        <v>66</v>
      </c>
      <c r="B258" s="147">
        <v>0</v>
      </c>
      <c r="C258" s="22">
        <f>B258*20</f>
        <v>0</v>
      </c>
      <c r="D258" s="27">
        <f>B258*8</f>
        <v>0</v>
      </c>
      <c r="E258" s="23">
        <f>B258*1</f>
        <v>0</v>
      </c>
      <c r="F258" s="150">
        <f t="shared" si="5"/>
        <v>0</v>
      </c>
      <c r="G258" s="592">
        <f t="shared" si="6"/>
        <v>0</v>
      </c>
      <c r="H258" s="148">
        <v>0</v>
      </c>
      <c r="I258" s="148">
        <v>0</v>
      </c>
      <c r="J258" s="148">
        <v>0</v>
      </c>
      <c r="K258" s="148">
        <v>0</v>
      </c>
      <c r="L258" s="148">
        <v>0</v>
      </c>
      <c r="M258" s="593">
        <f t="shared" si="7"/>
        <v>0</v>
      </c>
      <c r="N258" s="40" t="str">
        <f t="shared" si="8"/>
        <v>muy bien</v>
      </c>
      <c r="O258" s="542"/>
      <c r="P258" s="542"/>
      <c r="Q258" s="542"/>
      <c r="R258" s="542"/>
      <c r="S258" s="542"/>
      <c r="T258" s="542"/>
      <c r="U258" s="542"/>
      <c r="V258" s="542"/>
    </row>
    <row r="259" spans="1:22" ht="21">
      <c r="A259" s="19" t="s">
        <v>50</v>
      </c>
      <c r="B259" s="147">
        <v>3</v>
      </c>
      <c r="C259" s="22">
        <f>B259*0</f>
        <v>0</v>
      </c>
      <c r="D259" s="27">
        <f>B259*0</f>
        <v>0</v>
      </c>
      <c r="E259" s="23">
        <f>B259*5</f>
        <v>15</v>
      </c>
      <c r="F259" s="150">
        <f t="shared" si="5"/>
        <v>135</v>
      </c>
      <c r="G259" s="592">
        <f t="shared" si="6"/>
        <v>3</v>
      </c>
      <c r="H259" s="148">
        <v>1</v>
      </c>
      <c r="I259" s="148">
        <v>0</v>
      </c>
      <c r="J259" s="148">
        <v>1</v>
      </c>
      <c r="K259" s="148">
        <v>0</v>
      </c>
      <c r="L259" s="148">
        <v>1</v>
      </c>
      <c r="M259" s="593">
        <f t="shared" si="7"/>
        <v>3</v>
      </c>
      <c r="N259" s="40" t="str">
        <f t="shared" si="8"/>
        <v>muy bien</v>
      </c>
      <c r="O259" s="542"/>
      <c r="P259" s="542"/>
      <c r="Q259" s="542"/>
      <c r="R259" s="542"/>
      <c r="S259" s="542"/>
      <c r="T259" s="542"/>
      <c r="U259" s="542"/>
      <c r="V259" s="542"/>
    </row>
    <row r="260" spans="1:22" ht="21">
      <c r="A260" s="19" t="s">
        <v>51</v>
      </c>
      <c r="B260" s="147">
        <v>0</v>
      </c>
      <c r="C260" s="22">
        <f>B260*10</f>
        <v>0</v>
      </c>
      <c r="D260" s="27">
        <f>B260*0</f>
        <v>0</v>
      </c>
      <c r="E260" s="23">
        <f>B260*0</f>
        <v>0</v>
      </c>
      <c r="F260" s="152">
        <f t="shared" si="5"/>
        <v>0</v>
      </c>
      <c r="G260" s="592">
        <f t="shared" si="6"/>
        <v>0</v>
      </c>
      <c r="H260" s="587">
        <v>0</v>
      </c>
      <c r="I260" s="587">
        <v>0</v>
      </c>
      <c r="J260" s="587">
        <v>0</v>
      </c>
      <c r="K260" s="587">
        <v>0</v>
      </c>
      <c r="L260" s="587">
        <v>0</v>
      </c>
      <c r="M260" s="593">
        <f t="shared" si="7"/>
        <v>0</v>
      </c>
      <c r="N260" s="40" t="str">
        <f t="shared" si="8"/>
        <v>muy bien</v>
      </c>
      <c r="O260" s="542"/>
      <c r="P260" s="542"/>
      <c r="Q260" s="542"/>
      <c r="R260" s="542"/>
      <c r="S260" s="542"/>
      <c r="T260" s="542"/>
      <c r="U260" s="542"/>
      <c r="V260" s="542"/>
    </row>
    <row r="261" spans="1:22" ht="18.75">
      <c r="A261" s="19"/>
      <c r="B261" s="19"/>
      <c r="C261" s="153">
        <f>SUM(C253:C260)</f>
        <v>239</v>
      </c>
      <c r="D261" s="154">
        <f>SUM(D253:D260)</f>
        <v>83</v>
      </c>
      <c r="E261" s="155">
        <f>SUM(E253:E260)</f>
        <v>44</v>
      </c>
      <c r="F261" s="151">
        <f>SUM(F253:F260)</f>
        <v>1684</v>
      </c>
      <c r="G261" s="594"/>
      <c r="H261" s="588">
        <f>($H$253*129)+($H$254*64)+($H$255*60)+($H$256*24)+($H$257*68)+($H$258*121)+($H$259*45)+($H$260*40)</f>
        <v>481.5</v>
      </c>
      <c r="I261" s="588">
        <f>(I253*129)+(I254*64)+(I255*60)+(I256*24)+(I257*68)+(I258*121)+(I259*45)+(I260*40)</f>
        <v>152</v>
      </c>
      <c r="J261" s="588">
        <f>(J253*129)+(J254*64)+(J255*60)+(J256*24)+(J257*68)+(J258*121)+(J259*45)+(J260*40)</f>
        <v>485</v>
      </c>
      <c r="K261" s="588">
        <f>(K253*129)+(K254*64)+(K255*60)+(K256*24)+(K257*68)+(K258*121)+(K259*45)+(K260*40)</f>
        <v>152</v>
      </c>
      <c r="L261" s="588">
        <f>(L253*129)+(L254*64)+(L255*60)+(L256*24)+(L257*68)+(L258*121)+(L259*45)+(L260*40)</f>
        <v>413.5</v>
      </c>
      <c r="M261" s="589">
        <f t="shared" si="7"/>
        <v>1684</v>
      </c>
    </row>
    <row r="262" spans="1:22" ht="18.75">
      <c r="A262" s="19"/>
      <c r="B262" s="19"/>
      <c r="C262" s="19"/>
      <c r="D262" s="19"/>
      <c r="E262" s="19"/>
      <c r="F262" s="19"/>
      <c r="G262" s="590" t="s">
        <v>52</v>
      </c>
      <c r="H262" s="591">
        <f>(H261*100)/F261</f>
        <v>28.592636579572446</v>
      </c>
      <c r="I262" s="591">
        <f>(I261*100)/F261</f>
        <v>9.026128266033254</v>
      </c>
      <c r="J262" s="591">
        <f>(J261*100)/F261</f>
        <v>28.800475059382421</v>
      </c>
      <c r="K262" s="591">
        <f>(K261*100)/F261</f>
        <v>9.026128266033254</v>
      </c>
      <c r="L262" s="591">
        <f>(L261*100)/F261</f>
        <v>24.554631828978621</v>
      </c>
      <c r="M262" s="590">
        <f t="shared" si="7"/>
        <v>100</v>
      </c>
    </row>
    <row r="263" spans="1:22">
      <c r="A263" s="19"/>
      <c r="B263" s="25" t="s">
        <v>52</v>
      </c>
      <c r="C263" s="25" t="s">
        <v>43</v>
      </c>
      <c r="D263" s="25" t="s">
        <v>67</v>
      </c>
      <c r="E263" s="19"/>
      <c r="F263" s="19"/>
      <c r="G263" s="81"/>
    </row>
    <row r="264" spans="1:22">
      <c r="A264" s="26" t="s">
        <v>55</v>
      </c>
      <c r="B264" s="123">
        <f>(C264*100)/F261</f>
        <v>56.769596199524941</v>
      </c>
      <c r="C264" s="19">
        <f>D264*4</f>
        <v>956</v>
      </c>
      <c r="D264" s="156">
        <f>C261</f>
        <v>239</v>
      </c>
      <c r="E264" s="19"/>
      <c r="F264" s="19"/>
    </row>
    <row r="265" spans="1:22">
      <c r="A265" s="27" t="s">
        <v>29</v>
      </c>
      <c r="B265" s="124">
        <f>(C265*100)/F261</f>
        <v>19.714964370546319</v>
      </c>
      <c r="C265" s="19">
        <f>D265*4</f>
        <v>332</v>
      </c>
      <c r="D265" s="156">
        <f>D261</f>
        <v>83</v>
      </c>
      <c r="E265" s="28" t="s">
        <v>68</v>
      </c>
      <c r="F265" s="28">
        <f>D253+D254</f>
        <v>51</v>
      </c>
      <c r="G265" s="477" t="s">
        <v>69</v>
      </c>
      <c r="H265" s="29">
        <f>(F265*100)/D261</f>
        <v>61.445783132530117</v>
      </c>
      <c r="I265" s="11" t="s">
        <v>52</v>
      </c>
      <c r="J265" s="138" t="s">
        <v>70</v>
      </c>
      <c r="K265" s="29">
        <f>D256+D257+D258</f>
        <v>32</v>
      </c>
      <c r="L265" s="11" t="s">
        <v>69</v>
      </c>
      <c r="M265" s="30">
        <f>(K265*100)/D261</f>
        <v>38.554216867469883</v>
      </c>
      <c r="N265" s="11" t="s">
        <v>52</v>
      </c>
    </row>
    <row r="266" spans="1:22">
      <c r="A266" s="23" t="s">
        <v>56</v>
      </c>
      <c r="B266" s="125">
        <f>(C266*100)/F261</f>
        <v>23.51543942992874</v>
      </c>
      <c r="C266" s="19">
        <f>D266*9</f>
        <v>396</v>
      </c>
      <c r="D266" s="156">
        <f>E261</f>
        <v>44</v>
      </c>
      <c r="E266" s="19"/>
      <c r="F266" s="19"/>
    </row>
    <row r="267" spans="1:22" ht="15.75" thickBot="1">
      <c r="A267" s="135"/>
      <c r="B267" s="135"/>
      <c r="C267" s="19"/>
      <c r="D267" s="72"/>
      <c r="E267" s="19"/>
      <c r="F267" s="19"/>
    </row>
    <row r="268" spans="1:22" ht="16.5" thickBot="1">
      <c r="A268" s="1116" t="s">
        <v>399</v>
      </c>
      <c r="B268" s="1117"/>
      <c r="C268" s="1117"/>
      <c r="D268" s="516">
        <f>D261/D12</f>
        <v>1.4009526478005043</v>
      </c>
      <c r="E268" s="136" t="s">
        <v>69</v>
      </c>
      <c r="F268" s="19"/>
    </row>
    <row r="269" spans="1:22" ht="15.75">
      <c r="A269" s="661"/>
      <c r="B269" s="662"/>
      <c r="C269" s="662"/>
      <c r="D269" s="644"/>
      <c r="E269" s="136"/>
      <c r="F269" s="19"/>
    </row>
    <row r="270" spans="1:22" ht="15.75">
      <c r="A270" s="661"/>
      <c r="B270" s="662"/>
      <c r="C270" s="662"/>
      <c r="D270" s="644"/>
      <c r="E270" s="136"/>
      <c r="F270" s="19"/>
    </row>
    <row r="271" spans="1:22" ht="15.75">
      <c r="A271" s="661"/>
      <c r="B271" s="662"/>
      <c r="C271" s="662"/>
      <c r="D271" s="644"/>
      <c r="E271" s="136"/>
      <c r="F271" s="19"/>
    </row>
    <row r="272" spans="1:22">
      <c r="A272" s="528"/>
      <c r="B272" s="528"/>
      <c r="C272" s="529"/>
      <c r="D272" s="530"/>
      <c r="E272" s="529"/>
      <c r="F272" s="529"/>
      <c r="G272" s="196"/>
      <c r="H272" s="196"/>
      <c r="I272" s="196"/>
      <c r="J272" s="196"/>
      <c r="K272" s="196"/>
      <c r="L272" s="196"/>
      <c r="M272" s="196"/>
      <c r="N272" s="196"/>
    </row>
    <row r="273" spans="1:14">
      <c r="A273" s="357" t="s">
        <v>539</v>
      </c>
      <c r="B273" s="1086"/>
      <c r="C273" s="1086"/>
      <c r="D273" s="1086"/>
      <c r="E273" s="1086"/>
      <c r="F273" s="1086"/>
      <c r="G273" s="1086"/>
      <c r="H273" s="1086"/>
      <c r="I273" s="357"/>
      <c r="J273" s="357"/>
      <c r="K273" s="357"/>
      <c r="L273" s="357"/>
      <c r="M273" s="357"/>
      <c r="N273" s="357"/>
    </row>
    <row r="274" spans="1:14">
      <c r="A274" s="357" t="s">
        <v>540</v>
      </c>
      <c r="B274" s="1118" t="s">
        <v>71</v>
      </c>
      <c r="C274" s="1118"/>
      <c r="D274" s="1118"/>
      <c r="E274" s="1118"/>
      <c r="F274" s="1118"/>
      <c r="G274" s="1118"/>
      <c r="H274" s="1118"/>
      <c r="I274" s="1118"/>
      <c r="J274" s="1118"/>
      <c r="K274" s="1118"/>
      <c r="L274" s="357"/>
      <c r="M274" s="357"/>
      <c r="N274" s="357"/>
    </row>
    <row r="275" spans="1:14">
      <c r="A275" s="500"/>
      <c r="B275" s="1087"/>
      <c r="C275" s="1087"/>
      <c r="D275" s="1087"/>
      <c r="E275" s="1087"/>
      <c r="F275" s="1087"/>
      <c r="G275" s="1087"/>
      <c r="H275" s="1087"/>
      <c r="I275" s="1087"/>
      <c r="J275" s="1087"/>
      <c r="K275" s="500"/>
      <c r="L275" s="500"/>
      <c r="M275" s="500"/>
      <c r="N275" s="500"/>
    </row>
    <row r="276" spans="1:14">
      <c r="A276" s="404" t="s">
        <v>2</v>
      </c>
      <c r="B276" s="409">
        <f>B4</f>
        <v>0</v>
      </c>
      <c r="C276" s="409"/>
      <c r="D276" s="409"/>
      <c r="E276" s="409"/>
      <c r="F276" s="409"/>
      <c r="G276" s="409"/>
      <c r="H276" s="405"/>
      <c r="I276" s="406"/>
      <c r="J276" s="407"/>
      <c r="K276" s="408"/>
      <c r="L276" s="409" t="s">
        <v>291</v>
      </c>
      <c r="M276" s="1119">
        <f>M4</f>
        <v>0</v>
      </c>
      <c r="N276" s="1120"/>
    </row>
    <row r="277" spans="1:14">
      <c r="A277" s="402" t="s">
        <v>3</v>
      </c>
      <c r="B277" s="1121">
        <f ca="1">B5</f>
        <v>43208</v>
      </c>
      <c r="C277" s="1090"/>
      <c r="D277" s="657"/>
      <c r="E277" s="657" t="s">
        <v>4</v>
      </c>
      <c r="F277" s="178">
        <f>D9</f>
        <v>70</v>
      </c>
      <c r="G277" s="657" t="s">
        <v>72</v>
      </c>
      <c r="H277" s="389"/>
      <c r="I277" s="657" t="s">
        <v>73</v>
      </c>
      <c r="J277" s="370" t="s">
        <v>208</v>
      </c>
      <c r="K277" s="1122" t="s">
        <v>74</v>
      </c>
      <c r="L277" s="1122"/>
      <c r="M277" s="509">
        <f>D10</f>
        <v>79</v>
      </c>
      <c r="N277" s="390" t="s">
        <v>75</v>
      </c>
    </row>
    <row r="278" spans="1:14">
      <c r="A278" s="1109" t="s">
        <v>76</v>
      </c>
      <c r="B278" s="1110"/>
      <c r="C278" s="391">
        <f>D17</f>
        <v>1.66</v>
      </c>
      <c r="D278" s="370" t="s">
        <v>292</v>
      </c>
      <c r="E278" s="1111" t="s">
        <v>8</v>
      </c>
      <c r="F278" s="1111"/>
      <c r="G278" s="657">
        <f>D12</f>
        <v>59.245399999999997</v>
      </c>
      <c r="H278" s="370" t="s">
        <v>75</v>
      </c>
      <c r="I278" s="1111" t="s">
        <v>13</v>
      </c>
      <c r="J278" s="1111"/>
      <c r="K278" s="508">
        <f>D18</f>
        <v>28.668892437218755</v>
      </c>
      <c r="L278" s="370"/>
      <c r="M278" s="387" t="s">
        <v>77</v>
      </c>
      <c r="N278" s="392">
        <f ca="1">N278</f>
        <v>0</v>
      </c>
    </row>
    <row r="279" spans="1:14">
      <c r="A279" s="1112" t="s">
        <v>78</v>
      </c>
      <c r="B279" s="1113"/>
      <c r="C279" s="1114" t="s">
        <v>618</v>
      </c>
      <c r="D279" s="1114"/>
      <c r="E279" s="1114"/>
      <c r="F279" s="1114"/>
      <c r="G279" s="1114"/>
      <c r="H279" s="1114"/>
      <c r="I279" s="1115" t="s">
        <v>79</v>
      </c>
      <c r="J279" s="1115"/>
      <c r="K279" s="1115"/>
      <c r="L279" s="657">
        <f>M261</f>
        <v>1684</v>
      </c>
      <c r="M279" s="660" t="s">
        <v>80</v>
      </c>
      <c r="N279" s="393"/>
    </row>
    <row r="280" spans="1:14">
      <c r="A280" s="1108" t="s">
        <v>81</v>
      </c>
      <c r="B280" s="1108"/>
      <c r="C280" s="1108" t="s">
        <v>82</v>
      </c>
      <c r="D280" s="1108"/>
      <c r="E280" s="1108" t="s">
        <v>83</v>
      </c>
      <c r="F280" s="1108"/>
      <c r="G280" s="1108" t="s">
        <v>84</v>
      </c>
      <c r="H280" s="1108"/>
      <c r="I280" s="1108" t="s">
        <v>85</v>
      </c>
      <c r="J280" s="1108"/>
      <c r="K280" s="1108"/>
      <c r="L280" s="1108" t="s">
        <v>86</v>
      </c>
      <c r="M280" s="1108"/>
      <c r="N280" s="371"/>
    </row>
    <row r="281" spans="1:14">
      <c r="A281" s="1105" t="s">
        <v>87</v>
      </c>
      <c r="B281" s="1105"/>
      <c r="C281" s="185">
        <f t="shared" ref="C281:C288" si="9">H253</f>
        <v>0.5</v>
      </c>
      <c r="D281" s="186" t="s">
        <v>59</v>
      </c>
      <c r="E281" s="185">
        <f t="shared" ref="E281:E288" si="10">I253</f>
        <v>0</v>
      </c>
      <c r="F281" s="610" t="s">
        <v>59</v>
      </c>
      <c r="G281" s="185">
        <f t="shared" ref="G281:G288" si="11">J253</f>
        <v>0</v>
      </c>
      <c r="H281" s="187" t="s">
        <v>59</v>
      </c>
      <c r="I281" s="185">
        <f t="shared" ref="I281:I288" si="12">K253</f>
        <v>0</v>
      </c>
      <c r="J281" s="1107" t="s">
        <v>59</v>
      </c>
      <c r="K281" s="1107"/>
      <c r="L281" s="185">
        <f t="shared" ref="L281:L288" si="13">L253</f>
        <v>0.5</v>
      </c>
      <c r="M281" s="187" t="s">
        <v>59</v>
      </c>
      <c r="N281" s="371"/>
    </row>
    <row r="282" spans="1:14">
      <c r="A282" s="1105" t="s">
        <v>88</v>
      </c>
      <c r="B282" s="1105"/>
      <c r="C282" s="185">
        <f t="shared" si="9"/>
        <v>2</v>
      </c>
      <c r="D282" s="186" t="s">
        <v>59</v>
      </c>
      <c r="E282" s="185">
        <f t="shared" si="10"/>
        <v>0</v>
      </c>
      <c r="F282" s="187" t="s">
        <v>59</v>
      </c>
      <c r="G282" s="185">
        <f t="shared" si="11"/>
        <v>2</v>
      </c>
      <c r="H282" s="187" t="s">
        <v>59</v>
      </c>
      <c r="I282" s="185">
        <f t="shared" si="12"/>
        <v>0</v>
      </c>
      <c r="J282" s="1107" t="s">
        <v>59</v>
      </c>
      <c r="K282" s="1107"/>
      <c r="L282" s="185">
        <f t="shared" si="13"/>
        <v>2</v>
      </c>
      <c r="M282" s="187" t="s">
        <v>59</v>
      </c>
      <c r="N282" s="371"/>
    </row>
    <row r="283" spans="1:14">
      <c r="A283" s="1105" t="s">
        <v>89</v>
      </c>
      <c r="B283" s="1105"/>
      <c r="C283" s="185">
        <f t="shared" si="9"/>
        <v>1</v>
      </c>
      <c r="D283" s="186" t="s">
        <v>59</v>
      </c>
      <c r="E283" s="185">
        <f t="shared" si="10"/>
        <v>1</v>
      </c>
      <c r="F283" s="187" t="s">
        <v>59</v>
      </c>
      <c r="G283" s="185">
        <f t="shared" si="11"/>
        <v>1</v>
      </c>
      <c r="H283" s="187" t="s">
        <v>59</v>
      </c>
      <c r="I283" s="185">
        <f t="shared" si="12"/>
        <v>1</v>
      </c>
      <c r="J283" s="1107" t="s">
        <v>59</v>
      </c>
      <c r="K283" s="1107"/>
      <c r="L283" s="185">
        <f t="shared" si="13"/>
        <v>1</v>
      </c>
      <c r="M283" s="187" t="s">
        <v>59</v>
      </c>
      <c r="N283" s="371"/>
    </row>
    <row r="284" spans="1:14">
      <c r="A284" s="658" t="s">
        <v>90</v>
      </c>
      <c r="B284" s="658"/>
      <c r="C284" s="185">
        <f t="shared" si="9"/>
        <v>2</v>
      </c>
      <c r="D284" s="186" t="s">
        <v>59</v>
      </c>
      <c r="E284" s="185">
        <f t="shared" si="10"/>
        <v>1</v>
      </c>
      <c r="F284" s="187" t="s">
        <v>59</v>
      </c>
      <c r="G284" s="185">
        <f t="shared" si="11"/>
        <v>2</v>
      </c>
      <c r="H284" s="187" t="s">
        <v>59</v>
      </c>
      <c r="I284" s="185">
        <f t="shared" si="12"/>
        <v>1</v>
      </c>
      <c r="J284" s="1107" t="s">
        <v>59</v>
      </c>
      <c r="K284" s="1107"/>
      <c r="L284" s="185">
        <f t="shared" si="13"/>
        <v>2</v>
      </c>
      <c r="M284" s="187" t="s">
        <v>59</v>
      </c>
      <c r="N284" s="371"/>
    </row>
    <row r="285" spans="1:14">
      <c r="A285" s="1105" t="s">
        <v>91</v>
      </c>
      <c r="B285" s="1105"/>
      <c r="C285" s="185">
        <f t="shared" si="9"/>
        <v>2</v>
      </c>
      <c r="D285" s="186" t="s">
        <v>59</v>
      </c>
      <c r="E285" s="185">
        <f t="shared" si="10"/>
        <v>1</v>
      </c>
      <c r="F285" s="187" t="s">
        <v>59</v>
      </c>
      <c r="G285" s="185">
        <f t="shared" si="11"/>
        <v>3</v>
      </c>
      <c r="H285" s="187" t="s">
        <v>59</v>
      </c>
      <c r="I285" s="185">
        <f t="shared" si="12"/>
        <v>1</v>
      </c>
      <c r="J285" s="1107" t="s">
        <v>59</v>
      </c>
      <c r="K285" s="1107"/>
      <c r="L285" s="185">
        <f t="shared" si="13"/>
        <v>1</v>
      </c>
      <c r="M285" s="187" t="s">
        <v>59</v>
      </c>
      <c r="N285" s="371"/>
    </row>
    <row r="286" spans="1:14">
      <c r="A286" s="1105" t="s">
        <v>92</v>
      </c>
      <c r="B286" s="1105"/>
      <c r="C286" s="185">
        <f t="shared" si="9"/>
        <v>0</v>
      </c>
      <c r="D286" s="186" t="s">
        <v>59</v>
      </c>
      <c r="E286" s="185">
        <f t="shared" si="10"/>
        <v>0</v>
      </c>
      <c r="F286" s="187" t="s">
        <v>59</v>
      </c>
      <c r="G286" s="185">
        <f t="shared" si="11"/>
        <v>0</v>
      </c>
      <c r="H286" s="187" t="s">
        <v>59</v>
      </c>
      <c r="I286" s="185">
        <f t="shared" si="12"/>
        <v>0</v>
      </c>
      <c r="J286" s="1107" t="s">
        <v>59</v>
      </c>
      <c r="K286" s="1107"/>
      <c r="L286" s="185">
        <f t="shared" si="13"/>
        <v>0</v>
      </c>
      <c r="M286" s="187" t="s">
        <v>59</v>
      </c>
      <c r="N286" s="371"/>
    </row>
    <row r="287" spans="1:14">
      <c r="A287" s="1105" t="s">
        <v>93</v>
      </c>
      <c r="B287" s="1105"/>
      <c r="C287" s="185">
        <f t="shared" si="9"/>
        <v>1</v>
      </c>
      <c r="D287" s="186" t="s">
        <v>59</v>
      </c>
      <c r="E287" s="188">
        <f t="shared" si="10"/>
        <v>0</v>
      </c>
      <c r="F287" s="189" t="s">
        <v>59</v>
      </c>
      <c r="G287" s="185">
        <f t="shared" si="11"/>
        <v>1</v>
      </c>
      <c r="H287" s="187" t="s">
        <v>59</v>
      </c>
      <c r="I287" s="185">
        <f t="shared" si="12"/>
        <v>0</v>
      </c>
      <c r="J287" s="1107" t="s">
        <v>59</v>
      </c>
      <c r="K287" s="1107"/>
      <c r="L287" s="185">
        <f t="shared" si="13"/>
        <v>1</v>
      </c>
      <c r="M287" s="187" t="s">
        <v>59</v>
      </c>
      <c r="N287" s="371"/>
    </row>
    <row r="288" spans="1:14">
      <c r="A288" s="1105" t="s">
        <v>94</v>
      </c>
      <c r="B288" s="1105"/>
      <c r="C288" s="190">
        <f t="shared" si="9"/>
        <v>0</v>
      </c>
      <c r="D288" s="191" t="s">
        <v>59</v>
      </c>
      <c r="E288" s="185">
        <f t="shared" si="10"/>
        <v>0</v>
      </c>
      <c r="F288" s="187" t="s">
        <v>59</v>
      </c>
      <c r="G288" s="190">
        <f t="shared" si="11"/>
        <v>0</v>
      </c>
      <c r="H288" s="192" t="s">
        <v>59</v>
      </c>
      <c r="I288" s="190">
        <f t="shared" si="12"/>
        <v>0</v>
      </c>
      <c r="J288" s="1106" t="s">
        <v>59</v>
      </c>
      <c r="K288" s="1106"/>
      <c r="L288" s="190">
        <f t="shared" si="13"/>
        <v>0</v>
      </c>
      <c r="M288" s="192" t="s">
        <v>59</v>
      </c>
      <c r="N288" s="371"/>
    </row>
    <row r="289" spans="1:16">
      <c r="A289" s="403" t="s">
        <v>95</v>
      </c>
      <c r="B289" s="370"/>
      <c r="C289" s="370"/>
      <c r="D289" s="370"/>
      <c r="E289" s="370"/>
      <c r="F289" s="370"/>
      <c r="G289" s="395" t="s">
        <v>97</v>
      </c>
      <c r="H289" s="395"/>
      <c r="I289" s="395"/>
      <c r="J289" s="395"/>
      <c r="K289" s="395"/>
      <c r="L289" s="395"/>
      <c r="M289" s="370"/>
      <c r="N289" s="371"/>
    </row>
    <row r="290" spans="1:16">
      <c r="A290" s="381" t="s">
        <v>96</v>
      </c>
      <c r="B290" s="370"/>
      <c r="C290" s="370"/>
      <c r="D290" s="370"/>
      <c r="E290" s="370"/>
      <c r="F290" s="370"/>
      <c r="G290" s="370"/>
      <c r="H290" s="669"/>
      <c r="I290" s="1075"/>
      <c r="J290" s="1075"/>
      <c r="K290" s="669"/>
      <c r="L290" s="370"/>
      <c r="M290" s="652"/>
      <c r="N290" s="371"/>
    </row>
    <row r="291" spans="1:16">
      <c r="A291" s="381" t="s">
        <v>98</v>
      </c>
      <c r="B291" s="370"/>
      <c r="C291" s="370"/>
      <c r="D291" s="370"/>
      <c r="E291" s="370" t="s">
        <v>241</v>
      </c>
      <c r="F291" s="370"/>
      <c r="G291" s="370"/>
      <c r="H291" s="668"/>
      <c r="I291" s="668"/>
      <c r="J291" s="668"/>
      <c r="K291" s="668"/>
      <c r="L291" s="370"/>
      <c r="M291" s="652"/>
      <c r="N291" s="393"/>
      <c r="P291" s="31"/>
    </row>
    <row r="292" spans="1:16">
      <c r="A292" s="381" t="s">
        <v>99</v>
      </c>
      <c r="B292" s="370"/>
      <c r="C292" s="370"/>
      <c r="D292" s="370"/>
      <c r="E292" s="668" t="s">
        <v>242</v>
      </c>
      <c r="F292" s="370"/>
      <c r="G292" s="669"/>
      <c r="H292" s="668"/>
      <c r="I292" s="668"/>
      <c r="J292" s="668"/>
      <c r="K292" s="668"/>
      <c r="L292" s="669"/>
      <c r="M292" s="652"/>
      <c r="N292" s="396"/>
    </row>
    <row r="293" spans="1:16">
      <c r="A293" s="381"/>
      <c r="B293" s="370"/>
      <c r="C293" s="370"/>
      <c r="D293" s="370"/>
      <c r="E293" s="370"/>
      <c r="F293" s="370"/>
      <c r="G293" s="669"/>
      <c r="H293" s="668"/>
      <c r="I293" s="668"/>
      <c r="J293" s="668"/>
      <c r="K293" s="668"/>
      <c r="L293" s="669"/>
      <c r="M293" s="652"/>
      <c r="N293" s="396"/>
      <c r="O293" s="216" t="s">
        <v>100</v>
      </c>
    </row>
    <row r="294" spans="1:16">
      <c r="A294" s="403" t="s">
        <v>101</v>
      </c>
      <c r="B294" s="370"/>
      <c r="C294" s="370"/>
      <c r="D294" s="397"/>
      <c r="E294" s="397"/>
      <c r="F294" s="397"/>
      <c r="G294" s="86"/>
      <c r="H294" s="668"/>
      <c r="I294" s="668" t="s">
        <v>261</v>
      </c>
      <c r="J294" s="668"/>
      <c r="K294" s="668"/>
      <c r="L294" s="86"/>
      <c r="M294" s="653" t="s">
        <v>241</v>
      </c>
      <c r="N294" s="371"/>
    </row>
    <row r="295" spans="1:16">
      <c r="A295" s="1078" t="s">
        <v>243</v>
      </c>
      <c r="B295" s="1079"/>
      <c r="C295" s="370"/>
      <c r="D295" s="397">
        <v>2</v>
      </c>
      <c r="E295" s="397" t="s">
        <v>238</v>
      </c>
      <c r="F295" s="375"/>
      <c r="G295" s="669"/>
      <c r="H295" s="668"/>
      <c r="I295" s="668"/>
      <c r="J295" s="668"/>
      <c r="K295" s="668"/>
      <c r="L295" s="669"/>
      <c r="M295" s="652"/>
      <c r="N295" s="398"/>
    </row>
    <row r="296" spans="1:16">
      <c r="A296" s="1078" t="s">
        <v>244</v>
      </c>
      <c r="B296" s="1079"/>
      <c r="C296" s="370"/>
      <c r="D296" s="397">
        <v>30</v>
      </c>
      <c r="E296" s="397" t="s">
        <v>235</v>
      </c>
      <c r="F296" s="652"/>
      <c r="G296" s="669"/>
      <c r="H296" s="668"/>
      <c r="I296" s="668"/>
      <c r="J296" s="668"/>
      <c r="K296" s="668"/>
      <c r="L296" s="669"/>
      <c r="M296" s="652"/>
      <c r="N296" s="393"/>
    </row>
    <row r="297" spans="1:16">
      <c r="A297" s="381" t="s">
        <v>245</v>
      </c>
      <c r="B297" s="370"/>
      <c r="C297" s="370"/>
      <c r="D297" s="397">
        <v>30</v>
      </c>
      <c r="E297" s="397" t="s">
        <v>235</v>
      </c>
      <c r="F297" s="652"/>
      <c r="G297" s="669"/>
      <c r="H297" s="668"/>
      <c r="I297" s="668" t="s">
        <v>265</v>
      </c>
      <c r="J297" s="668"/>
      <c r="K297" s="668"/>
      <c r="L297" s="669"/>
      <c r="M297" s="652" t="s">
        <v>259</v>
      </c>
      <c r="N297" s="393"/>
    </row>
    <row r="298" spans="1:16">
      <c r="A298" s="1078" t="s">
        <v>246</v>
      </c>
      <c r="B298" s="1079"/>
      <c r="C298" s="370"/>
      <c r="D298" s="397">
        <v>45</v>
      </c>
      <c r="E298" s="397" t="s">
        <v>235</v>
      </c>
      <c r="F298" s="652"/>
      <c r="G298" s="370"/>
      <c r="H298" s="668"/>
      <c r="I298" s="668" t="s">
        <v>266</v>
      </c>
      <c r="J298" s="668"/>
      <c r="K298" s="668"/>
      <c r="L298" s="370"/>
      <c r="M298" s="652" t="s">
        <v>259</v>
      </c>
      <c r="N298" s="371"/>
    </row>
    <row r="299" spans="1:16">
      <c r="A299" s="1074" t="s">
        <v>102</v>
      </c>
      <c r="B299" s="1075"/>
      <c r="C299" s="370"/>
      <c r="D299" s="397">
        <v>30</v>
      </c>
      <c r="E299" s="397" t="s">
        <v>235</v>
      </c>
      <c r="F299" s="652"/>
      <c r="G299" s="370"/>
      <c r="H299" s="668"/>
      <c r="I299" s="668" t="s">
        <v>592</v>
      </c>
      <c r="J299" s="668"/>
      <c r="K299" s="668"/>
      <c r="L299" s="370"/>
      <c r="M299" s="652" t="s">
        <v>268</v>
      </c>
      <c r="N299" s="371"/>
    </row>
    <row r="300" spans="1:16">
      <c r="A300" s="1074" t="s">
        <v>104</v>
      </c>
      <c r="B300" s="1075"/>
      <c r="C300" s="370"/>
      <c r="D300" s="397">
        <v>30</v>
      </c>
      <c r="E300" s="397" t="s">
        <v>235</v>
      </c>
      <c r="F300" s="652"/>
      <c r="G300" s="370"/>
      <c r="H300" s="668"/>
      <c r="I300" s="668"/>
      <c r="J300" s="668"/>
      <c r="K300" s="668"/>
      <c r="L300" s="370"/>
      <c r="M300" s="652"/>
      <c r="N300" s="371"/>
    </row>
    <row r="301" spans="1:16">
      <c r="A301" s="1074" t="s">
        <v>106</v>
      </c>
      <c r="B301" s="1075"/>
      <c r="C301" s="370"/>
      <c r="D301" s="397">
        <v>30</v>
      </c>
      <c r="E301" s="397" t="s">
        <v>235</v>
      </c>
      <c r="F301" s="652"/>
      <c r="G301" s="370"/>
      <c r="H301" s="668"/>
      <c r="I301" s="668" t="s">
        <v>272</v>
      </c>
      <c r="J301" s="668"/>
      <c r="K301" s="668"/>
      <c r="L301" s="370"/>
      <c r="M301" s="652" t="s">
        <v>271</v>
      </c>
      <c r="N301" s="371"/>
    </row>
    <row r="302" spans="1:16">
      <c r="A302" s="1102" t="s">
        <v>108</v>
      </c>
      <c r="B302" s="1103"/>
      <c r="C302" s="1103"/>
      <c r="D302" s="506">
        <v>1</v>
      </c>
      <c r="E302" s="506" t="s">
        <v>236</v>
      </c>
      <c r="F302" s="506"/>
      <c r="G302" s="370"/>
      <c r="H302" s="668"/>
      <c r="I302" s="668"/>
      <c r="J302" s="668"/>
      <c r="K302" s="668"/>
      <c r="L302" s="370"/>
      <c r="M302" s="652"/>
      <c r="N302" s="371"/>
    </row>
    <row r="303" spans="1:16">
      <c r="A303" s="1102" t="s">
        <v>110</v>
      </c>
      <c r="B303" s="1103"/>
      <c r="C303" s="505"/>
      <c r="D303" s="506">
        <v>35</v>
      </c>
      <c r="E303" s="506" t="s">
        <v>235</v>
      </c>
      <c r="F303" s="506"/>
      <c r="G303" s="370"/>
      <c r="H303" s="668"/>
      <c r="I303" s="668" t="s">
        <v>275</v>
      </c>
      <c r="J303" s="668"/>
      <c r="K303" s="668"/>
      <c r="L303" s="370"/>
      <c r="M303" s="652" t="s">
        <v>277</v>
      </c>
      <c r="N303" s="371"/>
    </row>
    <row r="304" spans="1:16">
      <c r="A304" s="381" t="s">
        <v>112</v>
      </c>
      <c r="B304" s="370"/>
      <c r="C304" s="370"/>
      <c r="D304" s="397">
        <v>30</v>
      </c>
      <c r="E304" s="397" t="s">
        <v>235</v>
      </c>
      <c r="F304" s="397"/>
      <c r="G304" s="370"/>
      <c r="H304" s="668"/>
      <c r="I304" s="668" t="s">
        <v>276</v>
      </c>
      <c r="J304" s="668"/>
      <c r="K304" s="668"/>
      <c r="L304" s="370"/>
      <c r="M304" s="652" t="s">
        <v>241</v>
      </c>
      <c r="N304" s="371"/>
    </row>
    <row r="305" spans="1:14">
      <c r="A305" s="507" t="s">
        <v>114</v>
      </c>
      <c r="B305" s="505"/>
      <c r="C305" s="505"/>
      <c r="D305" s="506">
        <v>30</v>
      </c>
      <c r="E305" s="506" t="s">
        <v>235</v>
      </c>
      <c r="F305" s="506"/>
      <c r="G305" s="370"/>
      <c r="H305" s="668"/>
      <c r="I305" s="668"/>
      <c r="J305" s="668"/>
      <c r="K305" s="668"/>
      <c r="L305" s="370"/>
      <c r="M305" s="652"/>
      <c r="N305" s="371"/>
    </row>
    <row r="306" spans="1:14">
      <c r="A306" s="381"/>
      <c r="B306" s="370"/>
      <c r="C306" s="370"/>
      <c r="D306" s="370"/>
      <c r="E306" s="370"/>
      <c r="F306" s="370"/>
      <c r="G306" s="370"/>
      <c r="H306" s="668"/>
      <c r="I306" s="668"/>
      <c r="J306" s="668"/>
      <c r="K306" s="668"/>
      <c r="L306" s="370"/>
      <c r="M306" s="652"/>
      <c r="N306" s="371"/>
    </row>
    <row r="307" spans="1:14">
      <c r="A307" s="403" t="s">
        <v>117</v>
      </c>
      <c r="B307" s="370"/>
      <c r="C307" s="370"/>
      <c r="D307" s="370"/>
      <c r="E307" s="370"/>
      <c r="F307" s="370"/>
      <c r="G307" s="370"/>
      <c r="H307" s="668"/>
      <c r="I307" s="668"/>
      <c r="J307" s="668"/>
      <c r="K307" s="668"/>
      <c r="L307" s="370"/>
      <c r="M307" s="652"/>
      <c r="N307" s="371"/>
    </row>
    <row r="308" spans="1:14">
      <c r="A308" s="381"/>
      <c r="B308" s="370"/>
      <c r="C308" s="399"/>
      <c r="D308" s="401"/>
      <c r="E308" s="652"/>
      <c r="F308" s="652"/>
      <c r="G308" s="652"/>
      <c r="H308" s="668"/>
      <c r="I308" s="668"/>
      <c r="J308" s="668"/>
      <c r="K308" s="668"/>
      <c r="L308" s="370"/>
      <c r="M308" s="652"/>
      <c r="N308" s="371"/>
    </row>
    <row r="309" spans="1:14">
      <c r="A309" s="381"/>
      <c r="B309" s="370"/>
      <c r="C309" s="399"/>
      <c r="D309" s="400"/>
      <c r="E309" s="1076"/>
      <c r="F309" s="1076"/>
      <c r="G309" s="652"/>
      <c r="H309" s="668"/>
      <c r="I309" s="668"/>
      <c r="J309" s="668"/>
      <c r="K309" s="668"/>
      <c r="L309" s="370"/>
      <c r="M309" s="652"/>
      <c r="N309" s="371"/>
    </row>
    <row r="310" spans="1:14">
      <c r="A310" s="381"/>
      <c r="B310" s="370"/>
      <c r="C310" s="399"/>
      <c r="D310" s="400"/>
      <c r="E310" s="1076"/>
      <c r="F310" s="1076"/>
      <c r="G310" s="652"/>
      <c r="H310" s="668"/>
      <c r="I310" s="668" t="s">
        <v>591</v>
      </c>
      <c r="J310" s="668"/>
      <c r="K310" s="668"/>
      <c r="L310" s="370"/>
      <c r="M310" s="652" t="s">
        <v>270</v>
      </c>
      <c r="N310" s="371"/>
    </row>
    <row r="311" spans="1:14">
      <c r="A311" s="381"/>
      <c r="B311" s="370"/>
      <c r="C311" s="399"/>
      <c r="D311" s="401"/>
      <c r="E311" s="1104"/>
      <c r="F311" s="1104"/>
      <c r="G311" s="652"/>
      <c r="H311" s="668"/>
      <c r="I311" s="668" t="s">
        <v>284</v>
      </c>
      <c r="J311" s="668"/>
      <c r="K311" s="668"/>
      <c r="L311" s="370"/>
      <c r="M311" s="652" t="s">
        <v>271</v>
      </c>
      <c r="N311" s="371"/>
    </row>
    <row r="312" spans="1:14">
      <c r="A312" s="381" t="s">
        <v>587</v>
      </c>
      <c r="B312" s="370"/>
      <c r="C312" s="399"/>
      <c r="D312" s="401">
        <v>1.5</v>
      </c>
      <c r="E312" s="1282" t="s">
        <v>238</v>
      </c>
      <c r="F312" s="1282"/>
      <c r="G312" s="652"/>
      <c r="H312" s="668"/>
      <c r="I312" s="668"/>
      <c r="J312" s="668"/>
      <c r="K312" s="668"/>
      <c r="L312" s="370"/>
      <c r="M312" s="652"/>
      <c r="N312" s="371"/>
    </row>
    <row r="313" spans="1:14">
      <c r="A313" s="381" t="s">
        <v>129</v>
      </c>
      <c r="B313" s="370"/>
      <c r="C313" s="399"/>
      <c r="D313" s="400">
        <v>1</v>
      </c>
      <c r="E313" s="1076" t="s">
        <v>248</v>
      </c>
      <c r="F313" s="1076"/>
      <c r="G313" s="652"/>
      <c r="H313" s="668"/>
      <c r="I313" s="668" t="s">
        <v>286</v>
      </c>
      <c r="J313" s="668"/>
      <c r="K313" s="668"/>
      <c r="L313" s="370"/>
      <c r="M313" s="652" t="s">
        <v>271</v>
      </c>
      <c r="N313" s="371"/>
    </row>
    <row r="314" spans="1:14">
      <c r="A314" s="381" t="s">
        <v>588</v>
      </c>
      <c r="B314" s="370"/>
      <c r="C314" s="399"/>
      <c r="D314" s="400">
        <v>3</v>
      </c>
      <c r="E314" s="1076" t="s">
        <v>296</v>
      </c>
      <c r="F314" s="1076"/>
      <c r="G314" s="652"/>
      <c r="H314" s="668"/>
      <c r="I314" s="668" t="s">
        <v>287</v>
      </c>
      <c r="J314" s="668"/>
      <c r="K314" s="668"/>
      <c r="L314" s="370"/>
      <c r="M314" s="652" t="s">
        <v>271</v>
      </c>
      <c r="N314" s="371"/>
    </row>
    <row r="315" spans="1:14">
      <c r="A315" s="381"/>
      <c r="B315" s="370"/>
      <c r="C315" s="399"/>
      <c r="D315" s="400"/>
      <c r="E315" s="1076"/>
      <c r="F315" s="1076"/>
      <c r="G315" s="652"/>
      <c r="H315" s="668"/>
      <c r="I315" s="668" t="s">
        <v>288</v>
      </c>
      <c r="J315" s="668"/>
      <c r="K315" s="668"/>
      <c r="L315" s="370"/>
      <c r="M315" s="652" t="s">
        <v>271</v>
      </c>
      <c r="N315" s="371"/>
    </row>
    <row r="316" spans="1:14">
      <c r="A316" s="381"/>
      <c r="B316" s="370"/>
      <c r="C316" s="399"/>
      <c r="D316" s="400"/>
      <c r="E316" s="1076"/>
      <c r="F316" s="1076"/>
      <c r="G316" s="652"/>
      <c r="H316" s="668"/>
      <c r="I316" s="668"/>
      <c r="J316" s="668"/>
      <c r="K316" s="668"/>
      <c r="L316" s="370"/>
      <c r="M316" s="652"/>
      <c r="N316" s="371"/>
    </row>
    <row r="317" spans="1:14">
      <c r="A317" s="381"/>
      <c r="B317" s="370"/>
      <c r="C317" s="399"/>
      <c r="D317" s="401"/>
      <c r="E317" s="1282"/>
      <c r="F317" s="1282"/>
      <c r="G317" s="652"/>
      <c r="H317" s="668"/>
      <c r="I317" s="1075" t="s">
        <v>290</v>
      </c>
      <c r="J317" s="1075"/>
      <c r="K317" s="1075"/>
      <c r="L317" s="370"/>
      <c r="M317" s="652" t="s">
        <v>257</v>
      </c>
      <c r="N317" s="371"/>
    </row>
    <row r="318" spans="1:14">
      <c r="A318" s="410"/>
      <c r="B318" s="411"/>
      <c r="C318" s="412"/>
      <c r="D318" s="413"/>
      <c r="E318" s="1100"/>
      <c r="F318" s="1100"/>
      <c r="G318" s="683"/>
      <c r="H318" s="684"/>
      <c r="I318" s="1101"/>
      <c r="J318" s="1101"/>
      <c r="K318" s="1101"/>
      <c r="L318" s="411"/>
      <c r="M318" s="684"/>
      <c r="N318" s="414"/>
    </row>
    <row r="319" spans="1:14">
      <c r="A319" s="420"/>
      <c r="B319" s="407"/>
      <c r="C319" s="415"/>
      <c r="D319" s="416"/>
      <c r="E319" s="1283"/>
      <c r="F319" s="1283"/>
      <c r="G319" s="685"/>
      <c r="H319" s="407"/>
      <c r="I319" s="407"/>
      <c r="J319" s="407"/>
      <c r="K319" s="407"/>
      <c r="L319" s="407"/>
      <c r="M319" s="407"/>
      <c r="N319" s="422"/>
    </row>
    <row r="320" spans="1:14">
      <c r="A320" s="381"/>
      <c r="B320" s="370"/>
      <c r="C320" s="417"/>
      <c r="D320" s="400"/>
      <c r="E320" s="1076"/>
      <c r="F320" s="1076"/>
      <c r="G320" s="652"/>
      <c r="H320" s="370"/>
      <c r="I320" s="370"/>
      <c r="J320" s="370"/>
      <c r="K320" s="370"/>
      <c r="L320" s="370"/>
      <c r="M320" s="370"/>
      <c r="N320" s="371"/>
    </row>
    <row r="321" spans="1:14">
      <c r="A321" s="381"/>
      <c r="B321" s="370"/>
      <c r="C321" s="399"/>
      <c r="D321" s="400"/>
      <c r="E321" s="1076"/>
      <c r="F321" s="1076"/>
      <c r="G321" s="652"/>
      <c r="H321" s="370"/>
      <c r="I321" s="370"/>
      <c r="J321" s="370"/>
      <c r="K321" s="370"/>
      <c r="L321" s="370"/>
      <c r="M321" s="370"/>
      <c r="N321" s="371"/>
    </row>
    <row r="322" spans="1:14">
      <c r="A322" s="381"/>
      <c r="B322" s="370"/>
      <c r="C322" s="399"/>
      <c r="D322" s="400"/>
      <c r="E322" s="1076"/>
      <c r="F322" s="1076"/>
      <c r="G322" s="652"/>
      <c r="H322" s="370"/>
      <c r="I322" s="370"/>
      <c r="J322" s="370"/>
      <c r="K322" s="370"/>
      <c r="L322" s="370"/>
      <c r="M322" s="370"/>
      <c r="N322" s="371"/>
    </row>
    <row r="323" spans="1:14">
      <c r="A323" s="381"/>
      <c r="B323" s="370"/>
      <c r="C323" s="399"/>
      <c r="D323" s="401"/>
      <c r="E323" s="1104"/>
      <c r="F323" s="1104"/>
      <c r="G323" s="652"/>
      <c r="H323" s="370"/>
      <c r="I323" s="370"/>
      <c r="J323" s="370"/>
      <c r="K323" s="370"/>
      <c r="L323" s="370"/>
      <c r="M323" s="370"/>
      <c r="N323" s="371"/>
    </row>
    <row r="324" spans="1:14">
      <c r="A324" s="381" t="s">
        <v>589</v>
      </c>
      <c r="B324" s="370"/>
      <c r="C324" s="399"/>
      <c r="D324" s="400">
        <v>1</v>
      </c>
      <c r="E324" s="1076" t="s">
        <v>299</v>
      </c>
      <c r="F324" s="1076"/>
      <c r="G324" s="1076"/>
      <c r="H324" s="370"/>
      <c r="I324" s="394"/>
      <c r="J324" s="370"/>
      <c r="K324" s="370"/>
      <c r="L324" s="370"/>
      <c r="M324" s="370"/>
      <c r="N324" s="371"/>
    </row>
    <row r="325" spans="1:14">
      <c r="A325" s="381"/>
      <c r="B325" s="370"/>
      <c r="C325" s="399"/>
      <c r="D325" s="401"/>
      <c r="E325" s="652"/>
      <c r="F325" s="652"/>
      <c r="G325" s="652"/>
      <c r="H325" s="370"/>
      <c r="I325" s="370"/>
      <c r="J325" s="370"/>
      <c r="K325" s="370"/>
      <c r="L325" s="370"/>
      <c r="M325" s="370"/>
      <c r="N325" s="371"/>
    </row>
    <row r="326" spans="1:14">
      <c r="A326" s="381"/>
      <c r="B326" s="370"/>
      <c r="C326" s="399"/>
      <c r="D326" s="400"/>
      <c r="E326" s="1076"/>
      <c r="F326" s="1076"/>
      <c r="G326" s="652"/>
      <c r="H326" s="370"/>
      <c r="I326" s="394" t="s">
        <v>103</v>
      </c>
      <c r="J326" s="370"/>
      <c r="K326" s="370"/>
      <c r="L326" s="370"/>
      <c r="M326" s="370"/>
      <c r="N326" s="371"/>
    </row>
    <row r="327" spans="1:14">
      <c r="A327" s="381"/>
      <c r="B327" s="370"/>
      <c r="C327" s="399"/>
      <c r="D327" s="400"/>
      <c r="E327" s="1076"/>
      <c r="F327" s="1076"/>
      <c r="G327" s="652"/>
      <c r="H327" s="370"/>
      <c r="I327" s="370" t="s">
        <v>105</v>
      </c>
      <c r="J327" s="370"/>
      <c r="K327" s="370"/>
      <c r="L327" s="370"/>
      <c r="M327" s="401">
        <v>0.5</v>
      </c>
      <c r="N327" s="423" t="s">
        <v>295</v>
      </c>
    </row>
    <row r="328" spans="1:14">
      <c r="A328" s="381" t="s">
        <v>590</v>
      </c>
      <c r="B328" s="370"/>
      <c r="C328" s="399"/>
      <c r="D328" s="400">
        <v>1</v>
      </c>
      <c r="E328" s="1076" t="s">
        <v>301</v>
      </c>
      <c r="F328" s="1076"/>
      <c r="G328" s="652"/>
      <c r="H328" s="370"/>
      <c r="I328" s="370"/>
      <c r="J328" s="370"/>
      <c r="K328" s="370"/>
      <c r="L328" s="370"/>
      <c r="M328" s="400"/>
      <c r="N328" s="423"/>
    </row>
    <row r="329" spans="1:14">
      <c r="A329" s="381"/>
      <c r="B329" s="370"/>
      <c r="C329" s="399"/>
      <c r="D329" s="400"/>
      <c r="E329" s="1076"/>
      <c r="F329" s="1076"/>
      <c r="G329" s="652"/>
      <c r="H329" s="370"/>
      <c r="I329" s="370" t="s">
        <v>109</v>
      </c>
      <c r="J329" s="370"/>
      <c r="K329" s="370"/>
      <c r="L329" s="370"/>
      <c r="M329" s="400">
        <v>1</v>
      </c>
      <c r="N329" s="423" t="s">
        <v>295</v>
      </c>
    </row>
    <row r="330" spans="1:14">
      <c r="A330" s="381"/>
      <c r="B330" s="370"/>
      <c r="C330" s="399"/>
      <c r="D330" s="400"/>
      <c r="E330" s="1076"/>
      <c r="F330" s="1076"/>
      <c r="G330" s="652"/>
      <c r="H330" s="370"/>
      <c r="I330" s="370" t="s">
        <v>111</v>
      </c>
      <c r="J330" s="370"/>
      <c r="K330" s="370"/>
      <c r="L330" s="370"/>
      <c r="M330" s="400"/>
      <c r="N330" s="423"/>
    </row>
    <row r="331" spans="1:14">
      <c r="A331" s="381"/>
      <c r="B331" s="370"/>
      <c r="C331" s="399"/>
      <c r="D331" s="400"/>
      <c r="E331" s="1076"/>
      <c r="F331" s="1076"/>
      <c r="G331" s="652"/>
      <c r="H331" s="370"/>
      <c r="I331" s="370" t="s">
        <v>113</v>
      </c>
      <c r="J331" s="370"/>
      <c r="K331" s="370"/>
      <c r="L331" s="370"/>
      <c r="M331" s="400"/>
      <c r="N331" s="423"/>
    </row>
    <row r="332" spans="1:14" ht="17.25">
      <c r="A332" s="381"/>
      <c r="B332" s="370"/>
      <c r="C332" s="399"/>
      <c r="D332" s="203"/>
      <c r="E332" s="204"/>
      <c r="F332" s="400"/>
      <c r="G332" s="397"/>
      <c r="H332" s="370"/>
      <c r="I332" s="370"/>
      <c r="J332" s="376"/>
      <c r="K332" s="376"/>
      <c r="L332" s="370"/>
      <c r="M332" s="401"/>
      <c r="N332" s="423"/>
    </row>
    <row r="333" spans="1:14">
      <c r="A333" s="381"/>
      <c r="B333" s="370"/>
      <c r="C333" s="399"/>
      <c r="D333" s="399"/>
      <c r="E333" s="399"/>
      <c r="F333" s="399"/>
      <c r="G333" s="370"/>
      <c r="H333" s="370"/>
      <c r="I333" s="505" t="s">
        <v>116</v>
      </c>
      <c r="J333" s="505"/>
      <c r="K333" s="505"/>
      <c r="L333" s="505"/>
      <c r="M333" s="514">
        <v>5</v>
      </c>
      <c r="N333" s="578" t="s">
        <v>238</v>
      </c>
    </row>
    <row r="334" spans="1:14">
      <c r="A334" s="820" t="s">
        <v>92</v>
      </c>
      <c r="B334" s="505"/>
      <c r="C334" s="505"/>
      <c r="D334" s="370"/>
      <c r="E334" s="370"/>
      <c r="F334" s="370"/>
      <c r="G334" s="370"/>
      <c r="H334" s="394"/>
      <c r="I334" s="505" t="s">
        <v>118</v>
      </c>
      <c r="J334" s="505"/>
      <c r="K334" s="505"/>
      <c r="L334" s="505"/>
      <c r="M334" s="821">
        <v>0.75</v>
      </c>
      <c r="N334" s="578" t="s">
        <v>248</v>
      </c>
    </row>
    <row r="335" spans="1:14">
      <c r="A335" s="507" t="s">
        <v>130</v>
      </c>
      <c r="B335" s="505"/>
      <c r="C335" s="505"/>
      <c r="D335" s="505"/>
      <c r="E335" s="817">
        <v>0.5</v>
      </c>
      <c r="F335" s="818" t="s">
        <v>248</v>
      </c>
      <c r="G335" s="397"/>
      <c r="H335" s="370"/>
      <c r="I335" s="370" t="s">
        <v>120</v>
      </c>
      <c r="J335" s="370"/>
      <c r="K335" s="370"/>
      <c r="L335" s="370"/>
      <c r="M335" s="400">
        <v>5</v>
      </c>
      <c r="N335" s="423" t="s">
        <v>303</v>
      </c>
    </row>
    <row r="336" spans="1:14">
      <c r="A336" s="507" t="s">
        <v>132</v>
      </c>
      <c r="B336" s="505"/>
      <c r="C336" s="505"/>
      <c r="D336" s="505"/>
      <c r="E336" s="817">
        <v>0.5</v>
      </c>
      <c r="F336" s="818" t="s">
        <v>248</v>
      </c>
      <c r="G336" s="397"/>
      <c r="H336" s="370"/>
      <c r="I336" s="370" t="s">
        <v>122</v>
      </c>
      <c r="J336" s="370"/>
      <c r="K336" s="370"/>
      <c r="L336" s="370"/>
      <c r="M336" s="400">
        <v>1</v>
      </c>
      <c r="N336" s="423" t="s">
        <v>302</v>
      </c>
    </row>
    <row r="337" spans="1:14">
      <c r="A337" s="507" t="s">
        <v>134</v>
      </c>
      <c r="B337" s="505"/>
      <c r="C337" s="505"/>
      <c r="D337" s="505"/>
      <c r="E337" s="817">
        <v>0.5</v>
      </c>
      <c r="F337" s="818" t="s">
        <v>248</v>
      </c>
      <c r="G337" s="397"/>
      <c r="H337" s="370"/>
      <c r="I337" s="370" t="s">
        <v>124</v>
      </c>
      <c r="J337" s="370"/>
      <c r="K337" s="370"/>
      <c r="L337" s="370"/>
      <c r="M337" s="400">
        <v>6</v>
      </c>
      <c r="N337" s="423" t="s">
        <v>238</v>
      </c>
    </row>
    <row r="338" spans="1:14">
      <c r="A338" s="507" t="s">
        <v>136</v>
      </c>
      <c r="B338" s="505"/>
      <c r="C338" s="505"/>
      <c r="D338" s="505"/>
      <c r="E338" s="817">
        <v>0.5</v>
      </c>
      <c r="F338" s="818" t="s">
        <v>248</v>
      </c>
      <c r="G338" s="397"/>
      <c r="H338" s="370"/>
      <c r="I338" s="370" t="s">
        <v>126</v>
      </c>
      <c r="J338" s="1079" t="s">
        <v>252</v>
      </c>
      <c r="K338" s="1079"/>
      <c r="L338" s="370"/>
      <c r="M338" s="401">
        <v>0.5</v>
      </c>
      <c r="N338" s="423" t="s">
        <v>238</v>
      </c>
    </row>
    <row r="339" spans="1:14">
      <c r="A339" s="507" t="s">
        <v>138</v>
      </c>
      <c r="B339" s="505"/>
      <c r="C339" s="505"/>
      <c r="D339" s="505"/>
      <c r="E339" s="817">
        <v>0.5</v>
      </c>
      <c r="F339" s="818" t="s">
        <v>248</v>
      </c>
      <c r="G339" s="397"/>
      <c r="H339" s="370"/>
      <c r="I339" s="370" t="s">
        <v>128</v>
      </c>
      <c r="J339" s="1079" t="s">
        <v>253</v>
      </c>
      <c r="K339" s="1079"/>
      <c r="L339" s="370"/>
      <c r="M339" s="400">
        <v>90</v>
      </c>
      <c r="N339" s="423" t="s">
        <v>235</v>
      </c>
    </row>
    <row r="340" spans="1:14">
      <c r="A340" s="507" t="s">
        <v>140</v>
      </c>
      <c r="B340" s="505"/>
      <c r="C340" s="505"/>
      <c r="D340" s="417">
        <v>0</v>
      </c>
      <c r="E340" s="514">
        <v>30</v>
      </c>
      <c r="F340" s="818" t="s">
        <v>235</v>
      </c>
      <c r="G340" s="397"/>
      <c r="H340" s="370"/>
      <c r="I340" s="370"/>
      <c r="J340" s="370"/>
      <c r="K340" s="370"/>
      <c r="L340" s="370"/>
      <c r="M340" s="670"/>
      <c r="N340" s="377"/>
    </row>
    <row r="341" spans="1:14">
      <c r="A341" s="507" t="s">
        <v>249</v>
      </c>
      <c r="B341" s="505"/>
      <c r="C341" s="505"/>
      <c r="D341" s="505"/>
      <c r="E341" s="819">
        <v>1.5</v>
      </c>
      <c r="F341" s="818" t="s">
        <v>248</v>
      </c>
      <c r="G341" s="397"/>
      <c r="H341" s="370"/>
      <c r="I341" s="370"/>
      <c r="J341" s="370"/>
      <c r="K341" s="370"/>
      <c r="L341" s="370"/>
      <c r="M341" s="397"/>
      <c r="N341" s="424"/>
    </row>
    <row r="342" spans="1:14">
      <c r="A342" s="507" t="s">
        <v>250</v>
      </c>
      <c r="B342" s="505"/>
      <c r="C342" s="505"/>
      <c r="D342" s="505"/>
      <c r="E342" s="819">
        <v>0.5</v>
      </c>
      <c r="F342" s="818" t="s">
        <v>248</v>
      </c>
      <c r="G342" s="397"/>
      <c r="H342" s="370"/>
      <c r="I342" s="370"/>
      <c r="J342" s="370"/>
      <c r="K342" s="370"/>
      <c r="L342" s="370"/>
      <c r="M342" s="370"/>
      <c r="N342" s="371"/>
    </row>
    <row r="343" spans="1:14">
      <c r="A343" s="403" t="s">
        <v>154</v>
      </c>
      <c r="B343" s="370"/>
      <c r="C343" s="370"/>
      <c r="D343" s="370"/>
      <c r="E343" s="370"/>
      <c r="F343" s="370"/>
      <c r="G343" s="370"/>
      <c r="H343" s="370"/>
      <c r="I343" s="370"/>
      <c r="J343" s="370"/>
      <c r="K343" s="370"/>
      <c r="L343" s="370"/>
      <c r="M343" s="370"/>
      <c r="N343" s="371"/>
    </row>
    <row r="344" spans="1:14">
      <c r="A344" s="421" t="s">
        <v>155</v>
      </c>
      <c r="B344" s="370"/>
      <c r="C344" s="370"/>
      <c r="D344" s="370"/>
      <c r="E344" s="370"/>
      <c r="F344" s="370"/>
      <c r="G344" s="370"/>
      <c r="H344" s="370"/>
      <c r="I344" s="370"/>
      <c r="J344" s="370"/>
      <c r="K344" s="370"/>
      <c r="L344" s="370"/>
      <c r="M344" s="370"/>
      <c r="N344" s="371"/>
    </row>
    <row r="345" spans="1:14">
      <c r="A345" s="381" t="s">
        <v>156</v>
      </c>
      <c r="B345" s="370"/>
      <c r="C345" s="370"/>
      <c r="D345" s="370"/>
      <c r="E345" s="370"/>
      <c r="F345" s="370"/>
      <c r="G345" s="370"/>
      <c r="H345" s="370"/>
      <c r="I345" s="370"/>
      <c r="J345" s="370"/>
      <c r="K345" s="370"/>
      <c r="L345" s="370"/>
      <c r="M345" s="370"/>
      <c r="N345" s="371"/>
    </row>
    <row r="346" spans="1:14">
      <c r="A346" s="381" t="s">
        <v>157</v>
      </c>
      <c r="B346" s="370"/>
      <c r="C346" s="370"/>
      <c r="D346" s="397">
        <v>40</v>
      </c>
      <c r="E346" s="397" t="s">
        <v>235</v>
      </c>
      <c r="F346" s="397"/>
      <c r="G346" s="370"/>
      <c r="H346" s="370"/>
      <c r="I346" s="370"/>
      <c r="J346" s="370"/>
      <c r="K346" s="370"/>
      <c r="L346" s="370"/>
      <c r="M346" s="370"/>
      <c r="N346" s="371"/>
    </row>
    <row r="347" spans="1:14">
      <c r="A347" s="507" t="s">
        <v>158</v>
      </c>
      <c r="B347" s="511"/>
      <c r="C347" s="511"/>
      <c r="D347" s="506">
        <v>10</v>
      </c>
      <c r="E347" s="506" t="s">
        <v>238</v>
      </c>
      <c r="F347" s="512"/>
      <c r="G347" s="370"/>
      <c r="H347" s="370"/>
      <c r="I347" s="370"/>
      <c r="J347" s="370"/>
      <c r="K347" s="370"/>
      <c r="L347" s="370"/>
      <c r="M347" s="370"/>
      <c r="N347" s="371"/>
    </row>
    <row r="348" spans="1:14">
      <c r="A348" s="507" t="s">
        <v>159</v>
      </c>
      <c r="B348" s="505"/>
      <c r="C348" s="505"/>
      <c r="D348" s="506">
        <v>6</v>
      </c>
      <c r="E348" s="506" t="s">
        <v>238</v>
      </c>
      <c r="F348" s="506"/>
      <c r="G348" s="370"/>
      <c r="H348" s="370"/>
      <c r="I348" s="370"/>
      <c r="J348" s="370"/>
      <c r="K348" s="370"/>
      <c r="L348" s="370"/>
      <c r="M348" s="370"/>
      <c r="N348" s="371"/>
    </row>
    <row r="349" spans="1:14">
      <c r="A349" s="381" t="s">
        <v>160</v>
      </c>
      <c r="B349" s="370"/>
      <c r="C349" s="370"/>
      <c r="D349" s="397">
        <v>3</v>
      </c>
      <c r="E349" s="397" t="s">
        <v>238</v>
      </c>
      <c r="F349" s="397"/>
      <c r="G349" s="370"/>
      <c r="H349" s="370"/>
      <c r="I349" s="370"/>
      <c r="J349" s="370"/>
      <c r="K349" s="370"/>
      <c r="L349" s="370"/>
      <c r="M349" s="370"/>
      <c r="N349" s="371"/>
    </row>
    <row r="350" spans="1:14">
      <c r="A350" s="381" t="s">
        <v>161</v>
      </c>
      <c r="B350" s="370"/>
      <c r="C350" s="370"/>
      <c r="D350" s="1081" t="s">
        <v>239</v>
      </c>
      <c r="E350" s="1081"/>
      <c r="F350" s="1081"/>
      <c r="G350" s="370"/>
      <c r="H350" s="370"/>
      <c r="I350" s="370"/>
      <c r="J350" s="370"/>
      <c r="K350" s="370"/>
      <c r="L350" s="370"/>
      <c r="M350" s="370"/>
      <c r="N350" s="371"/>
    </row>
    <row r="351" spans="1:14">
      <c r="A351" s="507" t="s">
        <v>162</v>
      </c>
      <c r="B351" s="505"/>
      <c r="C351" s="505"/>
      <c r="D351" s="506">
        <v>6</v>
      </c>
      <c r="E351" s="506" t="s">
        <v>238</v>
      </c>
      <c r="F351" s="506"/>
      <c r="G351" s="370"/>
      <c r="H351" s="370"/>
      <c r="I351" s="370"/>
      <c r="J351" s="370"/>
      <c r="K351" s="370"/>
      <c r="L351" s="370"/>
      <c r="M351" s="370"/>
      <c r="N351" s="371"/>
    </row>
    <row r="352" spans="1:14">
      <c r="A352" s="381" t="s">
        <v>240</v>
      </c>
      <c r="B352" s="370"/>
      <c r="C352" s="370"/>
      <c r="D352" s="397">
        <v>10</v>
      </c>
      <c r="E352" s="397" t="s">
        <v>238</v>
      </c>
      <c r="F352" s="397"/>
      <c r="G352" s="370"/>
      <c r="H352" s="370"/>
      <c r="I352" s="370"/>
      <c r="J352" s="370"/>
      <c r="K352" s="370"/>
      <c r="L352" s="370"/>
      <c r="M352" s="370"/>
      <c r="N352" s="371"/>
    </row>
    <row r="353" spans="1:24">
      <c r="A353" s="403" t="s">
        <v>163</v>
      </c>
      <c r="B353" s="370"/>
      <c r="C353" s="370"/>
      <c r="D353" s="370"/>
      <c r="E353" s="370"/>
      <c r="F353" s="370"/>
      <c r="G353" s="370"/>
      <c r="H353" s="370"/>
      <c r="I353" s="370"/>
      <c r="J353" s="370"/>
      <c r="K353" s="370"/>
      <c r="L353" s="370"/>
      <c r="M353" s="370"/>
      <c r="N353" s="371"/>
    </row>
    <row r="354" spans="1:24">
      <c r="A354" s="381" t="s">
        <v>164</v>
      </c>
      <c r="B354" s="370"/>
      <c r="C354" s="370"/>
      <c r="D354" s="370"/>
      <c r="E354" s="370"/>
      <c r="F354" s="370"/>
      <c r="G354" s="370"/>
      <c r="H354" s="370"/>
      <c r="I354" s="370"/>
      <c r="J354" s="370"/>
      <c r="K354" s="370"/>
      <c r="L354" s="370"/>
      <c r="M354" s="370"/>
      <c r="N354" s="371"/>
    </row>
    <row r="355" spans="1:24">
      <c r="A355" s="381" t="s">
        <v>165</v>
      </c>
      <c r="B355" s="370"/>
      <c r="C355" s="370"/>
      <c r="D355" s="370"/>
      <c r="E355" s="370"/>
      <c r="F355" s="370"/>
      <c r="G355" s="370"/>
      <c r="H355" s="370"/>
      <c r="I355" s="370"/>
      <c r="J355" s="370"/>
      <c r="K355" s="370"/>
      <c r="L355" s="370"/>
      <c r="M355" s="370"/>
      <c r="N355" s="371"/>
    </row>
    <row r="356" spans="1:24">
      <c r="A356" s="381" t="s">
        <v>166</v>
      </c>
      <c r="B356" s="370"/>
      <c r="C356" s="370"/>
      <c r="D356" s="370"/>
      <c r="E356" s="370"/>
      <c r="F356" s="370"/>
      <c r="G356" s="370"/>
      <c r="H356" s="370"/>
      <c r="I356" s="370"/>
      <c r="J356" s="370"/>
      <c r="K356" s="370"/>
      <c r="L356" s="370"/>
      <c r="M356" s="370"/>
      <c r="N356" s="371"/>
    </row>
    <row r="357" spans="1:24">
      <c r="A357" s="381" t="s">
        <v>586</v>
      </c>
      <c r="B357" s="370"/>
      <c r="C357" s="370"/>
      <c r="D357" s="370"/>
      <c r="E357" s="370"/>
      <c r="F357" s="370"/>
      <c r="G357" s="370"/>
      <c r="H357" s="370"/>
      <c r="I357" s="370"/>
      <c r="J357" s="370"/>
      <c r="K357" s="370"/>
      <c r="L357" s="370"/>
      <c r="M357" s="370"/>
      <c r="N357" s="371"/>
    </row>
    <row r="358" spans="1:24">
      <c r="A358" s="381" t="s">
        <v>168</v>
      </c>
      <c r="B358" s="370"/>
      <c r="C358" s="370"/>
      <c r="D358" s="370"/>
      <c r="E358" s="370"/>
      <c r="F358" s="370"/>
      <c r="G358" s="370"/>
      <c r="H358" s="370"/>
      <c r="I358" s="370"/>
      <c r="J358" s="370"/>
      <c r="K358" s="370"/>
      <c r="L358" s="370"/>
      <c r="M358" s="370"/>
      <c r="N358" s="371"/>
    </row>
    <row r="359" spans="1:24">
      <c r="A359" s="510" t="s">
        <v>294</v>
      </c>
      <c r="B359" s="511"/>
      <c r="C359" s="511"/>
      <c r="D359" s="511"/>
      <c r="E359" s="511"/>
      <c r="F359" s="511"/>
      <c r="G359" s="511"/>
      <c r="H359" s="511"/>
      <c r="I359" s="511"/>
      <c r="J359" s="511"/>
      <c r="K359" s="511"/>
      <c r="L359" s="511"/>
      <c r="M359" s="511"/>
      <c r="N359" s="517"/>
    </row>
    <row r="360" spans="1:24">
      <c r="A360" s="1093" t="s">
        <v>293</v>
      </c>
      <c r="B360" s="1094"/>
      <c r="C360" s="1094"/>
      <c r="D360" s="1094"/>
      <c r="E360" s="1094"/>
      <c r="F360" s="1094"/>
      <c r="G360" s="1094"/>
      <c r="H360" s="1094"/>
      <c r="I360" s="1094"/>
      <c r="J360" s="1094"/>
      <c r="K360" s="1094"/>
      <c r="L360" s="1094"/>
      <c r="M360" s="1094"/>
      <c r="N360" s="1095"/>
    </row>
    <row r="361" spans="1:24">
      <c r="A361" s="526" t="s">
        <v>553</v>
      </c>
      <c r="B361" s="511"/>
      <c r="C361" s="511"/>
      <c r="D361" s="511"/>
      <c r="E361" s="511"/>
      <c r="F361" s="511"/>
      <c r="G361" s="511"/>
      <c r="H361" s="511"/>
      <c r="I361" s="511"/>
      <c r="J361" s="511"/>
      <c r="K361" s="511"/>
      <c r="L361" s="511"/>
      <c r="M361" s="511"/>
      <c r="N361" s="517"/>
      <c r="P361" s="80"/>
      <c r="Q361" s="80"/>
      <c r="R361" s="80"/>
      <c r="S361" s="80"/>
      <c r="T361" s="80"/>
      <c r="U361" s="80"/>
      <c r="V361" s="80"/>
      <c r="W361" s="80"/>
      <c r="X361" s="80"/>
    </row>
    <row r="362" spans="1:24">
      <c r="A362" s="381" t="s">
        <v>170</v>
      </c>
      <c r="B362" s="370"/>
      <c r="C362" s="370"/>
      <c r="D362" s="370"/>
      <c r="E362" s="370"/>
      <c r="F362" s="370"/>
      <c r="G362" s="370"/>
      <c r="H362" s="370"/>
      <c r="I362" s="370"/>
      <c r="J362" s="370"/>
      <c r="K362" s="370"/>
      <c r="L362" s="370"/>
      <c r="M362" s="370"/>
      <c r="N362" s="371"/>
      <c r="P362" s="80"/>
      <c r="Q362" s="80"/>
      <c r="R362" s="80"/>
      <c r="S362" s="80"/>
      <c r="T362" s="80"/>
      <c r="U362" s="80"/>
      <c r="V362" s="80"/>
      <c r="W362" s="80"/>
      <c r="X362" s="80"/>
    </row>
    <row r="363" spans="1:24">
      <c r="A363" s="381"/>
      <c r="B363" s="1096" t="s">
        <v>548</v>
      </c>
      <c r="C363" s="1096"/>
      <c r="D363" s="1097" t="str">
        <f>C42</f>
        <v>NTTA DTTA VICTOR HUGO HERNANDEZ MARTINEZ MAT. 8904707</v>
      </c>
      <c r="E363" s="1098"/>
      <c r="F363" s="1098"/>
      <c r="G363" s="1098"/>
      <c r="H363" s="1098"/>
      <c r="I363" s="1098"/>
      <c r="J363" s="1098"/>
      <c r="K363" s="1098"/>
      <c r="L363" s="1098"/>
      <c r="M363" s="1099"/>
      <c r="N363" s="371"/>
      <c r="P363" s="80"/>
      <c r="Q363" s="80"/>
      <c r="R363" s="80"/>
      <c r="S363" s="80"/>
      <c r="T363" s="80"/>
      <c r="U363" s="80"/>
      <c r="V363" s="80"/>
      <c r="W363" s="80"/>
      <c r="X363" s="80"/>
    </row>
    <row r="364" spans="1:24">
      <c r="A364" s="381"/>
      <c r="B364" s="527"/>
      <c r="C364" s="527"/>
      <c r="D364" s="684"/>
      <c r="E364" s="684"/>
      <c r="F364" s="684"/>
      <c r="G364" s="684"/>
      <c r="H364" s="684"/>
      <c r="I364" s="684"/>
      <c r="J364" s="684"/>
      <c r="K364" s="684"/>
      <c r="L364" s="684"/>
      <c r="M364" s="684"/>
      <c r="N364" s="371"/>
      <c r="P364" s="80"/>
      <c r="Q364" s="80"/>
      <c r="R364" s="80"/>
      <c r="S364" s="80"/>
      <c r="T364" s="80"/>
      <c r="U364" s="80"/>
      <c r="V364" s="80"/>
      <c r="W364" s="80"/>
      <c r="X364" s="80"/>
    </row>
    <row r="365" spans="1:24">
      <c r="A365" s="410"/>
      <c r="B365" s="527"/>
      <c r="C365" s="527"/>
      <c r="D365" s="684"/>
      <c r="E365" s="684"/>
      <c r="F365" s="684"/>
      <c r="G365" s="684"/>
      <c r="H365" s="684"/>
      <c r="I365" s="684"/>
      <c r="J365" s="684"/>
      <c r="K365" s="684"/>
      <c r="L365" s="684"/>
      <c r="M365" s="684"/>
      <c r="N365" s="414"/>
      <c r="O365" s="80"/>
      <c r="P365" s="215"/>
      <c r="Q365" s="215"/>
      <c r="R365" s="215" t="s">
        <v>329</v>
      </c>
      <c r="S365" s="215"/>
      <c r="T365" s="215">
        <v>1</v>
      </c>
      <c r="U365" s="215">
        <v>1</v>
      </c>
      <c r="V365" s="80"/>
      <c r="W365" s="80"/>
      <c r="X365" s="80"/>
    </row>
    <row r="366" spans="1:24">
      <c r="A366" s="370"/>
      <c r="B366" s="669"/>
      <c r="C366" s="669"/>
      <c r="D366" s="668"/>
      <c r="E366" s="668"/>
      <c r="F366" s="668"/>
      <c r="G366" s="668"/>
      <c r="H366" s="668"/>
      <c r="I366" s="668"/>
      <c r="J366" s="668"/>
      <c r="K366" s="668"/>
      <c r="L366" s="668"/>
      <c r="M366" s="668"/>
      <c r="N366" s="370"/>
      <c r="O366" s="80"/>
      <c r="P366" s="215"/>
      <c r="Q366" s="215"/>
      <c r="R366" s="215"/>
      <c r="S366" s="215"/>
      <c r="T366" s="215"/>
      <c r="U366" s="215"/>
      <c r="V366" s="80"/>
      <c r="W366" s="80"/>
      <c r="X366" s="80"/>
    </row>
    <row r="367" spans="1:24">
      <c r="A367" s="357" t="s">
        <v>539</v>
      </c>
      <c r="B367" s="1086" t="s">
        <v>71</v>
      </c>
      <c r="C367" s="1086"/>
      <c r="D367" s="1086"/>
      <c r="E367" s="1086"/>
      <c r="F367" s="1086"/>
      <c r="G367" s="1086"/>
      <c r="H367" s="1086"/>
      <c r="I367" s="357"/>
      <c r="J367" s="357"/>
      <c r="K367" s="357"/>
      <c r="L367" s="357"/>
      <c r="M367" s="357"/>
      <c r="N367" s="357"/>
      <c r="O367" s="80"/>
      <c r="P367" s="215" t="s">
        <v>397</v>
      </c>
      <c r="Q367" s="215"/>
      <c r="R367" s="215" t="s">
        <v>330</v>
      </c>
      <c r="S367" s="215"/>
      <c r="T367" s="215">
        <v>2</v>
      </c>
      <c r="U367" s="215">
        <v>2</v>
      </c>
      <c r="V367" s="80"/>
      <c r="W367" s="80"/>
      <c r="X367" s="80"/>
    </row>
    <row r="368" spans="1:24">
      <c r="A368" s="357" t="s">
        <v>540</v>
      </c>
      <c r="B368" s="1086" t="s">
        <v>547</v>
      </c>
      <c r="C368" s="1086"/>
      <c r="D368" s="1086"/>
      <c r="E368" s="1086"/>
      <c r="F368" s="1086"/>
      <c r="G368" s="1086"/>
      <c r="H368" s="1086"/>
      <c r="I368" s="357"/>
      <c r="J368" s="357"/>
      <c r="K368" s="357"/>
      <c r="L368" s="357"/>
      <c r="M368" s="357"/>
      <c r="N368" s="357"/>
      <c r="O368" s="80"/>
      <c r="P368" s="215" t="s">
        <v>324</v>
      </c>
      <c r="Q368" s="215"/>
      <c r="R368" s="215" t="s">
        <v>331</v>
      </c>
      <c r="S368" s="215"/>
      <c r="T368" s="215">
        <v>3</v>
      </c>
      <c r="U368" s="215">
        <v>3</v>
      </c>
      <c r="V368" s="80"/>
      <c r="W368" s="80"/>
      <c r="X368" s="80"/>
    </row>
    <row r="369" spans="1:24">
      <c r="A369" s="500"/>
      <c r="B369" s="1087" t="s">
        <v>1</v>
      </c>
      <c r="C369" s="1087"/>
      <c r="D369" s="1087"/>
      <c r="E369" s="1087"/>
      <c r="F369" s="1087"/>
      <c r="G369" s="1087"/>
      <c r="H369" s="1087"/>
      <c r="I369" s="1087"/>
      <c r="J369" s="1087"/>
      <c r="K369" s="500"/>
      <c r="L369" s="500"/>
      <c r="M369" s="500"/>
      <c r="N369" s="500"/>
      <c r="O369" s="80"/>
      <c r="P369" s="215" t="s">
        <v>325</v>
      </c>
      <c r="Q369" s="215"/>
      <c r="R369" s="215" t="s">
        <v>332</v>
      </c>
      <c r="S369" s="215"/>
      <c r="T369" s="215">
        <v>4</v>
      </c>
      <c r="U369" s="215">
        <v>4</v>
      </c>
      <c r="V369" s="80"/>
      <c r="W369" s="80"/>
      <c r="X369" s="80"/>
    </row>
    <row r="370" spans="1:24" ht="15.75">
      <c r="A370" s="402" t="s">
        <v>2</v>
      </c>
      <c r="B370" s="1088">
        <f>B4</f>
        <v>0</v>
      </c>
      <c r="C370" s="1088"/>
      <c r="D370" s="1088"/>
      <c r="E370" s="1088"/>
      <c r="F370" s="1088"/>
      <c r="G370" s="1088"/>
      <c r="H370" s="386" t="s">
        <v>396</v>
      </c>
      <c r="I370" s="1089">
        <f ca="1">B5</f>
        <v>43208</v>
      </c>
      <c r="J370" s="1090"/>
      <c r="K370" s="387"/>
      <c r="L370" s="388" t="s">
        <v>291</v>
      </c>
      <c r="M370" s="1091">
        <f>M4</f>
        <v>0</v>
      </c>
      <c r="N370" s="1092"/>
      <c r="O370" s="80"/>
      <c r="P370" s="215" t="s">
        <v>326</v>
      </c>
      <c r="Q370" s="215"/>
      <c r="R370" s="215" t="s">
        <v>333</v>
      </c>
      <c r="S370" s="215"/>
      <c r="T370" s="215">
        <v>5</v>
      </c>
      <c r="U370" s="215">
        <v>5</v>
      </c>
      <c r="V370" s="80"/>
      <c r="W370" s="80"/>
      <c r="X370" s="80"/>
    </row>
    <row r="371" spans="1:24">
      <c r="A371" s="1080" t="s">
        <v>322</v>
      </c>
      <c r="B371" s="1081"/>
      <c r="C371" s="1081"/>
      <c r="D371" s="1081"/>
      <c r="E371" s="1081"/>
      <c r="F371" s="1081"/>
      <c r="G371" s="370"/>
      <c r="H371" s="370"/>
      <c r="I371" s="370"/>
      <c r="J371" s="370"/>
      <c r="K371" s="370"/>
      <c r="L371" s="370"/>
      <c r="M371" s="370"/>
      <c r="N371" s="371"/>
      <c r="O371" s="80"/>
      <c r="P371" s="215" t="s">
        <v>327</v>
      </c>
      <c r="Q371" s="215"/>
      <c r="R371" s="215" t="s">
        <v>334</v>
      </c>
      <c r="S371" s="215"/>
      <c r="T371" s="215">
        <v>6</v>
      </c>
      <c r="U371" s="215">
        <v>6</v>
      </c>
      <c r="V371" s="80"/>
      <c r="W371" s="80"/>
      <c r="X371" s="80"/>
    </row>
    <row r="372" spans="1:24">
      <c r="A372" s="381" t="s">
        <v>4</v>
      </c>
      <c r="B372" s="370">
        <f>D9</f>
        <v>70</v>
      </c>
      <c r="C372" s="370" t="s">
        <v>72</v>
      </c>
      <c r="D372" s="1082" t="s">
        <v>323</v>
      </c>
      <c r="E372" s="1082"/>
      <c r="F372" s="1083" t="str">
        <f>F28</f>
        <v>PROFESIONAL</v>
      </c>
      <c r="G372" s="1083"/>
      <c r="H372" s="370"/>
      <c r="I372" s="1082" t="s">
        <v>328</v>
      </c>
      <c r="J372" s="1082"/>
      <c r="K372" s="1079" t="str">
        <f>K28</f>
        <v>OBRERA</v>
      </c>
      <c r="L372" s="1079"/>
      <c r="M372" s="1079"/>
      <c r="N372" s="371"/>
      <c r="O372" s="80"/>
      <c r="P372" s="215"/>
      <c r="Q372" s="215"/>
      <c r="R372" s="215"/>
      <c r="S372" s="215"/>
      <c r="T372" s="215">
        <v>7</v>
      </c>
      <c r="U372" s="215">
        <v>7</v>
      </c>
      <c r="V372" s="80"/>
      <c r="W372" s="80"/>
      <c r="X372" s="80"/>
    </row>
    <row r="373" spans="1:24">
      <c r="A373" s="381" t="s">
        <v>335</v>
      </c>
      <c r="B373" s="370"/>
      <c r="C373" s="370" t="s">
        <v>336</v>
      </c>
      <c r="D373" s="373">
        <f>D29</f>
        <v>4</v>
      </c>
      <c r="E373" s="1079" t="s">
        <v>337</v>
      </c>
      <c r="F373" s="1079"/>
      <c r="G373" s="670">
        <f>G29</f>
        <v>3</v>
      </c>
      <c r="H373" s="370"/>
      <c r="I373" s="370"/>
      <c r="J373" s="370"/>
      <c r="K373" s="370"/>
      <c r="L373" s="370"/>
      <c r="M373" s="370"/>
      <c r="N373" s="371"/>
      <c r="O373" s="80"/>
      <c r="P373" s="215" t="s">
        <v>340</v>
      </c>
      <c r="Q373" s="215"/>
      <c r="R373" s="217" t="s">
        <v>362</v>
      </c>
      <c r="S373" s="218"/>
      <c r="T373" s="215"/>
      <c r="U373" s="215">
        <v>8</v>
      </c>
      <c r="V373" s="80"/>
      <c r="W373" s="80"/>
      <c r="X373" s="80"/>
    </row>
    <row r="374" spans="1:24">
      <c r="A374" s="381"/>
      <c r="B374" s="370"/>
      <c r="C374" s="370"/>
      <c r="D374" s="370"/>
      <c r="E374" s="370"/>
      <c r="F374" s="370"/>
      <c r="G374" s="370"/>
      <c r="H374" s="370"/>
      <c r="I374" s="370"/>
      <c r="J374" s="370"/>
      <c r="K374" s="370"/>
      <c r="L374" s="370"/>
      <c r="M374" s="370"/>
      <c r="N374" s="371"/>
      <c r="O374" s="80"/>
      <c r="P374" s="215" t="s">
        <v>341</v>
      </c>
      <c r="Q374" s="215"/>
      <c r="R374" s="219" t="s">
        <v>361</v>
      </c>
      <c r="S374" s="220"/>
      <c r="T374" s="215"/>
      <c r="U374" s="215"/>
      <c r="V374" s="80"/>
      <c r="W374" s="80"/>
      <c r="X374" s="80"/>
    </row>
    <row r="375" spans="1:24">
      <c r="A375" s="381"/>
      <c r="B375" s="370"/>
      <c r="C375" s="370"/>
      <c r="D375" s="370"/>
      <c r="E375" s="370"/>
      <c r="F375" s="370"/>
      <c r="G375" s="370"/>
      <c r="H375" s="370"/>
      <c r="I375" s="370"/>
      <c r="J375" s="370"/>
      <c r="K375" s="370"/>
      <c r="L375" s="370"/>
      <c r="M375" s="370"/>
      <c r="N375" s="371"/>
      <c r="O375" s="80"/>
      <c r="P375" s="80"/>
      <c r="Q375" s="80"/>
      <c r="R375" s="80"/>
      <c r="S375" s="80"/>
      <c r="T375" s="80"/>
      <c r="U375" s="80"/>
      <c r="V375" s="80"/>
      <c r="W375" s="80"/>
      <c r="X375" s="80"/>
    </row>
    <row r="376" spans="1:24">
      <c r="A376" s="381" t="s">
        <v>338</v>
      </c>
      <c r="B376" s="370"/>
      <c r="C376" s="370"/>
      <c r="D376" s="370"/>
      <c r="E376" s="370"/>
      <c r="F376" s="374"/>
      <c r="G376" s="370"/>
      <c r="H376" s="370"/>
      <c r="I376" s="370"/>
      <c r="J376" s="370"/>
      <c r="K376" s="370"/>
      <c r="L376" s="370"/>
      <c r="M376" s="370"/>
      <c r="N376" s="371"/>
      <c r="O376" s="80"/>
      <c r="P376" s="80"/>
      <c r="Q376" s="80"/>
      <c r="R376" s="80"/>
      <c r="S376" s="80"/>
      <c r="T376" s="80"/>
      <c r="U376" s="80"/>
      <c r="V376" s="80"/>
      <c r="W376" s="80"/>
      <c r="X376" s="80"/>
    </row>
    <row r="377" spans="1:24">
      <c r="A377" s="1084" t="s">
        <v>339</v>
      </c>
      <c r="B377" s="1085"/>
      <c r="C377" s="370" t="s">
        <v>340</v>
      </c>
      <c r="D377" s="370"/>
      <c r="E377" s="370"/>
      <c r="F377" s="370"/>
      <c r="G377" s="370"/>
      <c r="H377" s="370"/>
      <c r="I377" s="370"/>
      <c r="J377" s="370"/>
      <c r="K377" s="370"/>
      <c r="L377" s="370"/>
      <c r="M377" s="370"/>
      <c r="N377" s="371"/>
      <c r="O377" s="80"/>
      <c r="P377" s="80"/>
      <c r="Q377" s="80"/>
      <c r="R377" s="80"/>
      <c r="S377" s="80"/>
      <c r="T377" s="80"/>
      <c r="U377" s="80"/>
      <c r="V377" s="80"/>
      <c r="W377" s="80"/>
      <c r="X377" s="80"/>
    </row>
    <row r="378" spans="1:24">
      <c r="A378" s="381"/>
      <c r="B378" s="370"/>
      <c r="C378" s="370"/>
      <c r="D378" s="370"/>
      <c r="E378" s="370"/>
      <c r="F378" s="370"/>
      <c r="G378" s="370"/>
      <c r="H378" s="370"/>
      <c r="I378" s="370"/>
      <c r="J378" s="370"/>
      <c r="K378" s="370"/>
      <c r="L378" s="370"/>
      <c r="M378" s="370"/>
      <c r="N378" s="371"/>
      <c r="O378" s="80"/>
      <c r="P378" s="80"/>
      <c r="Q378" s="80"/>
      <c r="R378" s="80"/>
      <c r="S378" s="80"/>
      <c r="T378" s="80"/>
      <c r="U378" s="80"/>
      <c r="V378" s="80"/>
      <c r="W378" s="80"/>
      <c r="X378" s="80"/>
    </row>
    <row r="379" spans="1:24">
      <c r="A379" s="1078" t="s">
        <v>342</v>
      </c>
      <c r="B379" s="1079"/>
      <c r="C379" s="370"/>
      <c r="D379" s="370"/>
      <c r="E379" s="370"/>
      <c r="F379" s="370"/>
      <c r="G379" s="370"/>
      <c r="H379" s="370"/>
      <c r="I379" s="370"/>
      <c r="J379" s="370"/>
      <c r="K379" s="370"/>
      <c r="L379" s="370"/>
      <c r="M379" s="370"/>
      <c r="N379" s="371"/>
      <c r="O379" s="80"/>
      <c r="P379" s="80"/>
      <c r="Q379" s="80"/>
      <c r="R379" s="80"/>
      <c r="S379" s="80"/>
      <c r="T379" s="80"/>
      <c r="U379" s="80"/>
      <c r="V379" s="80"/>
      <c r="W379" s="80"/>
      <c r="X379" s="80"/>
    </row>
    <row r="380" spans="1:24">
      <c r="A380" s="1080" t="s">
        <v>343</v>
      </c>
      <c r="B380" s="1081"/>
      <c r="C380" s="370"/>
      <c r="D380" s="375" t="s">
        <v>348</v>
      </c>
      <c r="E380" s="375"/>
      <c r="F380" s="375"/>
      <c r="G380" s="376"/>
      <c r="H380" s="1076" t="s">
        <v>353</v>
      </c>
      <c r="I380" s="1076"/>
      <c r="J380" s="1076"/>
      <c r="K380" s="370"/>
      <c r="L380" s="1076" t="s">
        <v>357</v>
      </c>
      <c r="M380" s="1076"/>
      <c r="N380" s="371"/>
      <c r="O380" s="80"/>
      <c r="P380" s="80"/>
      <c r="Q380" s="80"/>
      <c r="R380" s="80"/>
      <c r="S380" s="80"/>
      <c r="T380" s="80"/>
      <c r="U380" s="80"/>
      <c r="V380" s="80"/>
      <c r="W380" s="80"/>
      <c r="X380" s="80"/>
    </row>
    <row r="381" spans="1:24">
      <c r="A381" s="1074" t="s">
        <v>344</v>
      </c>
      <c r="B381" s="1075"/>
      <c r="C381" s="670">
        <f>C37</f>
        <v>0</v>
      </c>
      <c r="D381" s="370" t="s">
        <v>349</v>
      </c>
      <c r="E381" s="370"/>
      <c r="F381" s="370"/>
      <c r="G381" s="652">
        <f>G37</f>
        <v>0</v>
      </c>
      <c r="H381" s="370" t="s">
        <v>354</v>
      </c>
      <c r="I381" s="370"/>
      <c r="J381" s="670">
        <f>J37</f>
        <v>0</v>
      </c>
      <c r="K381" s="370"/>
      <c r="L381" s="370" t="s">
        <v>358</v>
      </c>
      <c r="M381" s="370"/>
      <c r="N381" s="435" t="str">
        <f>N37</f>
        <v>X</v>
      </c>
      <c r="O381" s="80"/>
      <c r="P381" s="80"/>
      <c r="Q381" s="80"/>
      <c r="R381" s="80"/>
      <c r="S381" s="80"/>
      <c r="T381" s="80"/>
      <c r="U381" s="80"/>
      <c r="V381" s="80"/>
      <c r="W381" s="80"/>
      <c r="X381" s="80"/>
    </row>
    <row r="382" spans="1:24">
      <c r="A382" s="1074" t="s">
        <v>345</v>
      </c>
      <c r="B382" s="1075"/>
      <c r="C382" s="670">
        <f>C38</f>
        <v>0</v>
      </c>
      <c r="D382" s="370" t="s">
        <v>350</v>
      </c>
      <c r="E382" s="370"/>
      <c r="F382" s="370"/>
      <c r="G382" s="652" t="str">
        <f>G38</f>
        <v>X</v>
      </c>
      <c r="H382" s="370" t="s">
        <v>355</v>
      </c>
      <c r="I382" s="370"/>
      <c r="J382" s="670">
        <f>J38</f>
        <v>0</v>
      </c>
      <c r="K382" s="370"/>
      <c r="L382" s="370" t="s">
        <v>359</v>
      </c>
      <c r="M382" s="370"/>
      <c r="N382" s="423">
        <f>N38</f>
        <v>0</v>
      </c>
      <c r="O382" s="80"/>
      <c r="P382" s="80"/>
      <c r="Q382" s="80"/>
      <c r="R382" s="80"/>
      <c r="S382" s="80"/>
      <c r="T382" s="80"/>
      <c r="U382" s="80"/>
      <c r="V382" s="80"/>
      <c r="W382" s="80"/>
      <c r="X382" s="80"/>
    </row>
    <row r="383" spans="1:24">
      <c r="A383" s="1074" t="s">
        <v>346</v>
      </c>
      <c r="B383" s="1075"/>
      <c r="C383" s="670">
        <f>C39</f>
        <v>0</v>
      </c>
      <c r="D383" s="370" t="s">
        <v>351</v>
      </c>
      <c r="E383" s="370"/>
      <c r="F383" s="370"/>
      <c r="G383" s="652">
        <f>G39</f>
        <v>0</v>
      </c>
      <c r="H383" s="370" t="s">
        <v>356</v>
      </c>
      <c r="I383" s="370"/>
      <c r="J383" s="670">
        <f>J39</f>
        <v>0</v>
      </c>
      <c r="K383" s="370"/>
      <c r="L383" s="1076" t="s">
        <v>360</v>
      </c>
      <c r="M383" s="1076"/>
      <c r="N383" s="579"/>
      <c r="O383" s="80"/>
      <c r="P383" s="80"/>
      <c r="Q383" s="80"/>
      <c r="R383" s="80"/>
      <c r="S383" s="80"/>
      <c r="T383" s="80"/>
      <c r="U383" s="80"/>
      <c r="V383" s="80"/>
      <c r="W383" s="80"/>
      <c r="X383" s="80"/>
    </row>
    <row r="384" spans="1:24">
      <c r="A384" s="1074" t="s">
        <v>347</v>
      </c>
      <c r="B384" s="1075"/>
      <c r="C384" s="670">
        <f>C40</f>
        <v>0</v>
      </c>
      <c r="D384" s="370" t="s">
        <v>352</v>
      </c>
      <c r="E384" s="370"/>
      <c r="F384" s="370"/>
      <c r="G384" s="652">
        <f>G40</f>
        <v>0</v>
      </c>
      <c r="H384" s="370"/>
      <c r="I384" s="370"/>
      <c r="J384" s="370"/>
      <c r="K384" s="370"/>
      <c r="L384" s="1075" t="s">
        <v>362</v>
      </c>
      <c r="M384" s="1075"/>
      <c r="N384" s="579">
        <f>N40</f>
        <v>0</v>
      </c>
      <c r="O384" s="80"/>
      <c r="P384" s="80"/>
      <c r="Q384" s="80"/>
      <c r="R384" s="80"/>
      <c r="S384" s="80"/>
      <c r="T384" s="80"/>
      <c r="U384" s="80"/>
      <c r="V384" s="80"/>
      <c r="W384" s="80"/>
      <c r="X384" s="80"/>
    </row>
    <row r="385" spans="1:24">
      <c r="A385" s="381"/>
      <c r="B385" s="370"/>
      <c r="C385" s="370"/>
      <c r="D385" s="370"/>
      <c r="E385" s="370"/>
      <c r="F385" s="370"/>
      <c r="G385" s="370"/>
      <c r="H385" s="370"/>
      <c r="I385" s="370"/>
      <c r="J385" s="370"/>
      <c r="K385" s="370"/>
      <c r="L385" s="370"/>
      <c r="M385" s="370"/>
      <c r="N385" s="371"/>
      <c r="O385" s="80"/>
      <c r="P385" s="80"/>
      <c r="Q385" s="80"/>
      <c r="R385" s="80"/>
      <c r="S385" s="80"/>
      <c r="T385" s="80"/>
      <c r="U385" s="80"/>
      <c r="V385" s="80"/>
      <c r="W385" s="80"/>
      <c r="X385" s="80"/>
    </row>
    <row r="386" spans="1:24">
      <c r="A386" s="433" t="s">
        <v>363</v>
      </c>
      <c r="B386" s="370"/>
      <c r="C386" s="370"/>
      <c r="D386" s="370"/>
      <c r="E386" s="370"/>
      <c r="F386" s="370"/>
      <c r="G386" s="370"/>
      <c r="H386" s="370"/>
      <c r="I386" s="370"/>
      <c r="J386" s="370"/>
      <c r="K386" s="370"/>
      <c r="L386" s="370"/>
      <c r="M386" s="370"/>
      <c r="N386" s="371"/>
      <c r="O386" s="80"/>
      <c r="P386" s="80"/>
      <c r="Q386" s="80"/>
      <c r="R386" s="80"/>
      <c r="S386" s="80"/>
      <c r="T386" s="80"/>
      <c r="U386" s="80"/>
      <c r="V386" s="80"/>
      <c r="W386" s="80"/>
      <c r="X386" s="80"/>
    </row>
    <row r="387" spans="1:24">
      <c r="A387" s="381"/>
      <c r="B387" s="370"/>
      <c r="C387" s="210" t="s">
        <v>88</v>
      </c>
      <c r="D387" s="210" t="s">
        <v>87</v>
      </c>
      <c r="E387" s="210" t="s">
        <v>367</v>
      </c>
      <c r="F387" s="210" t="s">
        <v>368</v>
      </c>
      <c r="G387" s="210" t="s">
        <v>369</v>
      </c>
      <c r="H387" s="210" t="s">
        <v>370</v>
      </c>
      <c r="I387" s="210" t="s">
        <v>371</v>
      </c>
      <c r="J387" s="210" t="s">
        <v>372</v>
      </c>
      <c r="K387" s="370"/>
      <c r="L387" s="370"/>
      <c r="M387" s="370"/>
      <c r="N387" s="371"/>
      <c r="O387" s="80"/>
      <c r="P387" s="80"/>
      <c r="Q387" s="80"/>
      <c r="R387" s="80"/>
      <c r="S387" s="80"/>
      <c r="T387" s="80"/>
      <c r="U387" s="80"/>
      <c r="V387" s="80"/>
      <c r="W387" s="80"/>
      <c r="X387" s="80"/>
    </row>
    <row r="388" spans="1:24">
      <c r="A388" s="434" t="s">
        <v>82</v>
      </c>
      <c r="B388" s="370"/>
      <c r="C388" s="106">
        <f>B188</f>
        <v>0</v>
      </c>
      <c r="D388" s="106">
        <f>B187</f>
        <v>1</v>
      </c>
      <c r="E388" s="106">
        <f>B189</f>
        <v>0</v>
      </c>
      <c r="F388" s="106">
        <f>B190</f>
        <v>1</v>
      </c>
      <c r="G388" s="106">
        <f>B191</f>
        <v>8</v>
      </c>
      <c r="H388" s="106">
        <f>B192</f>
        <v>0</v>
      </c>
      <c r="I388" s="106">
        <f>B194</f>
        <v>4</v>
      </c>
      <c r="J388" s="106">
        <f>B193</f>
        <v>1</v>
      </c>
      <c r="K388" s="370"/>
      <c r="L388" s="370"/>
      <c r="M388" s="370"/>
      <c r="N388" s="371"/>
      <c r="O388" s="80"/>
      <c r="P388" s="80"/>
      <c r="Q388" s="80"/>
      <c r="R388" s="80"/>
      <c r="S388" s="80"/>
      <c r="T388" s="80"/>
      <c r="U388" s="80"/>
      <c r="V388" s="80"/>
      <c r="W388" s="80"/>
      <c r="X388" s="80"/>
    </row>
    <row r="389" spans="1:24">
      <c r="A389" s="434" t="s">
        <v>84</v>
      </c>
      <c r="B389" s="370"/>
      <c r="C389" s="106">
        <f>B203</f>
        <v>3</v>
      </c>
      <c r="D389" s="106">
        <f>B202</f>
        <v>0</v>
      </c>
      <c r="E389" s="106">
        <f>B204</f>
        <v>1</v>
      </c>
      <c r="F389" s="106">
        <f>B205</f>
        <v>2</v>
      </c>
      <c r="G389" s="106">
        <f>B206</f>
        <v>7</v>
      </c>
      <c r="H389" s="106">
        <f>B207</f>
        <v>0</v>
      </c>
      <c r="I389" s="106">
        <f>B209</f>
        <v>0</v>
      </c>
      <c r="J389" s="106">
        <f>B208</f>
        <v>1</v>
      </c>
      <c r="K389" s="370"/>
      <c r="L389" s="370"/>
      <c r="M389" s="370"/>
      <c r="N389" s="371"/>
      <c r="O389" s="80"/>
      <c r="P389" s="80"/>
      <c r="Q389" s="80"/>
      <c r="R389" s="80"/>
      <c r="S389" s="80"/>
      <c r="T389" s="80"/>
      <c r="U389" s="80"/>
      <c r="V389" s="80"/>
      <c r="W389" s="80"/>
      <c r="X389" s="80"/>
    </row>
    <row r="390" spans="1:24">
      <c r="A390" s="434" t="s">
        <v>364</v>
      </c>
      <c r="B390" s="370"/>
      <c r="C390" s="106">
        <f>B218</f>
        <v>0</v>
      </c>
      <c r="D390" s="106">
        <f>B217</f>
        <v>1</v>
      </c>
      <c r="E390" s="106">
        <f>B219</f>
        <v>0</v>
      </c>
      <c r="F390" s="106">
        <f>B220</f>
        <v>0</v>
      </c>
      <c r="G390" s="106">
        <f>B221</f>
        <v>2</v>
      </c>
      <c r="H390" s="106">
        <f>B222</f>
        <v>0</v>
      </c>
      <c r="I390" s="106">
        <f>B224</f>
        <v>0</v>
      </c>
      <c r="J390" s="106">
        <f>B223</f>
        <v>0</v>
      </c>
      <c r="K390" s="370"/>
      <c r="L390" s="370"/>
      <c r="M390" s="370"/>
      <c r="N390" s="371"/>
      <c r="O390" s="80"/>
    </row>
    <row r="391" spans="1:24">
      <c r="A391" s="434" t="s">
        <v>365</v>
      </c>
      <c r="B391" s="370"/>
      <c r="C391" s="106"/>
      <c r="D391" s="106"/>
      <c r="E391" s="106"/>
      <c r="F391" s="106"/>
      <c r="G391" s="106"/>
      <c r="H391" s="106"/>
      <c r="I391" s="106"/>
      <c r="J391" s="106"/>
      <c r="K391" s="370"/>
      <c r="L391" s="370"/>
      <c r="M391" s="370"/>
      <c r="N391" s="371"/>
      <c r="O391" s="80"/>
    </row>
    <row r="392" spans="1:24">
      <c r="A392" s="434" t="s">
        <v>366</v>
      </c>
      <c r="B392" s="370"/>
      <c r="C392" s="106">
        <f>SUM(C388:C391)</f>
        <v>3</v>
      </c>
      <c r="D392" s="106">
        <f t="shared" ref="D392:J392" si="14">SUM(D388:D391)</f>
        <v>2</v>
      </c>
      <c r="E392" s="106">
        <f t="shared" si="14"/>
        <v>1</v>
      </c>
      <c r="F392" s="106">
        <f t="shared" si="14"/>
        <v>3</v>
      </c>
      <c r="G392" s="106">
        <f t="shared" si="14"/>
        <v>17</v>
      </c>
      <c r="H392" s="106">
        <f t="shared" si="14"/>
        <v>0</v>
      </c>
      <c r="I392" s="106">
        <f t="shared" si="14"/>
        <v>4</v>
      </c>
      <c r="J392" s="106">
        <f t="shared" si="14"/>
        <v>2</v>
      </c>
      <c r="K392" s="370"/>
      <c r="L392" s="370"/>
      <c r="M392" s="370"/>
      <c r="N392" s="371"/>
    </row>
    <row r="393" spans="1:24" ht="15" customHeight="1">
      <c r="A393" s="331"/>
      <c r="B393" s="86"/>
      <c r="C393" s="86"/>
      <c r="D393" s="86"/>
      <c r="E393" s="86"/>
      <c r="F393" s="86"/>
      <c r="G393" s="86"/>
      <c r="H393" s="86"/>
      <c r="I393" s="86"/>
      <c r="J393" s="86"/>
      <c r="K393" s="86"/>
      <c r="L393" s="86"/>
      <c r="M393" s="86"/>
      <c r="N393" s="325"/>
    </row>
    <row r="394" spans="1:24">
      <c r="A394" s="1046" t="s">
        <v>373</v>
      </c>
      <c r="B394" s="1047"/>
      <c r="C394" s="1047"/>
      <c r="D394" s="1047"/>
      <c r="E394" s="1077" t="s">
        <v>376</v>
      </c>
      <c r="F394" s="1077"/>
      <c r="G394" s="649"/>
      <c r="H394" s="1077" t="s">
        <v>378</v>
      </c>
      <c r="I394" s="1077"/>
      <c r="J394" s="649"/>
      <c r="K394" s="1077" t="s">
        <v>377</v>
      </c>
      <c r="L394" s="1077"/>
      <c r="M394" s="1077"/>
      <c r="N394" s="678"/>
    </row>
    <row r="395" spans="1:24" ht="15" customHeight="1">
      <c r="A395" s="1068" t="s">
        <v>374</v>
      </c>
      <c r="B395" s="1069"/>
      <c r="C395" s="1069"/>
      <c r="D395" s="1069"/>
      <c r="E395" s="86">
        <f>C241</f>
        <v>346</v>
      </c>
      <c r="F395" s="86"/>
      <c r="G395" s="86"/>
      <c r="H395" s="89">
        <f>B243</f>
        <v>54</v>
      </c>
      <c r="I395" s="86"/>
      <c r="J395" s="86"/>
      <c r="K395" s="1060">
        <f>D243</f>
        <v>1384</v>
      </c>
      <c r="L395" s="1030"/>
      <c r="M395" s="86"/>
      <c r="N395" s="325"/>
    </row>
    <row r="396" spans="1:24">
      <c r="A396" s="1070" t="s">
        <v>29</v>
      </c>
      <c r="B396" s="1071"/>
      <c r="C396" s="1071"/>
      <c r="D396" s="1071"/>
      <c r="E396" s="87">
        <f>D241</f>
        <v>79</v>
      </c>
      <c r="F396" s="87"/>
      <c r="G396" s="87"/>
      <c r="H396" s="90">
        <f>B244</f>
        <v>18</v>
      </c>
      <c r="I396" s="87"/>
      <c r="J396" s="87"/>
      <c r="K396" s="1072">
        <f>D244</f>
        <v>316</v>
      </c>
      <c r="L396" s="1073"/>
      <c r="M396" s="87"/>
      <c r="N396" s="436"/>
    </row>
    <row r="397" spans="1:24">
      <c r="A397" s="1068" t="s">
        <v>56</v>
      </c>
      <c r="B397" s="1069"/>
      <c r="C397" s="1069"/>
      <c r="D397" s="1069"/>
      <c r="E397" s="87">
        <f>E241</f>
        <v>32</v>
      </c>
      <c r="F397" s="87"/>
      <c r="G397" s="87"/>
      <c r="H397" s="90">
        <f>B245</f>
        <v>28</v>
      </c>
      <c r="I397" s="87"/>
      <c r="J397" s="87"/>
      <c r="K397" s="1072">
        <f>D245</f>
        <v>288</v>
      </c>
      <c r="L397" s="1073"/>
      <c r="M397" s="87"/>
      <c r="N397" s="436"/>
    </row>
    <row r="398" spans="1:24">
      <c r="A398" s="1058" t="s">
        <v>375</v>
      </c>
      <c r="B398" s="1059"/>
      <c r="C398" s="1059"/>
      <c r="D398" s="1059"/>
      <c r="E398" s="86"/>
      <c r="F398" s="86"/>
      <c r="G398" s="86"/>
      <c r="H398" s="91">
        <f>SUM(H395:H397)</f>
        <v>100</v>
      </c>
      <c r="I398" s="86"/>
      <c r="J398" s="86"/>
      <c r="K398" s="1060">
        <f>SUM(K395:K397)</f>
        <v>1988</v>
      </c>
      <c r="L398" s="1030"/>
      <c r="M398" s="86"/>
      <c r="N398" s="325"/>
    </row>
    <row r="399" spans="1:24">
      <c r="A399" s="1061" t="s">
        <v>379</v>
      </c>
      <c r="B399" s="1062"/>
      <c r="C399" s="1062"/>
      <c r="D399" s="1062"/>
      <c r="E399" s="1062"/>
      <c r="F399" s="1062"/>
      <c r="G399" s="86"/>
      <c r="H399" s="86"/>
      <c r="I399" s="86"/>
      <c r="J399" s="86"/>
      <c r="K399" s="86"/>
      <c r="L399" s="86"/>
      <c r="M399" s="86"/>
      <c r="N399" s="325"/>
    </row>
    <row r="400" spans="1:24" ht="14.1" customHeight="1">
      <c r="A400" s="686"/>
      <c r="B400" s="659"/>
      <c r="C400" s="1063" t="s">
        <v>388</v>
      </c>
      <c r="D400" s="1063"/>
      <c r="E400" s="648"/>
      <c r="F400" s="1064" t="s">
        <v>389</v>
      </c>
      <c r="G400" s="1064"/>
      <c r="H400" s="1064"/>
      <c r="I400" s="1064"/>
      <c r="J400" s="1064"/>
      <c r="K400" s="1064"/>
      <c r="L400" s="1064"/>
      <c r="M400" s="1064"/>
      <c r="N400" s="1065"/>
    </row>
    <row r="401" spans="1:14">
      <c r="A401" s="95" t="s">
        <v>380</v>
      </c>
      <c r="B401" s="86"/>
      <c r="C401" s="105">
        <f>D10</f>
        <v>79</v>
      </c>
      <c r="D401" s="86"/>
      <c r="E401" s="99"/>
      <c r="F401" s="648"/>
      <c r="G401" s="99"/>
      <c r="H401" s="648"/>
      <c r="I401" s="99"/>
      <c r="J401" s="648"/>
      <c r="K401" s="99"/>
      <c r="L401" s="648"/>
      <c r="M401" s="99"/>
      <c r="N401" s="575"/>
    </row>
    <row r="402" spans="1:14" ht="14.1" customHeight="1">
      <c r="A402" s="95" t="s">
        <v>381</v>
      </c>
      <c r="B402" s="86"/>
      <c r="C402" s="105">
        <f>D14</f>
        <v>68.614439999999988</v>
      </c>
      <c r="D402" s="86"/>
      <c r="E402" s="93"/>
      <c r="F402" s="86"/>
      <c r="G402" s="93"/>
      <c r="H402" s="86"/>
      <c r="I402" s="93"/>
      <c r="J402" s="86"/>
      <c r="K402" s="93"/>
      <c r="L402" s="86"/>
      <c r="M402" s="93"/>
      <c r="N402" s="325"/>
    </row>
    <row r="403" spans="1:14">
      <c r="A403" s="96" t="s">
        <v>382</v>
      </c>
      <c r="B403" s="654"/>
      <c r="C403" s="106"/>
      <c r="D403" s="654"/>
      <c r="E403" s="100"/>
      <c r="F403" s="98"/>
      <c r="G403" s="100"/>
      <c r="H403" s="98"/>
      <c r="I403" s="100"/>
      <c r="J403" s="98"/>
      <c r="K403" s="100"/>
      <c r="L403" s="98"/>
      <c r="M403" s="100"/>
      <c r="N403" s="437"/>
    </row>
    <row r="404" spans="1:14">
      <c r="A404" s="301" t="s">
        <v>76</v>
      </c>
      <c r="B404" s="86"/>
      <c r="C404" s="105">
        <f>D17</f>
        <v>1.66</v>
      </c>
      <c r="D404" s="86"/>
      <c r="E404" s="100"/>
      <c r="F404" s="98"/>
      <c r="G404" s="100"/>
      <c r="H404" s="98"/>
      <c r="I404" s="100"/>
      <c r="J404" s="98"/>
      <c r="K404" s="100"/>
      <c r="L404" s="98"/>
      <c r="M404" s="100"/>
      <c r="N404" s="437"/>
    </row>
    <row r="405" spans="1:14" ht="14.1" customHeight="1">
      <c r="A405" s="95" t="s">
        <v>13</v>
      </c>
      <c r="B405" s="86"/>
      <c r="C405" s="107">
        <f>D18</f>
        <v>28.668892437218755</v>
      </c>
      <c r="D405" s="86"/>
      <c r="E405" s="93"/>
      <c r="F405" s="86"/>
      <c r="G405" s="93"/>
      <c r="H405" s="86"/>
      <c r="I405" s="93"/>
      <c r="J405" s="86"/>
      <c r="K405" s="93"/>
      <c r="L405" s="86"/>
      <c r="M405" s="93"/>
      <c r="N405" s="325"/>
    </row>
    <row r="406" spans="1:14">
      <c r="A406" s="96" t="s">
        <v>383</v>
      </c>
      <c r="B406" s="654"/>
      <c r="C406" s="106">
        <f>E49</f>
        <v>0</v>
      </c>
      <c r="D406" s="654"/>
      <c r="E406" s="99"/>
      <c r="F406" s="648"/>
      <c r="G406" s="99"/>
      <c r="H406" s="648"/>
      <c r="I406" s="99"/>
      <c r="J406" s="648"/>
      <c r="K406" s="99"/>
      <c r="L406" s="648"/>
      <c r="M406" s="99"/>
      <c r="N406" s="575"/>
    </row>
    <row r="407" spans="1:14">
      <c r="A407" s="95" t="s">
        <v>384</v>
      </c>
      <c r="B407" s="86"/>
      <c r="C407" s="105">
        <f>E51</f>
        <v>0</v>
      </c>
      <c r="D407" s="86"/>
      <c r="E407" s="99"/>
      <c r="F407" s="648"/>
      <c r="G407" s="99"/>
      <c r="H407" s="648"/>
      <c r="I407" s="99"/>
      <c r="J407" s="648"/>
      <c r="K407" s="99"/>
      <c r="L407" s="648"/>
      <c r="M407" s="99"/>
      <c r="N407" s="575"/>
    </row>
    <row r="408" spans="1:14">
      <c r="A408" s="95" t="s">
        <v>385</v>
      </c>
      <c r="B408" s="86"/>
      <c r="C408" s="105">
        <f>E52</f>
        <v>0</v>
      </c>
      <c r="D408" s="86"/>
      <c r="E408" s="93"/>
      <c r="F408" s="86"/>
      <c r="G408" s="93"/>
      <c r="H408" s="86"/>
      <c r="I408" s="93"/>
      <c r="J408" s="86"/>
      <c r="K408" s="93"/>
      <c r="L408" s="86"/>
      <c r="M408" s="93"/>
      <c r="N408" s="325"/>
    </row>
    <row r="409" spans="1:14">
      <c r="A409" s="94" t="s">
        <v>77</v>
      </c>
      <c r="B409" s="576"/>
      <c r="C409" s="102">
        <v>0</v>
      </c>
      <c r="D409" s="576"/>
      <c r="E409" s="93"/>
      <c r="F409" s="86"/>
      <c r="G409" s="93"/>
      <c r="H409" s="86"/>
      <c r="I409" s="93"/>
      <c r="J409" s="86"/>
      <c r="K409" s="93"/>
      <c r="L409" s="86"/>
      <c r="M409" s="93"/>
      <c r="N409" s="325"/>
    </row>
    <row r="410" spans="1:14" ht="15" customHeight="1">
      <c r="A410" s="95" t="s">
        <v>386</v>
      </c>
      <c r="B410" s="86"/>
      <c r="C410" s="105"/>
      <c r="D410" s="86"/>
      <c r="E410" s="93"/>
      <c r="F410" s="86"/>
      <c r="G410" s="93"/>
      <c r="H410" s="86"/>
      <c r="I410" s="93"/>
      <c r="J410" s="86"/>
      <c r="K410" s="93"/>
      <c r="L410" s="86"/>
      <c r="M410" s="93"/>
      <c r="N410" s="325"/>
    </row>
    <row r="411" spans="1:14" ht="15" customHeight="1">
      <c r="A411" s="97" t="s">
        <v>387</v>
      </c>
      <c r="B411" s="659"/>
      <c r="C411" s="108"/>
      <c r="D411" s="659"/>
      <c r="E411" s="101"/>
      <c r="F411" s="649"/>
      <c r="G411" s="101"/>
      <c r="H411" s="649"/>
      <c r="I411" s="101"/>
      <c r="J411" s="649"/>
      <c r="K411" s="101"/>
      <c r="L411" s="649"/>
      <c r="M411" s="101"/>
      <c r="N411" s="678"/>
    </row>
    <row r="412" spans="1:14">
      <c r="A412" s="95" t="s">
        <v>357</v>
      </c>
      <c r="B412" s="335"/>
      <c r="C412" s="105"/>
      <c r="D412" s="335"/>
      <c r="E412" s="101"/>
      <c r="F412" s="426"/>
      <c r="G412" s="101"/>
      <c r="H412" s="426"/>
      <c r="I412" s="101"/>
      <c r="J412" s="426"/>
      <c r="K412" s="101"/>
      <c r="L412" s="426"/>
      <c r="M412" s="101"/>
      <c r="N412" s="429"/>
    </row>
    <row r="413" spans="1:14">
      <c r="A413" s="336" t="s">
        <v>20</v>
      </c>
      <c r="B413" s="355"/>
      <c r="C413" s="355"/>
      <c r="D413" s="112" t="s">
        <v>392</v>
      </c>
      <c r="E413" s="1066" t="s">
        <v>388</v>
      </c>
      <c r="F413" s="1067"/>
      <c r="G413" s="427"/>
      <c r="H413" s="430"/>
      <c r="I413" s="427"/>
      <c r="J413" s="427"/>
      <c r="K413" s="427"/>
      <c r="L413" s="427"/>
      <c r="M413" s="427"/>
      <c r="N413" s="428"/>
    </row>
    <row r="414" spans="1:14">
      <c r="A414" s="1054" t="s">
        <v>22</v>
      </c>
      <c r="B414" s="1055"/>
      <c r="C414" s="1055"/>
      <c r="D414" s="161" t="str">
        <f>C55</f>
        <v>12.0-16.0</v>
      </c>
      <c r="E414" s="649"/>
      <c r="F414" s="116">
        <f>E55</f>
        <v>10.3</v>
      </c>
      <c r="G414" s="649"/>
      <c r="H414" s="116">
        <f>G55</f>
        <v>0</v>
      </c>
      <c r="I414" s="649"/>
      <c r="J414" s="116">
        <f>I55</f>
        <v>0</v>
      </c>
      <c r="K414" s="649"/>
      <c r="L414" s="116">
        <f>K55</f>
        <v>0</v>
      </c>
      <c r="M414" s="158" t="str">
        <f>L55</f>
        <v>ND</v>
      </c>
      <c r="N414" s="678"/>
    </row>
    <row r="415" spans="1:14">
      <c r="A415" s="1054" t="s">
        <v>390</v>
      </c>
      <c r="B415" s="1055"/>
      <c r="C415" s="1055"/>
      <c r="D415" s="162" t="str">
        <f>C57</f>
        <v>36.0-47</v>
      </c>
      <c r="E415" s="86"/>
      <c r="F415" s="95">
        <f>E57</f>
        <v>0</v>
      </c>
      <c r="G415" s="86"/>
      <c r="H415" s="95">
        <f>G57</f>
        <v>0</v>
      </c>
      <c r="I415" s="86"/>
      <c r="J415" s="95">
        <f>I57</f>
        <v>0</v>
      </c>
      <c r="K415" s="86"/>
      <c r="L415" s="95">
        <f>K57</f>
        <v>0</v>
      </c>
      <c r="M415" s="159" t="str">
        <f>L57</f>
        <v>ND</v>
      </c>
      <c r="N415" s="325"/>
    </row>
    <row r="416" spans="1:14" ht="15" customHeight="1">
      <c r="A416" s="1054" t="s">
        <v>391</v>
      </c>
      <c r="B416" s="1055"/>
      <c r="C416" s="1055"/>
      <c r="D416" s="162" t="str">
        <f>C59</f>
        <v>4000-11200</v>
      </c>
      <c r="E416" s="86"/>
      <c r="F416" s="95">
        <f>E59</f>
        <v>0</v>
      </c>
      <c r="G416" s="86"/>
      <c r="H416" s="95">
        <f>G59</f>
        <v>0</v>
      </c>
      <c r="I416" s="86"/>
      <c r="J416" s="95">
        <f>I59</f>
        <v>0</v>
      </c>
      <c r="K416" s="86"/>
      <c r="L416" s="95">
        <f>K59</f>
        <v>0</v>
      </c>
      <c r="M416" s="159" t="str">
        <f>L59</f>
        <v>ND</v>
      </c>
      <c r="N416" s="325"/>
    </row>
    <row r="417" spans="1:14">
      <c r="A417" s="1056" t="s">
        <v>25</v>
      </c>
      <c r="B417" s="1057"/>
      <c r="C417" s="1057"/>
      <c r="D417" s="163" t="str">
        <f>C62</f>
        <v>65-110</v>
      </c>
      <c r="E417" s="648"/>
      <c r="F417" s="157">
        <f>E62</f>
        <v>107</v>
      </c>
      <c r="G417" s="648"/>
      <c r="H417" s="157">
        <f>G62</f>
        <v>0</v>
      </c>
      <c r="I417" s="648"/>
      <c r="J417" s="157">
        <f>I62</f>
        <v>0</v>
      </c>
      <c r="K417" s="648"/>
      <c r="L417" s="157">
        <f>K62</f>
        <v>0</v>
      </c>
      <c r="M417" s="160" t="str">
        <f>L62</f>
        <v>ND</v>
      </c>
      <c r="N417" s="575"/>
    </row>
    <row r="418" spans="1:14">
      <c r="A418" s="1054" t="s">
        <v>26</v>
      </c>
      <c r="B418" s="1055"/>
      <c r="C418" s="1055"/>
      <c r="D418" s="164" t="str">
        <f>C64</f>
        <v>14.0-44</v>
      </c>
      <c r="E418" s="648"/>
      <c r="F418" s="157">
        <f>E64</f>
        <v>21</v>
      </c>
      <c r="G418" s="648"/>
      <c r="H418" s="157">
        <f>G64</f>
        <v>0</v>
      </c>
      <c r="I418" s="648"/>
      <c r="J418" s="157">
        <f>I64</f>
        <v>0</v>
      </c>
      <c r="K418" s="648"/>
      <c r="L418" s="157">
        <f>K64</f>
        <v>0</v>
      </c>
      <c r="M418" s="160" t="str">
        <f>L64</f>
        <v>ND</v>
      </c>
      <c r="N418" s="575"/>
    </row>
    <row r="419" spans="1:14">
      <c r="A419" s="1054" t="s">
        <v>27</v>
      </c>
      <c r="B419" s="1055"/>
      <c r="C419" s="1055"/>
      <c r="D419" s="164" t="str">
        <f>C66</f>
        <v>3.4-7.0</v>
      </c>
      <c r="E419" s="648"/>
      <c r="F419" s="157">
        <f>E66</f>
        <v>0</v>
      </c>
      <c r="G419" s="648"/>
      <c r="H419" s="157">
        <f>G66</f>
        <v>0</v>
      </c>
      <c r="I419" s="648"/>
      <c r="J419" s="157">
        <f>I66</f>
        <v>0</v>
      </c>
      <c r="K419" s="648"/>
      <c r="L419" s="157">
        <f>K66</f>
        <v>0</v>
      </c>
      <c r="M419" s="160" t="str">
        <f>L66</f>
        <v>ND</v>
      </c>
      <c r="N419" s="575"/>
    </row>
    <row r="420" spans="1:14">
      <c r="A420" s="1054" t="s">
        <v>28</v>
      </c>
      <c r="B420" s="1055"/>
      <c r="C420" s="1055"/>
      <c r="D420" s="162" t="str">
        <f>C68</f>
        <v>0.5-1.6</v>
      </c>
      <c r="E420" s="648"/>
      <c r="F420" s="157">
        <f>E68</f>
        <v>0.6</v>
      </c>
      <c r="G420" s="648"/>
      <c r="H420" s="157">
        <f>G68</f>
        <v>0</v>
      </c>
      <c r="I420" s="648"/>
      <c r="J420" s="157">
        <f>I68</f>
        <v>0</v>
      </c>
      <c r="K420" s="648"/>
      <c r="L420" s="157">
        <f>K68</f>
        <v>0</v>
      </c>
      <c r="M420" s="160" t="str">
        <f>L68</f>
        <v>ND</v>
      </c>
      <c r="N420" s="575"/>
    </row>
    <row r="421" spans="1:14">
      <c r="A421" s="1054" t="s">
        <v>30</v>
      </c>
      <c r="B421" s="1055"/>
      <c r="C421" s="1055"/>
      <c r="D421" s="162" t="str">
        <f>C71</f>
        <v>6.4-8.3</v>
      </c>
      <c r="E421" s="648"/>
      <c r="F421" s="157">
        <f>E71</f>
        <v>0</v>
      </c>
      <c r="G421" s="648"/>
      <c r="H421" s="157">
        <f>G71</f>
        <v>0</v>
      </c>
      <c r="I421" s="648"/>
      <c r="J421" s="157">
        <f>I71</f>
        <v>0</v>
      </c>
      <c r="K421" s="648"/>
      <c r="L421" s="157">
        <f>K71</f>
        <v>0</v>
      </c>
      <c r="M421" s="160" t="str">
        <f>L71</f>
        <v>ND</v>
      </c>
      <c r="N421" s="575"/>
    </row>
    <row r="422" spans="1:14">
      <c r="A422" s="1054" t="s">
        <v>31</v>
      </c>
      <c r="B422" s="1055"/>
      <c r="C422" s="1055"/>
      <c r="D422" s="162" t="str">
        <f>C73</f>
        <v>3.4- 5.0</v>
      </c>
      <c r="E422" s="648"/>
      <c r="F422" s="157">
        <f>E73</f>
        <v>1.7</v>
      </c>
      <c r="G422" s="648"/>
      <c r="H422" s="157">
        <f>G73</f>
        <v>0</v>
      </c>
      <c r="I422" s="648"/>
      <c r="J422" s="157">
        <f>I73</f>
        <v>0</v>
      </c>
      <c r="K422" s="648"/>
      <c r="L422" s="157">
        <f>K73</f>
        <v>0</v>
      </c>
      <c r="M422" s="160" t="str">
        <f>L73</f>
        <v>ND</v>
      </c>
      <c r="N422" s="575"/>
    </row>
    <row r="423" spans="1:14">
      <c r="A423" s="1054" t="s">
        <v>36</v>
      </c>
      <c r="B423" s="1055"/>
      <c r="C423" s="1055"/>
      <c r="D423" s="162"/>
      <c r="E423" s="648"/>
      <c r="F423" s="157"/>
      <c r="G423" s="648"/>
      <c r="H423" s="157"/>
      <c r="I423" s="648"/>
      <c r="J423" s="157"/>
      <c r="K423" s="648"/>
      <c r="L423" s="157"/>
      <c r="M423" s="160"/>
      <c r="N423" s="575"/>
    </row>
    <row r="424" spans="1:14">
      <c r="A424" s="1054" t="s">
        <v>32</v>
      </c>
      <c r="B424" s="1055"/>
      <c r="C424" s="1055"/>
      <c r="D424" s="162"/>
      <c r="E424" s="648"/>
      <c r="F424" s="157"/>
      <c r="G424" s="648"/>
      <c r="H424" s="157"/>
      <c r="I424" s="648"/>
      <c r="J424" s="157"/>
      <c r="K424" s="648"/>
      <c r="L424" s="157"/>
      <c r="M424" s="160"/>
      <c r="N424" s="575"/>
    </row>
    <row r="425" spans="1:14" ht="15" customHeight="1">
      <c r="A425" s="1054" t="s">
        <v>33</v>
      </c>
      <c r="B425" s="1055"/>
      <c r="C425" s="1055"/>
      <c r="D425" s="162" t="str">
        <f>C76</f>
        <v>140-200mg</v>
      </c>
      <c r="E425" s="86"/>
      <c r="F425" s="95">
        <f>E76</f>
        <v>0</v>
      </c>
      <c r="G425" s="86"/>
      <c r="H425" s="95">
        <f>G76</f>
        <v>0</v>
      </c>
      <c r="I425" s="86"/>
      <c r="J425" s="95">
        <f>I76</f>
        <v>0</v>
      </c>
      <c r="K425" s="86"/>
      <c r="L425" s="95">
        <f>K76</f>
        <v>0</v>
      </c>
      <c r="M425" s="159" t="str">
        <f>L76</f>
        <v>ND</v>
      </c>
      <c r="N425" s="325"/>
    </row>
    <row r="426" spans="1:14">
      <c r="A426" s="1052" t="s">
        <v>34</v>
      </c>
      <c r="B426" s="1053"/>
      <c r="C426" s="1053"/>
      <c r="D426" s="165" t="str">
        <f>C78</f>
        <v>40-160</v>
      </c>
      <c r="E426" s="649"/>
      <c r="F426" s="116">
        <f>E78</f>
        <v>0</v>
      </c>
      <c r="G426" s="649"/>
      <c r="H426" s="116">
        <f>G78</f>
        <v>0</v>
      </c>
      <c r="I426" s="649"/>
      <c r="J426" s="116">
        <f>I78</f>
        <v>0</v>
      </c>
      <c r="K426" s="649"/>
      <c r="L426" s="116">
        <f>K78</f>
        <v>0</v>
      </c>
      <c r="M426" s="158" t="str">
        <f>L78</f>
        <v>ND</v>
      </c>
      <c r="N426" s="678"/>
    </row>
    <row r="427" spans="1:14">
      <c r="A427" s="1054" t="s">
        <v>35</v>
      </c>
      <c r="B427" s="1055"/>
      <c r="C427" s="1055"/>
      <c r="D427" s="162"/>
      <c r="E427" s="649"/>
      <c r="F427" s="116"/>
      <c r="G427" s="649"/>
      <c r="H427" s="116"/>
      <c r="I427" s="649"/>
      <c r="J427" s="116"/>
      <c r="K427" s="649"/>
      <c r="L427" s="116"/>
      <c r="M427" s="158"/>
      <c r="N427" s="678"/>
    </row>
    <row r="428" spans="1:14">
      <c r="A428" s="1054" t="s">
        <v>357</v>
      </c>
      <c r="B428" s="1055"/>
      <c r="C428" s="1055"/>
      <c r="D428" s="162"/>
      <c r="E428" s="649"/>
      <c r="F428" s="116"/>
      <c r="G428" s="649"/>
      <c r="H428" s="116"/>
      <c r="I428" s="649"/>
      <c r="J428" s="116"/>
      <c r="K428" s="649"/>
      <c r="L428" s="116"/>
      <c r="M428" s="158"/>
      <c r="N428" s="678"/>
    </row>
    <row r="429" spans="1:14">
      <c r="A429" s="331"/>
      <c r="B429" s="86"/>
      <c r="C429" s="86"/>
      <c r="D429" s="86"/>
      <c r="E429" s="649"/>
      <c r="F429" s="649"/>
      <c r="G429" s="649"/>
      <c r="H429" s="649"/>
      <c r="I429" s="649"/>
      <c r="J429" s="649"/>
      <c r="K429" s="649"/>
      <c r="L429" s="649"/>
      <c r="M429" s="649"/>
      <c r="N429" s="678"/>
    </row>
    <row r="430" spans="1:14" ht="15" customHeight="1">
      <c r="A430" s="1037"/>
      <c r="B430" s="1038"/>
      <c r="C430" s="1038"/>
      <c r="D430" s="1038"/>
      <c r="E430" s="1038"/>
      <c r="F430" s="1038"/>
      <c r="G430" s="1038"/>
      <c r="H430" s="1038"/>
      <c r="I430" s="1038"/>
      <c r="J430" s="1038"/>
      <c r="K430" s="1038"/>
      <c r="L430" s="1038"/>
      <c r="M430" s="1038"/>
      <c r="N430" s="1039"/>
    </row>
    <row r="431" spans="1:14">
      <c r="A431" s="1002"/>
      <c r="B431" s="1003"/>
      <c r="C431" s="1003"/>
      <c r="D431" s="1003"/>
      <c r="E431" s="1003"/>
      <c r="F431" s="1003"/>
      <c r="G431" s="1003"/>
      <c r="H431" s="1003"/>
      <c r="I431" s="1003"/>
      <c r="J431" s="1003"/>
      <c r="K431" s="1003"/>
      <c r="L431" s="1003"/>
      <c r="M431" s="1003"/>
      <c r="N431" s="1040"/>
    </row>
    <row r="432" spans="1:14">
      <c r="A432" s="1002"/>
      <c r="B432" s="1003"/>
      <c r="C432" s="1003"/>
      <c r="D432" s="1003"/>
      <c r="E432" s="1003"/>
      <c r="F432" s="1003"/>
      <c r="G432" s="1003"/>
      <c r="H432" s="1003"/>
      <c r="I432" s="1003"/>
      <c r="J432" s="1003"/>
      <c r="K432" s="1003"/>
      <c r="L432" s="1003"/>
      <c r="M432" s="1003"/>
      <c r="N432" s="1040"/>
    </row>
    <row r="433" spans="1:14">
      <c r="A433" s="1002"/>
      <c r="B433" s="1003"/>
      <c r="C433" s="1003"/>
      <c r="D433" s="1003"/>
      <c r="E433" s="1003"/>
      <c r="F433" s="1003"/>
      <c r="G433" s="1003"/>
      <c r="H433" s="1003"/>
      <c r="I433" s="1003"/>
      <c r="J433" s="1003"/>
      <c r="K433" s="1003"/>
      <c r="L433" s="1003"/>
      <c r="M433" s="1003"/>
      <c r="N433" s="1040"/>
    </row>
    <row r="434" spans="1:14">
      <c r="A434" s="1041"/>
      <c r="B434" s="1042"/>
      <c r="C434" s="1042"/>
      <c r="D434" s="1042"/>
      <c r="E434" s="1042"/>
      <c r="F434" s="1042"/>
      <c r="G434" s="1042"/>
      <c r="H434" s="1042"/>
      <c r="I434" s="1042"/>
      <c r="J434" s="1042"/>
      <c r="K434" s="1042"/>
      <c r="L434" s="1042"/>
      <c r="M434" s="1042"/>
      <c r="N434" s="1043"/>
    </row>
    <row r="435" spans="1:14">
      <c r="A435" s="1037"/>
      <c r="B435" s="1038"/>
      <c r="C435" s="1038"/>
      <c r="D435" s="1038"/>
      <c r="E435" s="1038"/>
      <c r="F435" s="1038"/>
      <c r="G435" s="1038"/>
      <c r="H435" s="1038"/>
      <c r="I435" s="1038"/>
      <c r="J435" s="1038"/>
      <c r="K435" s="1038"/>
      <c r="L435" s="1038"/>
      <c r="M435" s="1038"/>
      <c r="N435" s="1039"/>
    </row>
    <row r="436" spans="1:14" ht="17.100000000000001" customHeight="1">
      <c r="A436" s="1002"/>
      <c r="B436" s="1003"/>
      <c r="C436" s="1003"/>
      <c r="D436" s="1003"/>
      <c r="E436" s="1003"/>
      <c r="F436" s="1003"/>
      <c r="G436" s="1003"/>
      <c r="H436" s="1003"/>
      <c r="I436" s="1003"/>
      <c r="J436" s="1003"/>
      <c r="K436" s="1003"/>
      <c r="L436" s="1003"/>
      <c r="M436" s="1003"/>
      <c r="N436" s="1040"/>
    </row>
    <row r="437" spans="1:14" ht="15" customHeight="1">
      <c r="A437" s="1002"/>
      <c r="B437" s="1003"/>
      <c r="C437" s="1003"/>
      <c r="D437" s="1003"/>
      <c r="E437" s="1003"/>
      <c r="F437" s="1003"/>
      <c r="G437" s="1003"/>
      <c r="H437" s="1003"/>
      <c r="I437" s="1003"/>
      <c r="J437" s="1003"/>
      <c r="K437" s="1003"/>
      <c r="L437" s="1003"/>
      <c r="M437" s="1003"/>
      <c r="N437" s="1040"/>
    </row>
    <row r="438" spans="1:14" ht="15.75" customHeight="1">
      <c r="A438" s="1002"/>
      <c r="B438" s="1003"/>
      <c r="C438" s="1003"/>
      <c r="D438" s="1003"/>
      <c r="E438" s="1003"/>
      <c r="F438" s="1003"/>
      <c r="G438" s="1003"/>
      <c r="H438" s="1003"/>
      <c r="I438" s="1003"/>
      <c r="J438" s="1003"/>
      <c r="K438" s="1003"/>
      <c r="L438" s="1003"/>
      <c r="M438" s="1003"/>
      <c r="N438" s="1040"/>
    </row>
    <row r="439" spans="1:14">
      <c r="A439" s="1041"/>
      <c r="B439" s="1042"/>
      <c r="C439" s="1042"/>
      <c r="D439" s="1042"/>
      <c r="E439" s="1042"/>
      <c r="F439" s="1042"/>
      <c r="G439" s="1042"/>
      <c r="H439" s="1042"/>
      <c r="I439" s="1042"/>
      <c r="J439" s="1042"/>
      <c r="K439" s="1042"/>
      <c r="L439" s="1042"/>
      <c r="M439" s="1042"/>
      <c r="N439" s="1043"/>
    </row>
    <row r="440" spans="1:14">
      <c r="A440" s="1037"/>
      <c r="B440" s="1038"/>
      <c r="C440" s="1038"/>
      <c r="D440" s="1038"/>
      <c r="E440" s="1038"/>
      <c r="F440" s="1038"/>
      <c r="G440" s="1038"/>
      <c r="H440" s="1038"/>
      <c r="I440" s="1038"/>
      <c r="J440" s="1038"/>
      <c r="K440" s="1038"/>
      <c r="L440" s="1038"/>
      <c r="M440" s="1038"/>
      <c r="N440" s="1039"/>
    </row>
    <row r="441" spans="1:14">
      <c r="A441" s="1002"/>
      <c r="B441" s="1003"/>
      <c r="C441" s="1003"/>
      <c r="D441" s="1003"/>
      <c r="E441" s="1003"/>
      <c r="F441" s="1003"/>
      <c r="G441" s="1003"/>
      <c r="H441" s="1003"/>
      <c r="I441" s="1003"/>
      <c r="J441" s="1003"/>
      <c r="K441" s="1003"/>
      <c r="L441" s="1003"/>
      <c r="M441" s="1003"/>
      <c r="N441" s="1040"/>
    </row>
    <row r="442" spans="1:14">
      <c r="A442" s="1002"/>
      <c r="B442" s="1003"/>
      <c r="C442" s="1003"/>
      <c r="D442" s="1003"/>
      <c r="E442" s="1003"/>
      <c r="F442" s="1003"/>
      <c r="G442" s="1003"/>
      <c r="H442" s="1003"/>
      <c r="I442" s="1003"/>
      <c r="J442" s="1003"/>
      <c r="K442" s="1003"/>
      <c r="L442" s="1003"/>
      <c r="M442" s="1003"/>
      <c r="N442" s="1040"/>
    </row>
    <row r="443" spans="1:14">
      <c r="A443" s="1002"/>
      <c r="B443" s="1003"/>
      <c r="C443" s="1003"/>
      <c r="D443" s="1003"/>
      <c r="E443" s="1003"/>
      <c r="F443" s="1003"/>
      <c r="G443" s="1003"/>
      <c r="H443" s="1003"/>
      <c r="I443" s="1003"/>
      <c r="J443" s="1003"/>
      <c r="K443" s="1003"/>
      <c r="L443" s="1003"/>
      <c r="M443" s="1003"/>
      <c r="N443" s="1040"/>
    </row>
    <row r="444" spans="1:14">
      <c r="A444" s="1041"/>
      <c r="B444" s="1042"/>
      <c r="C444" s="1042"/>
      <c r="D444" s="1042"/>
      <c r="E444" s="1042"/>
      <c r="F444" s="1042"/>
      <c r="G444" s="1042"/>
      <c r="H444" s="1042"/>
      <c r="I444" s="1042"/>
      <c r="J444" s="1042"/>
      <c r="K444" s="1042"/>
      <c r="L444" s="1042"/>
      <c r="M444" s="1042"/>
      <c r="N444" s="1043"/>
    </row>
    <row r="445" spans="1:14">
      <c r="A445" s="1037"/>
      <c r="B445" s="1038"/>
      <c r="C445" s="1038"/>
      <c r="D445" s="1038"/>
      <c r="E445" s="1038"/>
      <c r="F445" s="1038"/>
      <c r="G445" s="1038"/>
      <c r="H445" s="1038"/>
      <c r="I445" s="1038"/>
      <c r="J445" s="1038"/>
      <c r="K445" s="1038"/>
      <c r="L445" s="1038"/>
      <c r="M445" s="1038"/>
      <c r="N445" s="1039"/>
    </row>
    <row r="446" spans="1:14">
      <c r="A446" s="1002"/>
      <c r="B446" s="1003"/>
      <c r="C446" s="1003"/>
      <c r="D446" s="1003"/>
      <c r="E446" s="1003"/>
      <c r="F446" s="1003"/>
      <c r="G446" s="1003"/>
      <c r="H446" s="1003"/>
      <c r="I446" s="1003"/>
      <c r="J446" s="1003"/>
      <c r="K446" s="1003"/>
      <c r="L446" s="1003"/>
      <c r="M446" s="1003"/>
      <c r="N446" s="1040"/>
    </row>
    <row r="447" spans="1:14" ht="15.75" customHeight="1">
      <c r="A447" s="1002"/>
      <c r="B447" s="1003"/>
      <c r="C447" s="1003"/>
      <c r="D447" s="1003"/>
      <c r="E447" s="1003"/>
      <c r="F447" s="1003"/>
      <c r="G447" s="1003"/>
      <c r="H447" s="1003"/>
      <c r="I447" s="1003"/>
      <c r="J447" s="1003"/>
      <c r="K447" s="1003"/>
      <c r="L447" s="1003"/>
      <c r="M447" s="1003"/>
      <c r="N447" s="1040"/>
    </row>
    <row r="448" spans="1:14">
      <c r="A448" s="1002"/>
      <c r="B448" s="1003"/>
      <c r="C448" s="1003"/>
      <c r="D448" s="1003"/>
      <c r="E448" s="1003"/>
      <c r="F448" s="1003"/>
      <c r="G448" s="1003"/>
      <c r="H448" s="1003"/>
      <c r="I448" s="1003"/>
      <c r="J448" s="1003"/>
      <c r="K448" s="1003"/>
      <c r="L448" s="1003"/>
      <c r="M448" s="1003"/>
      <c r="N448" s="1040"/>
    </row>
    <row r="449" spans="1:21">
      <c r="A449" s="1041"/>
      <c r="B449" s="1042"/>
      <c r="C449" s="1042"/>
      <c r="D449" s="1042"/>
      <c r="E449" s="1042"/>
      <c r="F449" s="1042"/>
      <c r="G449" s="1042"/>
      <c r="H449" s="1042"/>
      <c r="I449" s="1042"/>
      <c r="J449" s="1042"/>
      <c r="K449" s="1042"/>
      <c r="L449" s="1042"/>
      <c r="M449" s="1042"/>
      <c r="N449" s="1043"/>
      <c r="P449" s="2"/>
      <c r="Q449" s="2"/>
      <c r="R449" s="2"/>
    </row>
    <row r="450" spans="1:21">
      <c r="A450" s="331"/>
      <c r="B450" s="86"/>
      <c r="C450" s="86"/>
      <c r="D450" s="86"/>
      <c r="E450" s="86"/>
      <c r="F450" s="86"/>
      <c r="G450" s="86"/>
      <c r="H450" s="86"/>
      <c r="I450" s="86"/>
      <c r="J450" s="86"/>
      <c r="K450" s="86"/>
      <c r="L450" s="86"/>
      <c r="M450" s="86"/>
      <c r="N450" s="325"/>
      <c r="P450" s="2"/>
      <c r="Q450" s="2"/>
      <c r="R450" s="2"/>
    </row>
    <row r="451" spans="1:21">
      <c r="A451" s="331"/>
      <c r="B451" s="86"/>
      <c r="C451" s="86"/>
      <c r="D451" s="86"/>
      <c r="E451" s="86"/>
      <c r="F451" s="86"/>
      <c r="G451" s="86"/>
      <c r="H451" s="86"/>
      <c r="I451" s="86"/>
      <c r="J451" s="86"/>
      <c r="K451" s="86"/>
      <c r="L451" s="86"/>
      <c r="M451" s="86"/>
      <c r="N451" s="325"/>
      <c r="O451" s="2"/>
    </row>
    <row r="452" spans="1:21" ht="15.75">
      <c r="A452" s="1044"/>
      <c r="B452" s="1045"/>
      <c r="C452" s="86"/>
      <c r="D452" s="86"/>
      <c r="E452" s="86"/>
      <c r="F452" s="86"/>
      <c r="G452" s="86"/>
      <c r="H452" s="86"/>
      <c r="I452" s="86"/>
      <c r="J452" s="86"/>
      <c r="K452" s="86"/>
      <c r="L452" s="86"/>
      <c r="M452" s="86"/>
      <c r="N452" s="325"/>
      <c r="O452" s="2"/>
      <c r="P452" s="2"/>
      <c r="Q452" s="2"/>
      <c r="R452" s="2"/>
    </row>
    <row r="453" spans="1:21">
      <c r="A453" s="331"/>
      <c r="B453" s="86"/>
      <c r="C453" s="86"/>
      <c r="D453" s="86"/>
      <c r="E453" s="86"/>
      <c r="F453" s="86"/>
      <c r="G453" s="86"/>
      <c r="H453" s="86"/>
      <c r="I453" s="86"/>
      <c r="J453" s="86"/>
      <c r="K453" s="86"/>
      <c r="L453" s="86"/>
      <c r="M453" s="86"/>
      <c r="N453" s="325"/>
      <c r="O453" s="4"/>
      <c r="P453" s="36"/>
      <c r="Q453" s="36"/>
      <c r="R453" s="36"/>
    </row>
    <row r="454" spans="1:21">
      <c r="A454" s="1046" t="s">
        <v>404</v>
      </c>
      <c r="B454" s="1047"/>
      <c r="C454" s="1047"/>
      <c r="D454" s="1047"/>
      <c r="E454" s="1047"/>
      <c r="F454" s="88" t="str">
        <f>C42</f>
        <v>NTTA DTTA VICTOR HUGO HERNANDEZ MARTINEZ MAT. 8904707</v>
      </c>
      <c r="G454" s="110"/>
      <c r="H454" s="110"/>
      <c r="I454" s="110"/>
      <c r="J454" s="110"/>
      <c r="K454" s="110"/>
      <c r="L454" s="110"/>
      <c r="M454" s="110"/>
      <c r="N454" s="431"/>
      <c r="O454" s="2"/>
      <c r="P454" s="2"/>
    </row>
    <row r="455" spans="1:21" ht="15" customHeight="1">
      <c r="A455" s="1048"/>
      <c r="B455" s="1030"/>
      <c r="C455" s="86"/>
      <c r="D455" s="86"/>
      <c r="E455" s="86"/>
      <c r="F455" s="86"/>
      <c r="G455" s="86"/>
      <c r="H455" s="86"/>
      <c r="I455" s="86"/>
      <c r="J455" s="86"/>
      <c r="K455" s="86"/>
      <c r="L455" s="86"/>
      <c r="M455" s="86"/>
      <c r="N455" s="325"/>
      <c r="O455" s="36"/>
      <c r="P455" s="2"/>
    </row>
    <row r="456" spans="1:21">
      <c r="A456" s="1046"/>
      <c r="B456" s="1047"/>
      <c r="C456" s="1047"/>
      <c r="D456" s="1047"/>
      <c r="E456" s="1047"/>
      <c r="F456" s="221"/>
      <c r="G456" s="221"/>
      <c r="H456" s="221"/>
      <c r="I456" s="221"/>
      <c r="J456" s="221"/>
      <c r="K456" s="221"/>
      <c r="L456" s="221"/>
      <c r="M456" s="221"/>
      <c r="N456" s="305"/>
      <c r="O456" s="2"/>
    </row>
    <row r="457" spans="1:21">
      <c r="A457" s="666"/>
      <c r="B457" s="647"/>
      <c r="C457" s="647"/>
      <c r="D457" s="647"/>
      <c r="E457" s="647"/>
      <c r="F457" s="221"/>
      <c r="G457" s="221"/>
      <c r="H457" s="221"/>
      <c r="I457" s="221"/>
      <c r="J457" s="221"/>
      <c r="K457" s="221"/>
      <c r="L457" s="221"/>
      <c r="M457" s="221"/>
      <c r="N457" s="305"/>
      <c r="O457" s="2"/>
    </row>
    <row r="458" spans="1:21">
      <c r="A458" s="351"/>
      <c r="B458" s="335"/>
      <c r="C458" s="335"/>
      <c r="D458" s="335"/>
      <c r="E458" s="335"/>
      <c r="F458" s="306"/>
      <c r="G458" s="306"/>
      <c r="H458" s="306"/>
      <c r="I458" s="306"/>
      <c r="J458" s="306"/>
      <c r="K458" s="306"/>
      <c r="L458" s="306"/>
      <c r="M458" s="306"/>
      <c r="N458" s="432"/>
      <c r="O458" s="4"/>
    </row>
    <row r="459" spans="1:21">
      <c r="A459" s="336"/>
      <c r="B459" s="343" t="s">
        <v>71</v>
      </c>
      <c r="C459" s="343"/>
      <c r="D459" s="343"/>
      <c r="E459" s="343"/>
      <c r="F459" s="344"/>
      <c r="G459" s="344"/>
      <c r="H459" s="344"/>
      <c r="I459" s="344"/>
      <c r="J459" s="344"/>
      <c r="K459" s="344"/>
      <c r="L459" s="344"/>
      <c r="M459" s="344"/>
      <c r="N459" s="345"/>
      <c r="O459" s="37"/>
    </row>
    <row r="460" spans="1:21">
      <c r="A460" s="337"/>
      <c r="B460" s="334" t="s">
        <v>471</v>
      </c>
      <c r="C460" s="334"/>
      <c r="D460" s="334"/>
      <c r="E460" s="334"/>
      <c r="F460" s="334"/>
      <c r="G460" s="334"/>
      <c r="H460" s="333"/>
      <c r="I460" s="333"/>
      <c r="J460" s="333"/>
      <c r="K460" s="333"/>
      <c r="L460" s="333"/>
      <c r="M460" s="333"/>
      <c r="N460" s="346"/>
    </row>
    <row r="461" spans="1:21">
      <c r="A461" s="1049" t="s">
        <v>1</v>
      </c>
      <c r="B461" s="1050"/>
      <c r="C461" s="1050"/>
      <c r="D461" s="1050"/>
      <c r="E461" s="1050"/>
      <c r="F461" s="1050"/>
      <c r="G461" s="1050"/>
      <c r="H461" s="1050"/>
      <c r="I461" s="1050"/>
      <c r="J461" s="1050"/>
      <c r="K461" s="1050"/>
      <c r="L461" s="1050"/>
      <c r="M461" s="1050"/>
      <c r="N461" s="1051"/>
    </row>
    <row r="462" spans="1:21">
      <c r="A462" s="1027" t="s">
        <v>472</v>
      </c>
      <c r="B462" s="1028"/>
      <c r="C462" s="1028"/>
      <c r="D462" s="1028"/>
      <c r="E462" s="1028"/>
      <c r="F462" s="1028"/>
      <c r="G462" s="1028"/>
      <c r="H462" s="1028"/>
      <c r="I462" s="1028"/>
      <c r="J462" s="1028"/>
      <c r="K462" s="1028"/>
      <c r="L462" s="1028"/>
      <c r="M462" s="1028"/>
      <c r="N462" s="1029"/>
      <c r="O462" s="497">
        <v>8</v>
      </c>
    </row>
    <row r="463" spans="1:21">
      <c r="A463" s="338" t="s">
        <v>473</v>
      </c>
      <c r="B463" s="1030" t="s">
        <v>474</v>
      </c>
      <c r="C463" s="1030"/>
      <c r="D463" s="1030"/>
      <c r="E463" s="86"/>
      <c r="F463" s="86"/>
      <c r="G463" s="86"/>
      <c r="H463" s="86" t="s">
        <v>396</v>
      </c>
      <c r="I463" s="655"/>
      <c r="J463" s="655"/>
      <c r="K463" s="655"/>
      <c r="L463" s="86"/>
      <c r="M463" s="86"/>
      <c r="N463" s="347"/>
      <c r="O463" s="497">
        <v>7</v>
      </c>
    </row>
    <row r="464" spans="1:21">
      <c r="A464" s="679" t="s">
        <v>475</v>
      </c>
      <c r="B464" s="1030"/>
      <c r="C464" s="1030"/>
      <c r="D464" s="1030"/>
      <c r="E464" s="1030"/>
      <c r="F464" s="1030"/>
      <c r="G464" s="1030"/>
      <c r="H464" s="1030"/>
      <c r="I464" s="1030"/>
      <c r="J464" s="1030"/>
      <c r="K464" s="1030"/>
      <c r="L464" s="1030"/>
      <c r="M464" s="1030"/>
      <c r="N464" s="325"/>
      <c r="O464" s="497">
        <v>6</v>
      </c>
      <c r="P464" s="2"/>
      <c r="Q464" s="2"/>
      <c r="R464" s="2"/>
      <c r="S464" s="2"/>
      <c r="T464" s="2"/>
      <c r="U464" s="2"/>
    </row>
    <row r="465" spans="1:21" ht="15.75" thickBot="1">
      <c r="A465" s="339" t="s">
        <v>291</v>
      </c>
      <c r="B465" s="1030"/>
      <c r="C465" s="1030"/>
      <c r="D465" s="1030"/>
      <c r="E465" s="1030"/>
      <c r="F465" s="86"/>
      <c r="G465" s="86" t="s">
        <v>476</v>
      </c>
      <c r="H465" s="656">
        <v>8</v>
      </c>
      <c r="I465" s="650"/>
      <c r="J465" s="86" t="s">
        <v>477</v>
      </c>
      <c r="K465" s="86"/>
      <c r="L465" s="86"/>
      <c r="M465" s="86"/>
      <c r="N465" s="325"/>
      <c r="O465" s="497">
        <v>5</v>
      </c>
      <c r="P465" s="633" t="s">
        <v>576</v>
      </c>
      <c r="Q465" s="213"/>
      <c r="R465" s="213"/>
      <c r="S465" s="213"/>
      <c r="T465" s="2"/>
      <c r="U465" s="2"/>
    </row>
    <row r="466" spans="1:21" ht="15" customHeight="1" thickBot="1">
      <c r="A466" s="340" t="s">
        <v>480</v>
      </c>
      <c r="B466" s="311"/>
      <c r="C466" s="623"/>
      <c r="D466" s="623"/>
      <c r="E466" s="623"/>
      <c r="F466" s="624"/>
      <c r="G466" s="624"/>
      <c r="H466" s="624"/>
      <c r="I466" s="624"/>
      <c r="J466" s="625"/>
      <c r="K466" s="1268" t="s">
        <v>15</v>
      </c>
      <c r="L466" s="1269"/>
      <c r="M466" s="1269"/>
      <c r="N466" s="1270"/>
      <c r="O466" s="497">
        <v>4</v>
      </c>
      <c r="P466" s="213" t="s">
        <v>577</v>
      </c>
      <c r="Q466" s="213"/>
      <c r="R466" s="213"/>
      <c r="S466" s="213"/>
      <c r="T466" s="2"/>
      <c r="U466" s="2"/>
    </row>
    <row r="467" spans="1:21" ht="15" customHeight="1">
      <c r="A467" s="620"/>
      <c r="B467" s="654"/>
      <c r="C467" s="654"/>
      <c r="D467" s="654"/>
      <c r="E467" s="654"/>
      <c r="F467" s="302"/>
      <c r="G467" s="302"/>
      <c r="H467" s="302"/>
      <c r="I467" s="302"/>
      <c r="J467" s="302"/>
      <c r="K467" s="1271" t="s">
        <v>571</v>
      </c>
      <c r="L467" s="1271"/>
      <c r="M467" s="677" t="s">
        <v>572</v>
      </c>
      <c r="N467" s="677" t="s">
        <v>573</v>
      </c>
      <c r="O467" s="497"/>
      <c r="P467" s="215" t="s">
        <v>578</v>
      </c>
      <c r="Q467" s="281"/>
      <c r="R467" s="215"/>
      <c r="S467" s="215"/>
    </row>
    <row r="468" spans="1:21" ht="15.75" thickBot="1">
      <c r="A468" s="331" t="s">
        <v>481</v>
      </c>
      <c r="B468" s="86"/>
      <c r="C468" s="86"/>
      <c r="D468" s="86"/>
      <c r="E468" s="86"/>
      <c r="F468" s="302"/>
      <c r="G468" s="621"/>
      <c r="H468" s="302" t="s">
        <v>402</v>
      </c>
      <c r="I468" s="302"/>
      <c r="J468" s="303"/>
      <c r="K468" s="302"/>
      <c r="L468" s="303"/>
      <c r="M468" s="303"/>
      <c r="N468" s="303"/>
      <c r="O468" s="497" t="s">
        <v>478</v>
      </c>
    </row>
    <row r="469" spans="1:21">
      <c r="A469" s="331" t="s">
        <v>482</v>
      </c>
      <c r="B469" s="86"/>
      <c r="C469" s="86"/>
      <c r="D469" s="1030" t="s">
        <v>582</v>
      </c>
      <c r="E469" s="1030"/>
      <c r="F469" s="1030"/>
      <c r="G469" s="1030"/>
      <c r="H469" s="1030"/>
      <c r="I469" s="1030"/>
      <c r="J469" s="1261"/>
      <c r="K469" s="1272" t="s">
        <v>405</v>
      </c>
      <c r="L469" s="1273"/>
      <c r="M469" s="678"/>
      <c r="N469" s="678"/>
      <c r="O469" s="498" t="s">
        <v>479</v>
      </c>
    </row>
    <row r="470" spans="1:21" ht="15.75" thickBot="1">
      <c r="A470" s="331" t="s">
        <v>483</v>
      </c>
      <c r="B470" s="86"/>
      <c r="C470" s="86"/>
      <c r="D470" s="316"/>
      <c r="E470" s="86"/>
      <c r="F470" s="302"/>
      <c r="G470" s="302"/>
      <c r="H470" s="302"/>
      <c r="I470" s="302"/>
      <c r="J470" s="303"/>
      <c r="K470" s="1272"/>
      <c r="L470" s="1273"/>
      <c r="M470" s="303"/>
      <c r="N470" s="303"/>
      <c r="O470" s="498">
        <v>2</v>
      </c>
    </row>
    <row r="471" spans="1:21" ht="15.75" thickBot="1">
      <c r="A471" s="331" t="s">
        <v>484</v>
      </c>
      <c r="B471" s="86"/>
      <c r="C471" s="86"/>
      <c r="D471" s="313"/>
      <c r="E471" s="86"/>
      <c r="F471" s="302"/>
      <c r="G471" s="302"/>
      <c r="H471" s="302"/>
      <c r="I471" s="302"/>
      <c r="J471" s="303"/>
      <c r="K471" s="1272"/>
      <c r="L471" s="1273"/>
      <c r="M471" s="303"/>
      <c r="N471" s="303"/>
      <c r="O471" s="32"/>
    </row>
    <row r="472" spans="1:21" ht="15.75" thickBot="1">
      <c r="A472" s="331" t="s">
        <v>485</v>
      </c>
      <c r="B472" s="86"/>
      <c r="C472" s="316"/>
      <c r="D472" s="86"/>
      <c r="E472" s="86"/>
      <c r="F472" s="302"/>
      <c r="G472" s="302"/>
      <c r="H472" s="302"/>
      <c r="I472" s="302"/>
      <c r="J472" s="303"/>
      <c r="K472" s="1274"/>
      <c r="L472" s="1275"/>
      <c r="M472" s="303"/>
      <c r="N472" s="303"/>
      <c r="O472" s="32"/>
    </row>
    <row r="473" spans="1:21" ht="15.75" thickBot="1">
      <c r="A473" s="332" t="s">
        <v>486</v>
      </c>
      <c r="B473" s="313"/>
      <c r="C473" s="313"/>
      <c r="D473" s="313"/>
      <c r="E473" s="313"/>
      <c r="F473" s="312"/>
      <c r="G473" s="312"/>
      <c r="H473" s="312"/>
      <c r="I473" s="312"/>
      <c r="J473" s="312"/>
      <c r="K473" s="312"/>
      <c r="L473" s="312"/>
      <c r="M473" s="312"/>
      <c r="N473" s="348"/>
      <c r="O473" s="33"/>
    </row>
    <row r="474" spans="1:21" ht="15.75" thickBot="1">
      <c r="A474" s="331" t="s">
        <v>487</v>
      </c>
      <c r="B474" s="313"/>
      <c r="C474" s="1262" t="s">
        <v>580</v>
      </c>
      <c r="D474" s="1262"/>
      <c r="E474" s="1262"/>
      <c r="F474" s="1262"/>
      <c r="G474" s="1262"/>
      <c r="H474" s="1262"/>
      <c r="I474" s="1262"/>
      <c r="J474" s="1263"/>
      <c r="K474" s="1276"/>
      <c r="L474" s="1277"/>
      <c r="M474" s="634" t="s">
        <v>405</v>
      </c>
      <c r="N474" s="320"/>
      <c r="O474" s="33"/>
      <c r="P474" s="215" t="s">
        <v>579</v>
      </c>
      <c r="Q474" s="215"/>
      <c r="R474" s="215"/>
      <c r="S474" s="215"/>
    </row>
    <row r="475" spans="1:21" ht="15" customHeight="1" thickBot="1">
      <c r="A475" s="331" t="s">
        <v>488</v>
      </c>
      <c r="B475" s="313"/>
      <c r="C475" s="86"/>
      <c r="D475" s="86"/>
      <c r="E475" s="86"/>
      <c r="F475" s="675"/>
      <c r="G475" s="675"/>
      <c r="H475" s="675"/>
      <c r="I475" s="675"/>
      <c r="J475" s="676"/>
      <c r="K475" s="675"/>
      <c r="L475" s="676"/>
      <c r="M475" s="321"/>
      <c r="N475" s="321"/>
      <c r="O475" s="33"/>
      <c r="P475" s="215" t="s">
        <v>580</v>
      </c>
      <c r="Q475" s="215"/>
      <c r="R475" s="215"/>
      <c r="S475" s="215"/>
    </row>
    <row r="476" spans="1:21" ht="15.75" thickBot="1">
      <c r="A476" s="680" t="s">
        <v>489</v>
      </c>
      <c r="B476" s="311"/>
      <c r="C476" s="654"/>
      <c r="D476" s="654"/>
      <c r="E476" s="654"/>
      <c r="F476" s="221"/>
      <c r="G476" s="221"/>
      <c r="H476" s="221"/>
      <c r="I476" s="221"/>
      <c r="J476" s="305"/>
      <c r="K476" s="1278"/>
      <c r="L476" s="1279"/>
      <c r="M476" s="626"/>
      <c r="N476" s="626"/>
      <c r="O476" s="33"/>
      <c r="P476" s="215" t="s">
        <v>581</v>
      </c>
      <c r="Q476" s="215"/>
      <c r="R476" s="215"/>
      <c r="S476" s="215"/>
    </row>
    <row r="477" spans="1:21" ht="15.75" thickBot="1">
      <c r="A477" s="332" t="s">
        <v>490</v>
      </c>
      <c r="B477" s="314"/>
      <c r="C477" s="314"/>
      <c r="D477" s="313"/>
      <c r="E477" s="313"/>
      <c r="F477" s="315"/>
      <c r="G477" s="315"/>
      <c r="H477" s="315"/>
      <c r="I477" s="315"/>
      <c r="J477" s="315"/>
      <c r="K477" s="315"/>
      <c r="L477" s="315"/>
      <c r="M477" s="315"/>
      <c r="N477" s="349"/>
      <c r="O477" s="37"/>
    </row>
    <row r="478" spans="1:21" ht="15.75" thickBot="1">
      <c r="A478" s="331" t="s">
        <v>491</v>
      </c>
      <c r="B478" s="86"/>
      <c r="C478" s="313" t="s">
        <v>403</v>
      </c>
      <c r="D478" s="1262"/>
      <c r="E478" s="1262"/>
      <c r="F478" s="1262"/>
      <c r="G478" s="1262"/>
      <c r="H478" s="1262"/>
      <c r="I478" s="1262"/>
      <c r="J478" s="1263"/>
      <c r="K478" s="1280" t="str">
        <f>C478</f>
        <v>x</v>
      </c>
      <c r="L478" s="1281"/>
      <c r="M478" s="326"/>
      <c r="N478" s="326"/>
      <c r="O478" s="37"/>
      <c r="P478" s="1" t="s">
        <v>583</v>
      </c>
    </row>
    <row r="479" spans="1:21">
      <c r="A479" s="331" t="s">
        <v>488</v>
      </c>
      <c r="B479" s="86"/>
      <c r="C479" s="636"/>
      <c r="D479" s="86"/>
      <c r="E479" s="1030"/>
      <c r="F479" s="1030"/>
      <c r="G479" s="1030"/>
      <c r="H479" s="1030"/>
      <c r="I479" s="1030"/>
      <c r="J479" s="1261"/>
      <c r="K479" s="1267"/>
      <c r="L479" s="1237"/>
      <c r="M479" s="626">
        <f>C479</f>
        <v>0</v>
      </c>
      <c r="N479" s="304"/>
      <c r="O479" s="33"/>
      <c r="P479" s="1" t="s">
        <v>584</v>
      </c>
    </row>
    <row r="480" spans="1:21" ht="15" customHeight="1" thickBot="1">
      <c r="A480" s="331" t="s">
        <v>489</v>
      </c>
      <c r="B480" s="316"/>
      <c r="C480" s="86"/>
      <c r="D480" s="86"/>
      <c r="E480" s="86"/>
      <c r="F480" s="221"/>
      <c r="G480" s="221"/>
      <c r="H480" s="221"/>
      <c r="I480" s="221"/>
      <c r="J480" s="305"/>
      <c r="K480" s="1267"/>
      <c r="L480" s="1237"/>
      <c r="M480" s="322"/>
      <c r="N480" s="322"/>
      <c r="O480" s="33"/>
    </row>
    <row r="481" spans="1:15">
      <c r="A481" s="341" t="s">
        <v>492</v>
      </c>
      <c r="B481" s="166"/>
      <c r="C481" s="166"/>
      <c r="D481" s="86"/>
      <c r="E481" s="86"/>
      <c r="F481" s="86"/>
      <c r="G481" s="86"/>
      <c r="H481" s="86"/>
      <c r="I481" s="86"/>
      <c r="J481" s="325"/>
      <c r="K481" s="1048"/>
      <c r="L481" s="1261"/>
      <c r="M481" s="327"/>
      <c r="N481" s="635">
        <f>B480</f>
        <v>0</v>
      </c>
      <c r="O481" s="33"/>
    </row>
    <row r="482" spans="1:15" ht="15.75" thickBot="1">
      <c r="A482" s="680" t="s">
        <v>493</v>
      </c>
      <c r="B482" s="654"/>
      <c r="C482" s="654"/>
      <c r="D482" s="317"/>
      <c r="E482" s="654"/>
      <c r="F482" s="221"/>
      <c r="G482" s="221"/>
      <c r="H482" s="221"/>
      <c r="I482" s="221"/>
      <c r="J482" s="305"/>
      <c r="K482" s="1267"/>
      <c r="L482" s="1237"/>
      <c r="M482" s="322"/>
      <c r="N482" s="322"/>
      <c r="O482" s="38"/>
    </row>
    <row r="483" spans="1:15" ht="15.75" thickBot="1">
      <c r="A483" s="331" t="s">
        <v>494</v>
      </c>
      <c r="B483" s="86"/>
      <c r="C483" s="86"/>
      <c r="D483" s="316"/>
      <c r="E483" s="86"/>
      <c r="F483" s="221"/>
      <c r="G483" s="221"/>
      <c r="H483" s="221"/>
      <c r="I483" s="221"/>
      <c r="J483" s="305"/>
      <c r="K483" s="1267"/>
      <c r="L483" s="1237"/>
      <c r="M483" s="322"/>
      <c r="N483" s="322"/>
      <c r="O483" s="38"/>
    </row>
    <row r="484" spans="1:15" ht="15.75" thickBot="1">
      <c r="A484" s="331" t="s">
        <v>495</v>
      </c>
      <c r="B484" s="86"/>
      <c r="C484" s="86"/>
      <c r="D484" s="316"/>
      <c r="E484" s="86"/>
      <c r="F484" s="221"/>
      <c r="G484" s="221"/>
      <c r="H484" s="221"/>
      <c r="I484" s="221"/>
      <c r="J484" s="305"/>
      <c r="K484" s="1267"/>
      <c r="L484" s="1237"/>
      <c r="M484" s="322"/>
      <c r="N484" s="322"/>
      <c r="O484" s="38"/>
    </row>
    <row r="485" spans="1:15" ht="15.75" thickBot="1">
      <c r="A485" s="331" t="s">
        <v>496</v>
      </c>
      <c r="B485" s="86"/>
      <c r="C485" s="86"/>
      <c r="D485" s="316"/>
      <c r="E485" s="86"/>
      <c r="F485" s="221"/>
      <c r="G485" s="221"/>
      <c r="H485" s="221"/>
      <c r="I485" s="221"/>
      <c r="J485" s="305"/>
      <c r="K485" s="1267"/>
      <c r="L485" s="1237"/>
      <c r="M485" s="322"/>
      <c r="N485" s="322"/>
      <c r="O485" s="38"/>
    </row>
    <row r="486" spans="1:15" ht="15.75" thickBot="1">
      <c r="A486" s="331" t="s">
        <v>497</v>
      </c>
      <c r="B486" s="86"/>
      <c r="C486" s="86"/>
      <c r="D486" s="316"/>
      <c r="E486" s="86"/>
      <c r="F486" s="221"/>
      <c r="G486" s="221"/>
      <c r="H486" s="221"/>
      <c r="I486" s="221"/>
      <c r="J486" s="305"/>
      <c r="K486" s="1267"/>
      <c r="L486" s="1237"/>
      <c r="M486" s="322"/>
      <c r="N486" s="322"/>
      <c r="O486" s="38"/>
    </row>
    <row r="487" spans="1:15" ht="15.75" thickBot="1">
      <c r="A487" s="331"/>
      <c r="B487" s="86"/>
      <c r="C487" s="86"/>
      <c r="D487" s="86"/>
      <c r="E487" s="86"/>
      <c r="F487" s="221"/>
      <c r="G487" s="221"/>
      <c r="H487" s="221"/>
      <c r="I487" s="221"/>
      <c r="J487" s="319"/>
      <c r="K487" s="221"/>
      <c r="L487" s="319"/>
      <c r="M487" s="323"/>
      <c r="N487" s="323"/>
      <c r="O487" s="38"/>
    </row>
    <row r="488" spans="1:15" ht="15.75" thickBot="1">
      <c r="A488" s="332" t="s">
        <v>498</v>
      </c>
      <c r="B488" s="314"/>
      <c r="C488" s="314"/>
      <c r="D488" s="314"/>
      <c r="E488" s="314"/>
      <c r="F488" s="315"/>
      <c r="G488" s="315"/>
      <c r="H488" s="315"/>
      <c r="I488" s="315"/>
      <c r="J488" s="315"/>
      <c r="K488" s="315"/>
      <c r="L488" s="315"/>
      <c r="M488" s="315"/>
      <c r="N488" s="349"/>
    </row>
    <row r="489" spans="1:15">
      <c r="A489" s="331" t="s">
        <v>499</v>
      </c>
      <c r="B489" s="86"/>
      <c r="C489" s="86"/>
      <c r="D489" s="86"/>
      <c r="E489" s="86"/>
      <c r="F489" s="86"/>
      <c r="G489" s="86"/>
      <c r="H489" s="86"/>
      <c r="I489" s="86"/>
      <c r="J489" s="328"/>
      <c r="K489" s="86"/>
      <c r="L489" s="328"/>
      <c r="M489" s="330"/>
      <c r="N489" s="330"/>
    </row>
    <row r="490" spans="1:15" ht="15.75" thickBot="1">
      <c r="A490" s="342" t="s">
        <v>500</v>
      </c>
      <c r="B490" s="316"/>
      <c r="C490" s="310" t="s">
        <v>549</v>
      </c>
      <c r="D490" s="316"/>
      <c r="E490" s="310" t="s">
        <v>501</v>
      </c>
      <c r="F490" s="316"/>
      <c r="G490" s="310" t="s">
        <v>502</v>
      </c>
      <c r="H490" s="316"/>
      <c r="I490" s="86"/>
      <c r="J490" s="325"/>
      <c r="K490" s="1048"/>
      <c r="L490" s="1261"/>
      <c r="M490" s="327"/>
      <c r="N490" s="327"/>
    </row>
    <row r="491" spans="1:15">
      <c r="A491" s="342" t="s">
        <v>503</v>
      </c>
      <c r="B491" s="86"/>
      <c r="C491" s="86"/>
      <c r="D491" s="86"/>
      <c r="E491" s="86"/>
      <c r="F491" s="86"/>
      <c r="G491" s="86"/>
      <c r="H491" s="86"/>
      <c r="I491" s="86"/>
      <c r="J491" s="325"/>
      <c r="K491" s="1048"/>
      <c r="L491" s="1261"/>
      <c r="M491" s="327"/>
      <c r="N491" s="327"/>
    </row>
    <row r="492" spans="1:15">
      <c r="A492" s="342"/>
      <c r="B492" s="343"/>
      <c r="C492" s="86"/>
      <c r="D492" s="86"/>
      <c r="E492" s="86"/>
      <c r="F492" s="86"/>
      <c r="G492" s="86"/>
      <c r="H492" s="86"/>
      <c r="I492" s="86"/>
      <c r="J492" s="325"/>
      <c r="K492" s="86"/>
      <c r="L492" s="325"/>
      <c r="M492" s="327"/>
      <c r="N492" s="327"/>
      <c r="O492" s="33"/>
    </row>
    <row r="493" spans="1:15" ht="15.75" thickBot="1">
      <c r="A493" s="342"/>
      <c r="B493" s="316"/>
      <c r="C493" s="86"/>
      <c r="D493" s="86"/>
      <c r="E493" s="86"/>
      <c r="F493" s="86"/>
      <c r="G493" s="86"/>
      <c r="H493" s="86"/>
      <c r="I493" s="86"/>
      <c r="J493" s="329"/>
      <c r="K493" s="86"/>
      <c r="L493" s="329"/>
      <c r="M493" s="308"/>
      <c r="N493" s="308"/>
    </row>
    <row r="494" spans="1:15" ht="15.75" thickBot="1">
      <c r="A494" s="332" t="s">
        <v>504</v>
      </c>
      <c r="B494" s="314"/>
      <c r="C494" s="314"/>
      <c r="D494" s="313"/>
      <c r="E494" s="313"/>
      <c r="F494" s="313"/>
      <c r="G494" s="313"/>
      <c r="H494" s="313"/>
      <c r="I494" s="313"/>
      <c r="J494" s="313"/>
      <c r="K494" s="313"/>
      <c r="L494" s="313"/>
      <c r="M494" s="313"/>
      <c r="N494" s="350"/>
    </row>
    <row r="495" spans="1:15">
      <c r="A495" s="331" t="s">
        <v>510</v>
      </c>
      <c r="B495" s="86"/>
      <c r="C495" s="86"/>
      <c r="D495" s="86"/>
      <c r="E495" s="86"/>
      <c r="F495" s="86"/>
      <c r="G495" s="86"/>
      <c r="H495" s="86"/>
      <c r="I495" s="86"/>
      <c r="J495" s="328"/>
      <c r="K495" s="86"/>
      <c r="L495" s="328"/>
      <c r="M495" s="330"/>
      <c r="N495" s="330"/>
    </row>
    <row r="496" spans="1:15">
      <c r="A496" s="331" t="s">
        <v>505</v>
      </c>
      <c r="B496" s="86"/>
      <c r="C496" s="86"/>
      <c r="D496" s="86"/>
      <c r="E496" s="86"/>
      <c r="F496" s="86"/>
      <c r="G496" s="86"/>
      <c r="H496" s="86"/>
      <c r="I496" s="86"/>
      <c r="J496" s="325"/>
      <c r="K496" s="86"/>
      <c r="L496" s="325"/>
      <c r="M496" s="327"/>
      <c r="N496" s="327"/>
    </row>
    <row r="497" spans="1:14" ht="15.75" thickBot="1">
      <c r="A497" s="354" t="s">
        <v>500</v>
      </c>
      <c r="B497" s="316"/>
      <c r="C497" s="86"/>
      <c r="D497" s="86"/>
      <c r="E497" s="86"/>
      <c r="F497" s="86"/>
      <c r="G497" s="86"/>
      <c r="H497" s="86"/>
      <c r="I497" s="86"/>
      <c r="J497" s="325"/>
      <c r="K497" s="1048"/>
      <c r="L497" s="1261"/>
      <c r="M497" s="327"/>
      <c r="N497" s="327"/>
    </row>
    <row r="498" spans="1:14" ht="15.75" thickBot="1">
      <c r="A498" s="354" t="s">
        <v>506</v>
      </c>
      <c r="B498" s="316"/>
      <c r="C498" s="86"/>
      <c r="D498" s="86"/>
      <c r="E498" s="86"/>
      <c r="F498" s="86"/>
      <c r="G498" s="86"/>
      <c r="H498" s="86"/>
      <c r="I498" s="86"/>
      <c r="J498" s="325"/>
      <c r="K498" s="1048"/>
      <c r="L498" s="1261"/>
      <c r="M498" s="327"/>
      <c r="N498" s="327"/>
    </row>
    <row r="499" spans="1:14" ht="15.75" thickBot="1">
      <c r="A499" s="354" t="s">
        <v>311</v>
      </c>
      <c r="B499" s="316"/>
      <c r="C499" s="86"/>
      <c r="D499" s="86"/>
      <c r="E499" s="86"/>
      <c r="F499" s="86"/>
      <c r="G499" s="86"/>
      <c r="H499" s="86"/>
      <c r="I499" s="86"/>
      <c r="J499" s="325"/>
      <c r="K499" s="1048"/>
      <c r="L499" s="1261"/>
      <c r="M499" s="327"/>
      <c r="N499" s="327"/>
    </row>
    <row r="500" spans="1:14">
      <c r="A500" s="331" t="s">
        <v>507</v>
      </c>
      <c r="B500" s="86"/>
      <c r="C500" s="86"/>
      <c r="D500" s="86"/>
      <c r="E500" s="86"/>
      <c r="F500" s="86"/>
      <c r="G500" s="86"/>
      <c r="H500" s="86"/>
      <c r="I500" s="86"/>
      <c r="J500" s="325"/>
      <c r="K500" s="1048"/>
      <c r="L500" s="1261"/>
      <c r="M500" s="327"/>
      <c r="N500" s="327"/>
    </row>
    <row r="501" spans="1:14" ht="15.75" thickBot="1">
      <c r="A501" s="342" t="s">
        <v>508</v>
      </c>
      <c r="B501" s="316"/>
      <c r="C501" s="86"/>
      <c r="D501" s="86"/>
      <c r="E501" s="86"/>
      <c r="F501" s="86"/>
      <c r="G501" s="86"/>
      <c r="H501" s="86"/>
      <c r="I501" s="86"/>
      <c r="J501" s="325"/>
      <c r="K501" s="86"/>
      <c r="L501" s="325"/>
      <c r="M501" s="327"/>
      <c r="N501" s="327"/>
    </row>
    <row r="502" spans="1:14" ht="15.75" thickBot="1">
      <c r="A502" s="342" t="s">
        <v>488</v>
      </c>
      <c r="B502" s="316"/>
      <c r="C502" s="86"/>
      <c r="D502" s="86"/>
      <c r="E502" s="86"/>
      <c r="F502" s="86"/>
      <c r="G502" s="86"/>
      <c r="H502" s="86"/>
      <c r="I502" s="86"/>
      <c r="J502" s="325"/>
      <c r="K502" s="1048"/>
      <c r="L502" s="1261"/>
      <c r="M502" s="327"/>
      <c r="N502" s="327"/>
    </row>
    <row r="503" spans="1:14">
      <c r="A503" s="351" t="s">
        <v>509</v>
      </c>
      <c r="B503" s="335"/>
      <c r="C503" s="335"/>
      <c r="D503" s="335"/>
      <c r="E503" s="335"/>
      <c r="F503" s="335"/>
      <c r="G503" s="335"/>
      <c r="H503" s="335"/>
      <c r="I503" s="335"/>
      <c r="J503" s="352"/>
      <c r="K503" s="1234"/>
      <c r="L503" s="1264"/>
      <c r="M503" s="307"/>
      <c r="N503" s="307"/>
    </row>
    <row r="504" spans="1:14">
      <c r="A504" s="336"/>
      <c r="B504" s="343" t="s">
        <v>71</v>
      </c>
      <c r="C504" s="343"/>
      <c r="D504" s="343"/>
      <c r="E504" s="343"/>
      <c r="F504" s="344"/>
      <c r="G504" s="344"/>
      <c r="H504" s="344"/>
      <c r="I504" s="344"/>
      <c r="J504" s="344"/>
      <c r="K504" s="344"/>
      <c r="L504" s="344"/>
      <c r="M504" s="344"/>
      <c r="N504" s="345"/>
    </row>
    <row r="505" spans="1:14">
      <c r="A505" s="337"/>
      <c r="B505" s="334" t="s">
        <v>471</v>
      </c>
      <c r="C505" s="334"/>
      <c r="D505" s="334"/>
      <c r="E505" s="334"/>
      <c r="F505" s="334"/>
      <c r="G505" s="334"/>
      <c r="H505" s="333"/>
      <c r="I505" s="333"/>
      <c r="J505" s="333"/>
      <c r="K505" s="333"/>
      <c r="L505" s="333"/>
      <c r="M505" s="333"/>
      <c r="N505" s="346"/>
    </row>
    <row r="506" spans="1:14">
      <c r="A506" s="629" t="s">
        <v>511</v>
      </c>
      <c r="B506" s="630"/>
      <c r="C506" s="630"/>
      <c r="D506" s="630"/>
      <c r="E506" s="353"/>
      <c r="F506" s="353"/>
      <c r="G506" s="353"/>
      <c r="H506" s="353"/>
      <c r="I506" s="353"/>
      <c r="J506" s="353"/>
      <c r="K506" s="690"/>
      <c r="L506" s="691"/>
      <c r="M506" s="637" t="s">
        <v>15</v>
      </c>
      <c r="N506" s="692"/>
    </row>
    <row r="507" spans="1:14">
      <c r="A507" s="331"/>
      <c r="B507" s="86"/>
      <c r="C507" s="86"/>
      <c r="D507" s="86"/>
      <c r="E507" s="86"/>
      <c r="F507" s="86"/>
      <c r="G507" s="86"/>
      <c r="H507" s="86"/>
      <c r="I507" s="86"/>
      <c r="J507" s="86"/>
      <c r="K507" s="628"/>
      <c r="L507" s="628" t="s">
        <v>571</v>
      </c>
      <c r="M507" s="628" t="s">
        <v>572</v>
      </c>
      <c r="N507" s="628" t="s">
        <v>573</v>
      </c>
    </row>
    <row r="508" spans="1:14">
      <c r="A508" s="331" t="s">
        <v>512</v>
      </c>
      <c r="B508" s="86"/>
      <c r="C508" s="86"/>
      <c r="D508" s="86"/>
      <c r="E508" s="86"/>
      <c r="F508" s="86"/>
      <c r="G508" s="86"/>
      <c r="H508" s="86"/>
      <c r="I508" s="86"/>
      <c r="J508" s="86"/>
      <c r="K508" s="338"/>
      <c r="L508" s="86"/>
      <c r="M508" s="338"/>
      <c r="N508" s="127"/>
    </row>
    <row r="509" spans="1:14">
      <c r="A509" s="331" t="s">
        <v>513</v>
      </c>
      <c r="B509" s="335"/>
      <c r="C509" s="86"/>
      <c r="D509" s="86"/>
      <c r="E509" s="86"/>
      <c r="F509" s="86"/>
      <c r="G509" s="86"/>
      <c r="H509" s="86"/>
      <c r="I509" s="86"/>
      <c r="J509" s="86"/>
      <c r="K509" s="1048"/>
      <c r="L509" s="1261"/>
      <c r="M509" s="331"/>
      <c r="N509" s="327"/>
    </row>
    <row r="510" spans="1:14">
      <c r="A510" s="331" t="s">
        <v>515</v>
      </c>
      <c r="B510" s="335"/>
      <c r="C510" s="86"/>
      <c r="D510" s="86"/>
      <c r="E510" s="86"/>
      <c r="F510" s="86"/>
      <c r="G510" s="86"/>
      <c r="H510" s="86"/>
      <c r="I510" s="86"/>
      <c r="J510" s="86"/>
      <c r="K510" s="674"/>
      <c r="L510" s="650"/>
      <c r="M510" s="331"/>
      <c r="N510" s="327"/>
    </row>
    <row r="511" spans="1:14">
      <c r="A511" s="331" t="s">
        <v>514</v>
      </c>
      <c r="B511" s="335"/>
      <c r="C511" s="86"/>
      <c r="D511" s="86"/>
      <c r="E511" s="86"/>
      <c r="F511" s="86"/>
      <c r="G511" s="86"/>
      <c r="H511" s="86"/>
      <c r="I511" s="86"/>
      <c r="J511" s="86"/>
      <c r="K511" s="674"/>
      <c r="L511" s="650"/>
      <c r="M511" s="331"/>
      <c r="N511" s="327"/>
    </row>
    <row r="512" spans="1:14">
      <c r="A512" s="335"/>
      <c r="B512" s="353"/>
      <c r="C512" s="335"/>
      <c r="D512" s="335"/>
      <c r="E512" s="335"/>
      <c r="F512" s="335"/>
      <c r="G512" s="335"/>
      <c r="H512" s="335"/>
      <c r="I512" s="335"/>
      <c r="J512" s="335"/>
      <c r="K512" s="1234"/>
      <c r="L512" s="1264"/>
      <c r="M512" s="351"/>
      <c r="N512" s="307"/>
    </row>
    <row r="513" spans="1:19">
      <c r="A513" s="341" t="s">
        <v>516</v>
      </c>
      <c r="B513" s="166"/>
      <c r="C513" s="166"/>
      <c r="D513" s="166"/>
      <c r="E513" s="86"/>
      <c r="F513" s="86"/>
      <c r="G513" s="86"/>
      <c r="H513" s="86"/>
      <c r="I513" s="86"/>
      <c r="J513" s="86"/>
      <c r="K513" s="338"/>
      <c r="L513" s="86"/>
      <c r="M513" s="338"/>
      <c r="N513" s="127"/>
    </row>
    <row r="514" spans="1:19" ht="15" customHeight="1">
      <c r="A514" s="331" t="s">
        <v>517</v>
      </c>
      <c r="B514" s="86"/>
      <c r="C514" s="86"/>
      <c r="D514" s="335"/>
      <c r="E514" s="86"/>
      <c r="F514" s="86"/>
      <c r="G514" s="86"/>
      <c r="H514" s="86"/>
      <c r="I514" s="86"/>
      <c r="J514" s="86"/>
      <c r="K514" s="331"/>
      <c r="L514" s="86"/>
      <c r="M514" s="331"/>
      <c r="N514" s="327"/>
    </row>
    <row r="515" spans="1:19">
      <c r="A515" s="86" t="s">
        <v>518</v>
      </c>
      <c r="B515" s="86"/>
      <c r="C515" s="86"/>
      <c r="D515" s="353"/>
      <c r="E515" s="86"/>
      <c r="F515" s="86"/>
      <c r="G515" s="86"/>
      <c r="H515" s="86"/>
      <c r="I515" s="86"/>
      <c r="J515" s="86"/>
      <c r="K515" s="331"/>
      <c r="L515" s="86"/>
      <c r="M515" s="331"/>
      <c r="N515" s="327"/>
    </row>
    <row r="516" spans="1:19">
      <c r="A516" s="86" t="s">
        <v>519</v>
      </c>
      <c r="B516" s="86"/>
      <c r="C516" s="86"/>
      <c r="D516" s="335"/>
      <c r="E516" s="86"/>
      <c r="F516" s="86"/>
      <c r="G516" s="86"/>
      <c r="H516" s="86"/>
      <c r="I516" s="86"/>
      <c r="J516" s="86"/>
      <c r="K516" s="331"/>
      <c r="L516" s="86"/>
      <c r="M516" s="331"/>
      <c r="N516" s="327"/>
    </row>
    <row r="517" spans="1:19">
      <c r="A517" s="86" t="s">
        <v>574</v>
      </c>
      <c r="B517" s="86"/>
      <c r="C517" s="86"/>
      <c r="D517" s="335"/>
      <c r="E517" s="86"/>
      <c r="F517" s="86"/>
      <c r="G517" s="86"/>
      <c r="H517" s="86"/>
      <c r="I517" s="86"/>
      <c r="J517" s="86"/>
      <c r="K517" s="331"/>
      <c r="L517" s="86"/>
      <c r="M517" s="331"/>
      <c r="N517" s="327"/>
    </row>
    <row r="518" spans="1:19">
      <c r="A518" s="86" t="s">
        <v>575</v>
      </c>
      <c r="B518" s="86"/>
      <c r="C518" s="86"/>
      <c r="D518" s="335"/>
      <c r="E518" s="86"/>
      <c r="F518" s="86"/>
      <c r="G518" s="86"/>
      <c r="H518" s="86"/>
      <c r="I518" s="86"/>
      <c r="J518" s="86"/>
      <c r="K518" s="331"/>
      <c r="L518" s="86"/>
      <c r="M518" s="331"/>
      <c r="N518" s="327"/>
    </row>
    <row r="519" spans="1:19">
      <c r="A519" s="86" t="s">
        <v>522</v>
      </c>
      <c r="B519" s="86"/>
      <c r="C519" s="86"/>
      <c r="D519" s="335"/>
      <c r="E519" s="86"/>
      <c r="F519" s="86"/>
      <c r="G519" s="86"/>
      <c r="H519" s="86"/>
      <c r="I519" s="86"/>
      <c r="J519" s="86"/>
      <c r="K519" s="331"/>
      <c r="L519" s="86"/>
      <c r="M519" s="331"/>
      <c r="N519" s="327"/>
    </row>
    <row r="520" spans="1:19">
      <c r="A520" s="86" t="s">
        <v>523</v>
      </c>
      <c r="B520" s="86"/>
      <c r="C520" s="86"/>
      <c r="D520" s="335"/>
      <c r="E520" s="86"/>
      <c r="F520" s="86"/>
      <c r="G520" s="86"/>
      <c r="H520" s="86"/>
      <c r="I520" s="86"/>
      <c r="J520" s="86"/>
      <c r="K520" s="331"/>
      <c r="L520" s="86"/>
      <c r="M520" s="331"/>
      <c r="N520" s="327"/>
    </row>
    <row r="521" spans="1:19" ht="15" customHeight="1">
      <c r="A521" s="331"/>
      <c r="B521" s="86"/>
      <c r="C521" s="86"/>
      <c r="D521" s="86"/>
      <c r="E521" s="86"/>
      <c r="F521" s="86"/>
      <c r="G521" s="86"/>
      <c r="H521" s="86"/>
      <c r="I521" s="86"/>
      <c r="J521" s="86"/>
      <c r="K521" s="331"/>
      <c r="L521" s="86"/>
      <c r="M521" s="331"/>
      <c r="N521" s="327"/>
    </row>
    <row r="522" spans="1:19">
      <c r="A522" s="338" t="s">
        <v>524</v>
      </c>
      <c r="B522" s="338" t="s">
        <v>525</v>
      </c>
      <c r="C522" s="355"/>
      <c r="D522" s="353"/>
      <c r="E522" s="355"/>
      <c r="F522" s="355"/>
      <c r="G522" s="355"/>
      <c r="H522" s="355"/>
      <c r="I522" s="355"/>
      <c r="J522" s="347"/>
      <c r="K522" s="1265"/>
      <c r="L522" s="1266"/>
      <c r="M522" s="338"/>
      <c r="N522" s="338"/>
    </row>
    <row r="523" spans="1:19">
      <c r="A523" s="331"/>
      <c r="B523" s="331" t="s">
        <v>526</v>
      </c>
      <c r="C523" s="86"/>
      <c r="D523" s="355"/>
      <c r="E523" s="86"/>
      <c r="F523" s="86"/>
      <c r="G523" s="86"/>
      <c r="H523" s="86"/>
      <c r="I523" s="86"/>
      <c r="J523" s="86"/>
      <c r="K523" s="1048"/>
      <c r="L523" s="1261"/>
      <c r="M523" s="331"/>
      <c r="N523" s="331"/>
    </row>
    <row r="524" spans="1:19">
      <c r="A524" s="331"/>
      <c r="B524" s="331" t="s">
        <v>527</v>
      </c>
      <c r="C524" s="86"/>
      <c r="D524" s="86"/>
      <c r="E524" s="86"/>
      <c r="F524" s="86"/>
      <c r="G524" s="86"/>
      <c r="H524" s="86"/>
      <c r="I524" s="335"/>
      <c r="J524" s="86"/>
      <c r="K524" s="674"/>
      <c r="L524" s="673"/>
      <c r="M524" s="331"/>
      <c r="N524" s="331"/>
    </row>
    <row r="525" spans="1:19">
      <c r="A525" s="86"/>
      <c r="B525" s="351"/>
      <c r="C525" s="335"/>
      <c r="D525" s="335"/>
      <c r="E525" s="335"/>
      <c r="F525" s="335"/>
      <c r="G525" s="335"/>
      <c r="H525" s="335"/>
      <c r="I525" s="335"/>
      <c r="J525" s="335"/>
      <c r="K525" s="1234"/>
      <c r="L525" s="1264"/>
      <c r="M525" s="351"/>
      <c r="N525" s="351"/>
    </row>
    <row r="526" spans="1:19" ht="15.75" thickBot="1">
      <c r="A526" s="631" t="s">
        <v>528</v>
      </c>
      <c r="B526" s="632"/>
      <c r="C526" s="343"/>
      <c r="D526" s="355"/>
      <c r="E526" s="355"/>
      <c r="F526" s="355"/>
      <c r="G526" s="355"/>
      <c r="H526" s="355"/>
      <c r="I526" s="355"/>
      <c r="J526" s="355"/>
      <c r="K526" s="86">
        <f>COUNTA(K468:K503:K508:K525)</f>
        <v>2</v>
      </c>
      <c r="L526" s="86"/>
      <c r="M526" s="86"/>
      <c r="N526" s="325"/>
      <c r="S526" s="335"/>
    </row>
    <row r="527" spans="1:19">
      <c r="A527" s="999" t="s">
        <v>529</v>
      </c>
      <c r="B527" s="1000"/>
      <c r="C527" s="1000"/>
      <c r="D527" s="1001"/>
      <c r="E527" s="1008" t="s">
        <v>531</v>
      </c>
      <c r="F527" s="1009"/>
      <c r="G527" s="1009"/>
      <c r="H527" s="1009"/>
      <c r="I527" s="1010"/>
      <c r="J527" s="1017" t="s">
        <v>530</v>
      </c>
      <c r="K527" s="1018"/>
      <c r="L527" s="1018"/>
      <c r="M527" s="1018"/>
      <c r="N527" s="1019"/>
    </row>
    <row r="528" spans="1:19">
      <c r="A528" s="1002"/>
      <c r="B528" s="1003"/>
      <c r="C528" s="1003"/>
      <c r="D528" s="1004"/>
      <c r="E528" s="1011"/>
      <c r="F528" s="1012"/>
      <c r="G528" s="1012"/>
      <c r="H528" s="1012"/>
      <c r="I528" s="1013"/>
      <c r="J528" s="1020"/>
      <c r="K528" s="1021"/>
      <c r="L528" s="1021"/>
      <c r="M528" s="1021"/>
      <c r="N528" s="1022"/>
    </row>
    <row r="529" spans="1:15">
      <c r="A529" s="1002"/>
      <c r="B529" s="1003"/>
      <c r="C529" s="1003"/>
      <c r="D529" s="1004"/>
      <c r="E529" s="1011"/>
      <c r="F529" s="1012"/>
      <c r="G529" s="1012"/>
      <c r="H529" s="1012"/>
      <c r="I529" s="1013"/>
      <c r="J529" s="1020"/>
      <c r="K529" s="1021"/>
      <c r="L529" s="1021"/>
      <c r="M529" s="1021"/>
      <c r="N529" s="1022"/>
    </row>
    <row r="530" spans="1:15">
      <c r="A530" s="1002"/>
      <c r="B530" s="1003"/>
      <c r="C530" s="1003"/>
      <c r="D530" s="1004"/>
      <c r="E530" s="1011"/>
      <c r="F530" s="1012"/>
      <c r="G530" s="1012"/>
      <c r="H530" s="1012"/>
      <c r="I530" s="1013"/>
      <c r="J530" s="1020"/>
      <c r="K530" s="1021"/>
      <c r="L530" s="1021"/>
      <c r="M530" s="1021"/>
      <c r="N530" s="1022"/>
    </row>
    <row r="531" spans="1:15">
      <c r="A531" s="1002"/>
      <c r="B531" s="1003"/>
      <c r="C531" s="1003"/>
      <c r="D531" s="1004"/>
      <c r="E531" s="1011"/>
      <c r="F531" s="1012"/>
      <c r="G531" s="1012"/>
      <c r="H531" s="1012"/>
      <c r="I531" s="1013"/>
      <c r="J531" s="1020"/>
      <c r="K531" s="1021"/>
      <c r="L531" s="1021"/>
      <c r="M531" s="1021"/>
      <c r="N531" s="1022"/>
    </row>
    <row r="532" spans="1:15" ht="15.75" thickBot="1">
      <c r="A532" s="1005"/>
      <c r="B532" s="1006"/>
      <c r="C532" s="1006"/>
      <c r="D532" s="1007"/>
      <c r="E532" s="1014"/>
      <c r="F532" s="1015"/>
      <c r="G532" s="1015"/>
      <c r="H532" s="1015"/>
      <c r="I532" s="1016"/>
      <c r="J532" s="1023"/>
      <c r="K532" s="1024"/>
      <c r="L532" s="1024"/>
      <c r="M532" s="1024"/>
      <c r="N532" s="1025"/>
      <c r="O532" s="85"/>
    </row>
    <row r="533" spans="1:15" ht="15.75" thickBot="1">
      <c r="A533" s="332" t="s">
        <v>532</v>
      </c>
      <c r="B533" s="314"/>
      <c r="C533" s="314"/>
      <c r="D533" s="314"/>
      <c r="E533" s="314"/>
      <c r="F533" s="313"/>
      <c r="G533" s="313"/>
      <c r="H533" s="313"/>
      <c r="I533" s="313"/>
      <c r="J533" s="313"/>
      <c r="K533" s="313"/>
      <c r="L533" s="313"/>
      <c r="M533" s="313"/>
      <c r="N533" s="350"/>
    </row>
    <row r="534" spans="1:15">
      <c r="A534" s="331" t="s">
        <v>533</v>
      </c>
      <c r="B534" s="86"/>
      <c r="C534" s="86"/>
      <c r="D534" s="86"/>
      <c r="E534" s="86"/>
      <c r="F534" s="86"/>
      <c r="G534" s="86"/>
      <c r="H534" s="86"/>
      <c r="I534" s="86"/>
      <c r="J534" s="86"/>
      <c r="K534" s="86"/>
      <c r="L534" s="86"/>
      <c r="M534" s="86"/>
      <c r="N534" s="325"/>
    </row>
    <row r="535" spans="1:15">
      <c r="A535" s="331" t="s">
        <v>534</v>
      </c>
      <c r="B535" s="86"/>
      <c r="C535" s="86"/>
      <c r="D535" s="335">
        <f>M261</f>
        <v>1684</v>
      </c>
      <c r="E535" s="86" t="s">
        <v>535</v>
      </c>
      <c r="F535" s="86" t="s">
        <v>40</v>
      </c>
      <c r="G535" s="479">
        <f>B264</f>
        <v>56.769596199524941</v>
      </c>
      <c r="H535" s="86" t="s">
        <v>52</v>
      </c>
      <c r="I535" s="86" t="s">
        <v>536</v>
      </c>
      <c r="J535" s="479">
        <f>B265</f>
        <v>19.714964370546319</v>
      </c>
      <c r="K535" s="651" t="s">
        <v>52</v>
      </c>
      <c r="L535" s="119" t="s">
        <v>537</v>
      </c>
      <c r="M535" s="479">
        <f>B266</f>
        <v>23.51543942992874</v>
      </c>
      <c r="N535" s="325" t="s">
        <v>52</v>
      </c>
    </row>
    <row r="536" spans="1:15">
      <c r="A536" s="351"/>
      <c r="B536" s="335"/>
      <c r="C536" s="335"/>
      <c r="D536" s="335"/>
      <c r="E536" s="335"/>
      <c r="F536" s="335"/>
      <c r="G536" s="335"/>
      <c r="H536" s="335"/>
      <c r="I536" s="335"/>
      <c r="J536" s="335"/>
      <c r="K536" s="335"/>
      <c r="L536" s="335"/>
      <c r="M536" s="335"/>
      <c r="N536" s="352"/>
    </row>
    <row r="537" spans="1:15">
      <c r="A537" s="341" t="s">
        <v>538</v>
      </c>
      <c r="B537" s="166"/>
      <c r="C537" s="86"/>
      <c r="D537" s="86"/>
      <c r="E537" s="86"/>
      <c r="F537" s="86"/>
      <c r="G537" s="86"/>
      <c r="H537" s="86"/>
      <c r="I537" s="86"/>
      <c r="J537" s="86"/>
      <c r="K537" s="86"/>
      <c r="L537" s="86"/>
      <c r="M537" s="86"/>
      <c r="N537" s="325"/>
    </row>
    <row r="538" spans="1:15">
      <c r="A538" s="331"/>
      <c r="B538" s="86"/>
      <c r="C538" s="86"/>
      <c r="D538" s="86"/>
      <c r="E538" s="86"/>
      <c r="F538" s="86"/>
      <c r="G538" s="86"/>
      <c r="H538" s="86"/>
      <c r="I538" s="86"/>
      <c r="J538" s="86"/>
      <c r="K538" s="86"/>
      <c r="L538" s="86"/>
      <c r="M538" s="86"/>
      <c r="N538" s="325"/>
    </row>
    <row r="539" spans="1:15">
      <c r="A539" s="331"/>
      <c r="B539" s="86"/>
      <c r="C539" s="86"/>
      <c r="D539" s="86"/>
      <c r="E539" s="86"/>
      <c r="F539" s="86"/>
      <c r="G539" s="86"/>
      <c r="H539" s="86"/>
      <c r="I539" s="86"/>
      <c r="J539" s="86"/>
      <c r="K539" s="86"/>
      <c r="L539" s="86"/>
      <c r="M539" s="86"/>
      <c r="N539" s="325"/>
    </row>
    <row r="540" spans="1:15">
      <c r="A540" s="331"/>
      <c r="B540" s="86"/>
      <c r="C540" s="86"/>
      <c r="D540" s="86"/>
      <c r="E540" s="86"/>
      <c r="F540" s="86"/>
      <c r="G540" s="86"/>
      <c r="H540" s="86"/>
      <c r="I540" s="86"/>
      <c r="J540" s="86"/>
      <c r="K540" s="86"/>
      <c r="L540" s="86"/>
      <c r="M540" s="86"/>
      <c r="N540" s="325"/>
    </row>
    <row r="541" spans="1:15">
      <c r="A541" s="331"/>
      <c r="B541" s="86"/>
      <c r="C541" s="86"/>
      <c r="D541" s="86"/>
      <c r="E541" s="86"/>
      <c r="F541" s="86"/>
      <c r="G541" s="86"/>
      <c r="H541" s="86"/>
      <c r="I541" s="86"/>
      <c r="J541" s="86"/>
      <c r="K541" s="86"/>
      <c r="L541" s="86"/>
      <c r="M541" s="86"/>
      <c r="N541" s="325"/>
    </row>
    <row r="542" spans="1:15">
      <c r="A542" s="331"/>
      <c r="B542" s="86"/>
      <c r="C542" s="86"/>
      <c r="D542" s="86"/>
      <c r="E542" s="86"/>
      <c r="F542" s="86"/>
      <c r="G542" s="86"/>
      <c r="H542" s="86"/>
      <c r="I542" s="86"/>
      <c r="J542" s="86"/>
      <c r="K542" s="86"/>
      <c r="L542" s="86"/>
      <c r="M542" s="86"/>
      <c r="N542" s="325"/>
    </row>
    <row r="543" spans="1:15">
      <c r="A543" s="331"/>
      <c r="B543" s="86"/>
      <c r="C543" s="86"/>
      <c r="D543" s="86"/>
      <c r="E543" s="86"/>
      <c r="F543" s="86"/>
      <c r="G543" s="86"/>
      <c r="H543" s="86"/>
      <c r="I543" s="86"/>
      <c r="J543" s="86"/>
      <c r="K543" s="86"/>
      <c r="L543" s="86"/>
      <c r="M543" s="86"/>
      <c r="N543" s="325"/>
    </row>
    <row r="544" spans="1:15">
      <c r="A544" s="331"/>
      <c r="B544" s="86"/>
      <c r="C544" s="86"/>
      <c r="D544" s="86"/>
      <c r="E544" s="86"/>
      <c r="F544" s="86"/>
      <c r="G544" s="86"/>
      <c r="H544" s="86"/>
      <c r="I544" s="86"/>
      <c r="J544" s="86"/>
      <c r="K544" s="86"/>
      <c r="L544" s="86"/>
      <c r="M544" s="86"/>
      <c r="N544" s="325"/>
    </row>
    <row r="545" spans="1:14">
      <c r="A545" s="331"/>
      <c r="B545" s="86"/>
      <c r="C545" s="86"/>
      <c r="D545" s="86"/>
      <c r="E545" s="86"/>
      <c r="F545" s="86"/>
      <c r="G545" s="86"/>
      <c r="H545" s="86"/>
      <c r="I545" s="86"/>
      <c r="J545" s="86"/>
      <c r="K545" s="86"/>
      <c r="L545" s="86"/>
      <c r="M545" s="86"/>
      <c r="N545" s="325"/>
    </row>
    <row r="546" spans="1:14">
      <c r="A546" s="331"/>
      <c r="B546" s="86"/>
      <c r="C546" s="86"/>
      <c r="D546" s="86"/>
      <c r="E546" s="86"/>
      <c r="F546" s="86"/>
      <c r="G546" s="86"/>
      <c r="H546" s="86"/>
      <c r="I546" s="86"/>
      <c r="J546" s="86"/>
      <c r="K546" s="86"/>
      <c r="L546" s="86"/>
      <c r="M546" s="86"/>
      <c r="N546" s="325"/>
    </row>
    <row r="547" spans="1:14">
      <c r="A547" s="331"/>
      <c r="B547" s="86"/>
      <c r="C547" s="86"/>
      <c r="D547" s="86"/>
      <c r="E547" s="86"/>
      <c r="F547" s="86"/>
      <c r="G547" s="86"/>
      <c r="H547" s="86"/>
      <c r="I547" s="86"/>
      <c r="J547" s="86"/>
      <c r="K547" s="86"/>
      <c r="L547" s="86"/>
      <c r="M547" s="86"/>
      <c r="N547" s="325"/>
    </row>
    <row r="548" spans="1:14">
      <c r="A548" s="331"/>
      <c r="B548" s="86"/>
      <c r="C548" s="86"/>
      <c r="D548" s="86"/>
      <c r="E548" s="86"/>
      <c r="F548" s="86"/>
      <c r="G548" s="86"/>
      <c r="H548" s="86"/>
      <c r="I548" s="86"/>
      <c r="J548" s="86"/>
      <c r="K548" s="86"/>
      <c r="L548" s="86"/>
      <c r="M548" s="86"/>
      <c r="N548" s="325"/>
    </row>
    <row r="549" spans="1:14">
      <c r="A549" s="331"/>
      <c r="B549" s="86"/>
      <c r="C549" s="86"/>
      <c r="D549" s="86"/>
      <c r="E549" s="86"/>
      <c r="F549" s="86"/>
      <c r="G549" s="86"/>
      <c r="H549" s="86"/>
      <c r="I549" s="86"/>
      <c r="J549" s="86"/>
      <c r="K549" s="86"/>
      <c r="L549" s="86"/>
      <c r="M549" s="86"/>
      <c r="N549" s="325"/>
    </row>
    <row r="550" spans="1:14">
      <c r="A550" s="331"/>
      <c r="B550" s="86"/>
      <c r="C550" s="86"/>
      <c r="D550" s="86"/>
      <c r="E550" s="86"/>
      <c r="F550" s="86"/>
      <c r="G550" s="86"/>
      <c r="H550" s="86"/>
      <c r="I550" s="86"/>
      <c r="J550" s="86"/>
      <c r="K550" s="86"/>
      <c r="L550" s="86"/>
      <c r="M550" s="86"/>
      <c r="N550" s="325"/>
    </row>
    <row r="551" spans="1:14">
      <c r="A551" s="331"/>
      <c r="B551" s="86"/>
      <c r="C551" s="86"/>
      <c r="D551" s="86"/>
      <c r="E551" s="86"/>
      <c r="F551" s="86"/>
      <c r="G551" s="86"/>
      <c r="H551" s="86"/>
      <c r="I551" s="86"/>
      <c r="J551" s="86"/>
      <c r="K551" s="86"/>
      <c r="L551" s="86"/>
      <c r="M551" s="86"/>
      <c r="N551" s="325"/>
    </row>
    <row r="552" spans="1:14">
      <c r="A552" s="331"/>
      <c r="B552" s="86"/>
      <c r="C552" s="86"/>
      <c r="D552" s="86"/>
      <c r="E552" s="86"/>
      <c r="F552" s="86"/>
      <c r="G552" s="86"/>
      <c r="H552" s="86"/>
      <c r="I552" s="86"/>
      <c r="J552" s="86"/>
      <c r="K552" s="86"/>
      <c r="L552" s="86"/>
      <c r="M552" s="86"/>
      <c r="N552" s="325"/>
    </row>
    <row r="553" spans="1:14">
      <c r="A553" s="331"/>
      <c r="B553" s="86"/>
      <c r="C553" s="86"/>
      <c r="D553" s="86"/>
      <c r="E553" s="86"/>
      <c r="F553" s="86"/>
      <c r="G553" s="86"/>
      <c r="H553" s="86"/>
      <c r="I553" s="86"/>
      <c r="J553" s="86"/>
      <c r="K553" s="86"/>
      <c r="L553" s="86"/>
      <c r="M553" s="86"/>
      <c r="N553" s="325"/>
    </row>
    <row r="554" spans="1:14">
      <c r="A554" s="331"/>
      <c r="B554" s="86"/>
      <c r="C554" s="86"/>
      <c r="D554" s="86"/>
      <c r="E554" s="86"/>
      <c r="F554" s="86"/>
      <c r="G554" s="86"/>
      <c r="H554" s="86"/>
      <c r="I554" s="86"/>
      <c r="J554" s="86"/>
      <c r="K554" s="86"/>
      <c r="L554" s="86"/>
      <c r="M554" s="86"/>
      <c r="N554" s="325"/>
    </row>
    <row r="555" spans="1:14">
      <c r="A555" s="331"/>
      <c r="B555" s="86"/>
      <c r="C555" s="86"/>
      <c r="D555" s="86" t="s">
        <v>404</v>
      </c>
      <c r="E555" s="86"/>
      <c r="F555" s="86" t="str">
        <f>C42</f>
        <v>NTTA DTTA VICTOR HUGO HERNANDEZ MARTINEZ MAT. 8904707</v>
      </c>
      <c r="G555" s="86"/>
      <c r="H555" s="86"/>
      <c r="I555" s="86"/>
      <c r="J555" s="86"/>
      <c r="K555" s="86"/>
      <c r="L555" s="86"/>
      <c r="M555" s="86"/>
      <c r="N555" s="325"/>
    </row>
    <row r="556" spans="1:14">
      <c r="A556" s="351"/>
      <c r="B556" s="335"/>
      <c r="C556" s="335"/>
      <c r="D556" s="335"/>
      <c r="E556" s="335"/>
      <c r="F556" s="335"/>
      <c r="G556" s="335"/>
      <c r="H556" s="335"/>
      <c r="I556" s="335"/>
      <c r="J556" s="335"/>
      <c r="K556" s="335"/>
      <c r="L556" s="335"/>
      <c r="M556" s="335"/>
      <c r="N556" s="352"/>
    </row>
    <row r="558" spans="1:14">
      <c r="A558" s="986" t="s">
        <v>171</v>
      </c>
      <c r="B558" s="986"/>
      <c r="C558" s="986"/>
      <c r="D558" s="986"/>
      <c r="E558" s="985" t="s">
        <v>172</v>
      </c>
      <c r="F558" s="985"/>
      <c r="G558" s="985"/>
      <c r="H558" s="985"/>
      <c r="I558" s="985"/>
      <c r="J558" s="985"/>
      <c r="K558" s="985"/>
      <c r="L558" s="985"/>
      <c r="M558" s="985"/>
      <c r="N558" s="985"/>
    </row>
    <row r="560" spans="1:14">
      <c r="A560" s="981" t="s">
        <v>173</v>
      </c>
      <c r="B560" s="981"/>
      <c r="C560" s="981"/>
      <c r="D560" s="981"/>
      <c r="E560" s="1026" t="s">
        <v>174</v>
      </c>
      <c r="F560" s="1026"/>
      <c r="G560" s="1026"/>
      <c r="H560" s="1026"/>
      <c r="I560" s="1026"/>
      <c r="J560" s="1026"/>
      <c r="K560" s="1026"/>
      <c r="L560" s="1026"/>
      <c r="M560" s="1026"/>
      <c r="N560" s="1026"/>
    </row>
    <row r="561" spans="1:14">
      <c r="E561" s="1026"/>
      <c r="F561" s="1026"/>
      <c r="G561" s="1026"/>
      <c r="H561" s="1026"/>
      <c r="I561" s="1026"/>
      <c r="J561" s="1026"/>
      <c r="K561" s="1026"/>
      <c r="L561" s="1026"/>
      <c r="M561" s="1026"/>
      <c r="N561" s="1026"/>
    </row>
    <row r="563" spans="1:14">
      <c r="A563" s="996" t="s">
        <v>175</v>
      </c>
      <c r="B563" s="996"/>
      <c r="C563" s="996"/>
      <c r="D563" s="996"/>
      <c r="E563" s="997" t="s">
        <v>176</v>
      </c>
      <c r="F563" s="997"/>
      <c r="G563" s="997"/>
      <c r="H563" s="997"/>
      <c r="I563" s="997"/>
      <c r="J563" s="997"/>
      <c r="K563" s="997"/>
      <c r="L563" s="997"/>
      <c r="M563" s="997"/>
      <c r="N563" s="997"/>
    </row>
    <row r="565" spans="1:14">
      <c r="A565" s="995" t="s">
        <v>177</v>
      </c>
      <c r="B565" s="995"/>
      <c r="C565" s="995"/>
      <c r="D565" s="995"/>
      <c r="E565" s="992" t="s">
        <v>178</v>
      </c>
      <c r="F565" s="992"/>
      <c r="G565" s="992"/>
      <c r="H565" s="992"/>
      <c r="I565" s="992"/>
      <c r="J565" s="992"/>
      <c r="K565" s="992"/>
      <c r="L565" s="992"/>
      <c r="M565" s="992"/>
      <c r="N565" s="992"/>
    </row>
    <row r="566" spans="1:14">
      <c r="E566" s="992"/>
      <c r="F566" s="992"/>
      <c r="G566" s="992"/>
      <c r="H566" s="992"/>
      <c r="I566" s="992"/>
      <c r="J566" s="992"/>
      <c r="K566" s="992"/>
      <c r="L566" s="992"/>
      <c r="M566" s="992"/>
      <c r="N566" s="992"/>
    </row>
    <row r="568" spans="1:14">
      <c r="A568" s="981" t="s">
        <v>179</v>
      </c>
      <c r="B568" s="981"/>
      <c r="C568" s="981"/>
      <c r="D568" s="981"/>
      <c r="E568" s="998" t="s">
        <v>180</v>
      </c>
      <c r="F568" s="998"/>
      <c r="G568" s="998"/>
      <c r="H568" s="998"/>
      <c r="I568" s="998"/>
      <c r="J568" s="998"/>
      <c r="K568" s="998"/>
      <c r="L568" s="998"/>
      <c r="M568" s="998"/>
      <c r="N568" s="998"/>
    </row>
    <row r="569" spans="1:14">
      <c r="E569" s="998"/>
      <c r="F569" s="998"/>
      <c r="G569" s="998"/>
      <c r="H569" s="998"/>
      <c r="I569" s="998"/>
      <c r="J569" s="998"/>
      <c r="K569" s="998"/>
      <c r="L569" s="998"/>
      <c r="M569" s="998"/>
      <c r="N569" s="998"/>
    </row>
    <row r="571" spans="1:14">
      <c r="A571" s="981" t="s">
        <v>181</v>
      </c>
      <c r="B571" s="981"/>
      <c r="C571" s="981"/>
      <c r="D571" s="981"/>
      <c r="E571" s="992" t="s">
        <v>182</v>
      </c>
      <c r="F571" s="992"/>
      <c r="G571" s="992"/>
      <c r="H571" s="992"/>
      <c r="I571" s="992"/>
      <c r="J571" s="992"/>
      <c r="K571" s="992"/>
      <c r="L571" s="992"/>
      <c r="M571" s="992"/>
      <c r="N571" s="992"/>
    </row>
    <row r="572" spans="1:14">
      <c r="E572" s="992"/>
      <c r="F572" s="992"/>
      <c r="G572" s="992"/>
      <c r="H572" s="992"/>
      <c r="I572" s="992"/>
      <c r="J572" s="992"/>
      <c r="K572" s="992"/>
      <c r="L572" s="992"/>
      <c r="M572" s="992"/>
      <c r="N572" s="992"/>
    </row>
    <row r="574" spans="1:14">
      <c r="A574" s="994" t="s">
        <v>20</v>
      </c>
      <c r="B574" s="994"/>
      <c r="C574" s="994"/>
      <c r="D574" s="994"/>
    </row>
    <row r="576" spans="1:14">
      <c r="A576" s="995" t="s">
        <v>183</v>
      </c>
      <c r="B576" s="995"/>
      <c r="C576" s="995"/>
      <c r="D576" s="995"/>
      <c r="E576" s="985" t="s">
        <v>184</v>
      </c>
      <c r="F576" s="985"/>
      <c r="G576" s="985"/>
      <c r="H576" s="985"/>
      <c r="I576" s="985"/>
      <c r="J576" s="985"/>
      <c r="K576" s="985"/>
      <c r="L576" s="985"/>
      <c r="M576" s="985"/>
      <c r="N576" s="985"/>
    </row>
    <row r="577" spans="1:14">
      <c r="E577" s="985"/>
      <c r="F577" s="985"/>
      <c r="G577" s="985"/>
      <c r="H577" s="985"/>
      <c r="I577" s="985"/>
      <c r="J577" s="985"/>
      <c r="K577" s="985"/>
      <c r="L577" s="985"/>
      <c r="M577" s="985"/>
      <c r="N577" s="985"/>
    </row>
    <row r="578" spans="1:14">
      <c r="E578" s="985"/>
      <c r="F578" s="985"/>
      <c r="G578" s="985"/>
      <c r="H578" s="985"/>
      <c r="I578" s="985"/>
      <c r="J578" s="985"/>
      <c r="K578" s="985"/>
      <c r="L578" s="985"/>
      <c r="M578" s="985"/>
      <c r="N578" s="985"/>
    </row>
    <row r="579" spans="1:14">
      <c r="E579" s="985"/>
      <c r="F579" s="985"/>
      <c r="G579" s="985"/>
      <c r="H579" s="985"/>
      <c r="I579" s="985"/>
      <c r="J579" s="985"/>
      <c r="K579" s="985"/>
      <c r="L579" s="985"/>
      <c r="M579" s="985"/>
      <c r="N579" s="985"/>
    </row>
    <row r="580" spans="1:14">
      <c r="E580" s="985"/>
      <c r="F580" s="985"/>
      <c r="G580" s="985"/>
      <c r="H580" s="985"/>
      <c r="I580" s="985"/>
      <c r="J580" s="985"/>
      <c r="K580" s="985"/>
      <c r="L580" s="985"/>
      <c r="M580" s="985"/>
      <c r="N580" s="985"/>
    </row>
    <row r="581" spans="1:14">
      <c r="E581" s="985"/>
      <c r="F581" s="985"/>
      <c r="G581" s="985"/>
      <c r="H581" s="985"/>
      <c r="I581" s="985"/>
      <c r="J581" s="985"/>
      <c r="K581" s="985"/>
      <c r="L581" s="985"/>
      <c r="M581" s="985"/>
      <c r="N581" s="985"/>
    </row>
    <row r="584" spans="1:14">
      <c r="A584" s="995" t="s">
        <v>185</v>
      </c>
      <c r="B584" s="995"/>
      <c r="C584" s="995"/>
      <c r="D584" s="995"/>
      <c r="E584" s="992" t="s">
        <v>186</v>
      </c>
      <c r="F584" s="992"/>
      <c r="G584" s="992"/>
      <c r="H584" s="992"/>
      <c r="I584" s="992"/>
      <c r="J584" s="992"/>
      <c r="K584" s="992"/>
      <c r="L584" s="992"/>
      <c r="M584" s="992"/>
      <c r="N584" s="992"/>
    </row>
    <row r="585" spans="1:14">
      <c r="E585" s="992"/>
      <c r="F585" s="992"/>
      <c r="G585" s="992"/>
      <c r="H585" s="992"/>
      <c r="I585" s="992"/>
      <c r="J585" s="992"/>
      <c r="K585" s="992"/>
      <c r="L585" s="992"/>
      <c r="M585" s="992"/>
      <c r="N585" s="992"/>
    </row>
    <row r="586" spans="1:14">
      <c r="E586" s="992"/>
      <c r="F586" s="992"/>
      <c r="G586" s="992"/>
      <c r="H586" s="992"/>
      <c r="I586" s="992"/>
      <c r="J586" s="992"/>
      <c r="K586" s="992"/>
      <c r="L586" s="992"/>
      <c r="M586" s="992"/>
      <c r="N586" s="992"/>
    </row>
    <row r="587" spans="1:14">
      <c r="E587" s="992"/>
      <c r="F587" s="992"/>
      <c r="G587" s="992"/>
      <c r="H587" s="992"/>
      <c r="I587" s="992"/>
      <c r="J587" s="992"/>
      <c r="K587" s="992"/>
      <c r="L587" s="992"/>
      <c r="M587" s="992"/>
      <c r="N587" s="992"/>
    </row>
    <row r="588" spans="1:14">
      <c r="E588" s="992"/>
      <c r="F588" s="992"/>
      <c r="G588" s="992"/>
      <c r="H588" s="992"/>
      <c r="I588" s="992"/>
      <c r="J588" s="992"/>
      <c r="K588" s="992"/>
      <c r="L588" s="992"/>
      <c r="M588" s="992"/>
      <c r="N588" s="992"/>
    </row>
    <row r="589" spans="1:14">
      <c r="E589" s="992"/>
      <c r="F589" s="992"/>
      <c r="G589" s="992"/>
      <c r="H589" s="992"/>
      <c r="I589" s="992"/>
      <c r="J589" s="992"/>
      <c r="K589" s="992"/>
      <c r="L589" s="992"/>
      <c r="M589" s="992"/>
      <c r="N589" s="992"/>
    </row>
    <row r="590" spans="1:14">
      <c r="E590" s="992"/>
      <c r="F590" s="992"/>
      <c r="G590" s="992"/>
      <c r="H590" s="992"/>
      <c r="I590" s="992"/>
      <c r="J590" s="992"/>
      <c r="K590" s="992"/>
      <c r="L590" s="992"/>
      <c r="M590" s="992"/>
      <c r="N590" s="992"/>
    </row>
    <row r="591" spans="1:14">
      <c r="E591" s="992"/>
      <c r="F591" s="992"/>
      <c r="G591" s="992"/>
      <c r="H591" s="992"/>
      <c r="I591" s="992"/>
      <c r="J591" s="992"/>
      <c r="K591" s="992"/>
      <c r="L591" s="992"/>
      <c r="M591" s="992"/>
      <c r="N591" s="992"/>
    </row>
    <row r="592" spans="1:14" ht="15.75" thickBot="1"/>
    <row r="593" spans="1:14" ht="15.75" thickBot="1">
      <c r="A593" s="986" t="s">
        <v>187</v>
      </c>
      <c r="B593" s="986"/>
      <c r="C593" s="986"/>
      <c r="D593" s="986"/>
      <c r="E593" s="990" t="s">
        <v>188</v>
      </c>
      <c r="F593" s="990"/>
      <c r="G593" s="990"/>
      <c r="H593" s="990"/>
      <c r="I593" s="990"/>
      <c r="J593" s="990"/>
      <c r="K593" s="990"/>
      <c r="L593" s="990"/>
      <c r="M593" s="990"/>
      <c r="N593" s="990"/>
    </row>
    <row r="594" spans="1:14" ht="15.75" thickBot="1">
      <c r="E594" s="990"/>
      <c r="F594" s="990"/>
      <c r="G594" s="990"/>
      <c r="H594" s="990"/>
      <c r="I594" s="990"/>
      <c r="J594" s="990"/>
      <c r="K594" s="990"/>
      <c r="L594" s="990"/>
      <c r="M594" s="990"/>
      <c r="N594" s="990"/>
    </row>
    <row r="595" spans="1:14" ht="15.75" thickBot="1">
      <c r="E595" s="990"/>
      <c r="F595" s="990"/>
      <c r="G595" s="990"/>
      <c r="H595" s="990"/>
      <c r="I595" s="990"/>
      <c r="J595" s="990"/>
      <c r="K595" s="990"/>
      <c r="L595" s="990"/>
      <c r="M595" s="990"/>
      <c r="N595" s="990"/>
    </row>
    <row r="596" spans="1:14">
      <c r="E596" s="990"/>
      <c r="F596" s="990"/>
      <c r="G596" s="990"/>
      <c r="H596" s="990"/>
      <c r="I596" s="990"/>
      <c r="J596" s="990"/>
      <c r="K596" s="990"/>
      <c r="L596" s="990"/>
      <c r="M596" s="990"/>
      <c r="N596" s="990"/>
    </row>
    <row r="597" spans="1:14">
      <c r="E597" s="32"/>
      <c r="F597" s="32"/>
      <c r="G597" s="32"/>
      <c r="H597" s="32"/>
      <c r="I597" s="32"/>
      <c r="J597" s="32"/>
      <c r="K597" s="32"/>
      <c r="L597" s="32"/>
      <c r="M597" s="32"/>
      <c r="N597" s="32"/>
    </row>
    <row r="598" spans="1:14">
      <c r="A598" s="991" t="s">
        <v>189</v>
      </c>
      <c r="B598" s="991"/>
      <c r="C598" s="991"/>
      <c r="D598" s="991"/>
      <c r="E598" s="992" t="s">
        <v>190</v>
      </c>
      <c r="F598" s="992"/>
      <c r="G598" s="992"/>
      <c r="H598" s="992"/>
      <c r="I598" s="992"/>
      <c r="J598" s="992"/>
      <c r="K598" s="992"/>
      <c r="L598" s="992"/>
      <c r="M598" s="992"/>
      <c r="N598" s="992"/>
    </row>
    <row r="599" spans="1:14">
      <c r="A599" s="33"/>
      <c r="B599" s="33"/>
      <c r="C599" s="33"/>
      <c r="D599" s="33"/>
      <c r="E599" s="992"/>
      <c r="F599" s="992"/>
      <c r="G599" s="992"/>
      <c r="H599" s="992"/>
      <c r="I599" s="992"/>
      <c r="J599" s="992"/>
      <c r="K599" s="992"/>
      <c r="L599" s="992"/>
      <c r="M599" s="992"/>
      <c r="N599" s="992"/>
    </row>
    <row r="600" spans="1:14">
      <c r="E600" s="992"/>
      <c r="F600" s="992"/>
      <c r="G600" s="992"/>
      <c r="H600" s="992"/>
      <c r="I600" s="992"/>
      <c r="J600" s="992"/>
      <c r="K600" s="992"/>
      <c r="L600" s="992"/>
      <c r="M600" s="992"/>
      <c r="N600" s="992"/>
    </row>
    <row r="601" spans="1:14">
      <c r="E601" s="992"/>
      <c r="F601" s="992"/>
      <c r="G601" s="992"/>
      <c r="H601" s="992"/>
      <c r="I601" s="992"/>
      <c r="J601" s="992"/>
      <c r="K601" s="992"/>
      <c r="L601" s="992"/>
      <c r="M601" s="992"/>
      <c r="N601" s="992"/>
    </row>
    <row r="602" spans="1:14" ht="15.75" thickBot="1"/>
    <row r="603" spans="1:14" ht="15.75" thickBot="1">
      <c r="A603" s="986" t="s">
        <v>191</v>
      </c>
      <c r="B603" s="986"/>
      <c r="C603" s="986"/>
      <c r="D603" s="986"/>
      <c r="E603" s="993" t="s">
        <v>192</v>
      </c>
      <c r="F603" s="993"/>
      <c r="G603" s="993"/>
      <c r="H603" s="993"/>
      <c r="I603" s="993"/>
      <c r="J603" s="993"/>
      <c r="K603" s="993"/>
      <c r="L603" s="993"/>
      <c r="M603" s="993"/>
      <c r="N603" s="993"/>
    </row>
    <row r="605" spans="1:14">
      <c r="A605" s="981" t="s">
        <v>193</v>
      </c>
      <c r="B605" s="981"/>
      <c r="C605" s="981"/>
      <c r="D605" s="981"/>
      <c r="E605" s="985" t="s">
        <v>194</v>
      </c>
      <c r="F605" s="985"/>
      <c r="G605" s="985"/>
      <c r="H605" s="985"/>
      <c r="I605" s="985"/>
      <c r="J605" s="985"/>
      <c r="K605" s="985"/>
      <c r="L605" s="985"/>
      <c r="M605" s="985"/>
      <c r="N605" s="985"/>
    </row>
    <row r="606" spans="1:14">
      <c r="E606" s="985"/>
      <c r="F606" s="985"/>
      <c r="G606" s="985"/>
      <c r="H606" s="985"/>
      <c r="I606" s="985"/>
      <c r="J606" s="985"/>
      <c r="K606" s="985"/>
      <c r="L606" s="985"/>
      <c r="M606" s="985"/>
      <c r="N606" s="985"/>
    </row>
    <row r="607" spans="1:14">
      <c r="E607" s="985"/>
      <c r="F607" s="985"/>
      <c r="G607" s="985"/>
      <c r="H607" s="985"/>
      <c r="I607" s="985"/>
      <c r="J607" s="985"/>
      <c r="K607" s="985"/>
      <c r="L607" s="985"/>
      <c r="M607" s="985"/>
      <c r="N607" s="985"/>
    </row>
    <row r="608" spans="1:14">
      <c r="E608" s="985"/>
      <c r="F608" s="985"/>
      <c r="G608" s="985"/>
      <c r="H608" s="985"/>
      <c r="I608" s="985"/>
      <c r="J608" s="985"/>
      <c r="K608" s="985"/>
      <c r="L608" s="985"/>
      <c r="M608" s="985"/>
      <c r="N608" s="985"/>
    </row>
    <row r="609" spans="1:14">
      <c r="E609" s="985"/>
      <c r="F609" s="985"/>
      <c r="G609" s="985"/>
      <c r="H609" s="985"/>
      <c r="I609" s="985"/>
      <c r="J609" s="985"/>
      <c r="K609" s="985"/>
      <c r="L609" s="985"/>
      <c r="M609" s="985"/>
      <c r="N609" s="985"/>
    </row>
    <row r="610" spans="1:14">
      <c r="E610" s="985"/>
      <c r="F610" s="985"/>
      <c r="G610" s="985"/>
      <c r="H610" s="985"/>
      <c r="I610" s="985"/>
      <c r="J610" s="985"/>
      <c r="K610" s="985"/>
      <c r="L610" s="985"/>
      <c r="M610" s="985"/>
      <c r="N610" s="985"/>
    </row>
    <row r="611" spans="1:14">
      <c r="E611" s="985"/>
      <c r="F611" s="985"/>
      <c r="G611" s="985"/>
      <c r="H611" s="985"/>
      <c r="I611" s="985"/>
      <c r="J611" s="985"/>
      <c r="K611" s="985"/>
      <c r="L611" s="985"/>
      <c r="M611" s="985"/>
      <c r="N611" s="985"/>
    </row>
    <row r="612" spans="1:14">
      <c r="C612" s="4"/>
      <c r="E612" s="985"/>
      <c r="F612" s="985"/>
      <c r="G612" s="985"/>
      <c r="H612" s="985"/>
      <c r="I612" s="985"/>
      <c r="J612" s="985"/>
      <c r="K612" s="985"/>
      <c r="L612" s="985"/>
      <c r="M612" s="985"/>
      <c r="N612" s="985"/>
    </row>
    <row r="613" spans="1:14">
      <c r="E613" s="985"/>
      <c r="F613" s="985"/>
      <c r="G613" s="985"/>
      <c r="H613" s="985"/>
      <c r="I613" s="985"/>
      <c r="J613" s="985"/>
      <c r="K613" s="985"/>
      <c r="L613" s="985"/>
      <c r="M613" s="985"/>
      <c r="N613" s="985"/>
    </row>
    <row r="614" spans="1:14" ht="15.75" thickBot="1">
      <c r="E614" s="32"/>
      <c r="F614" s="32"/>
      <c r="G614" s="32"/>
      <c r="H614" s="32"/>
      <c r="I614" s="32"/>
      <c r="J614" s="32"/>
      <c r="K614" s="32"/>
      <c r="L614" s="32"/>
      <c r="M614" s="32"/>
      <c r="N614" s="32"/>
    </row>
    <row r="615" spans="1:14" ht="15.75" thickBot="1">
      <c r="A615" s="986" t="s">
        <v>195</v>
      </c>
      <c r="B615" s="986"/>
      <c r="C615" s="986"/>
      <c r="D615" s="986"/>
      <c r="E615" s="987" t="s">
        <v>196</v>
      </c>
      <c r="F615" s="987"/>
      <c r="G615" s="987"/>
      <c r="H615" s="987"/>
      <c r="I615" s="987"/>
      <c r="J615" s="987"/>
      <c r="K615" s="987"/>
      <c r="L615" s="987"/>
      <c r="M615" s="987"/>
      <c r="N615" s="987"/>
    </row>
    <row r="619" spans="1:14" ht="15.75">
      <c r="A619" s="988" t="s">
        <v>29</v>
      </c>
      <c r="B619" s="988"/>
    </row>
    <row r="620" spans="1:14" ht="15.75" thickBot="1"/>
    <row r="621" spans="1:14" ht="15.75" thickBot="1">
      <c r="A621" s="989" t="s">
        <v>197</v>
      </c>
      <c r="B621" s="989"/>
      <c r="C621" s="989"/>
      <c r="D621" s="989"/>
      <c r="E621" s="989"/>
      <c r="F621" s="34" t="s">
        <v>198</v>
      </c>
      <c r="G621" s="35"/>
      <c r="H621" s="35"/>
      <c r="I621" s="35"/>
      <c r="J621" s="35"/>
      <c r="K621" s="35"/>
      <c r="L621" s="35"/>
      <c r="M621" s="35"/>
      <c r="N621" s="35"/>
    </row>
    <row r="623" spans="1:14">
      <c r="A623" s="981" t="s">
        <v>199</v>
      </c>
      <c r="B623" s="981"/>
      <c r="C623" s="981"/>
      <c r="D623" s="981"/>
      <c r="E623" s="981"/>
      <c r="F623" s="982" t="s">
        <v>200</v>
      </c>
      <c r="G623" s="982"/>
      <c r="H623" s="982"/>
      <c r="I623" s="982"/>
      <c r="J623" s="982"/>
      <c r="K623" s="982"/>
      <c r="L623" s="982"/>
      <c r="M623" s="982"/>
      <c r="N623" s="982"/>
    </row>
    <row r="624" spans="1:14">
      <c r="F624" s="982"/>
      <c r="G624" s="982"/>
      <c r="H624" s="982"/>
      <c r="I624" s="982"/>
      <c r="J624" s="982"/>
      <c r="K624" s="982"/>
      <c r="L624" s="982"/>
      <c r="M624" s="982"/>
      <c r="N624" s="982"/>
    </row>
    <row r="625" spans="1:14">
      <c r="F625" s="982"/>
      <c r="G625" s="982"/>
      <c r="H625" s="982"/>
      <c r="I625" s="982"/>
      <c r="J625" s="982"/>
      <c r="K625" s="982"/>
      <c r="L625" s="982"/>
      <c r="M625" s="982"/>
      <c r="N625" s="982"/>
    </row>
    <row r="627" spans="1:14">
      <c r="A627" s="983" t="s">
        <v>31</v>
      </c>
      <c r="B627" s="983"/>
    </row>
    <row r="631" spans="1:14">
      <c r="A631" s="984" t="s">
        <v>32</v>
      </c>
      <c r="B631" s="984"/>
      <c r="C631" s="984"/>
      <c r="D631" s="984"/>
      <c r="E631" s="984"/>
    </row>
    <row r="632" spans="1:14">
      <c r="I632" s="4"/>
    </row>
    <row r="634" spans="1:14">
      <c r="A634" s="981" t="s">
        <v>201</v>
      </c>
      <c r="B634" s="981"/>
      <c r="C634" s="981"/>
      <c r="D634" s="981"/>
      <c r="E634" s="981"/>
      <c r="F634" s="985" t="s">
        <v>202</v>
      </c>
      <c r="G634" s="985"/>
      <c r="H634" s="985"/>
      <c r="I634" s="985"/>
      <c r="J634" s="985"/>
      <c r="K634" s="985"/>
      <c r="L634" s="985"/>
      <c r="M634" s="985"/>
      <c r="N634" s="985"/>
    </row>
    <row r="635" spans="1:14">
      <c r="F635" s="985"/>
      <c r="G635" s="985"/>
      <c r="H635" s="985"/>
      <c r="I635" s="985"/>
      <c r="J635" s="985"/>
      <c r="K635" s="985"/>
      <c r="L635" s="985"/>
      <c r="M635" s="985"/>
      <c r="N635" s="985"/>
    </row>
    <row r="636" spans="1:14">
      <c r="F636" s="985"/>
      <c r="G636" s="985"/>
      <c r="H636" s="985"/>
      <c r="I636" s="985"/>
      <c r="J636" s="985"/>
      <c r="K636" s="985"/>
      <c r="L636" s="985"/>
      <c r="M636" s="985"/>
      <c r="N636" s="985"/>
    </row>
    <row r="637" spans="1:14">
      <c r="F637" s="985"/>
      <c r="G637" s="985"/>
      <c r="H637" s="985"/>
      <c r="I637" s="985"/>
      <c r="J637" s="985"/>
      <c r="K637" s="985"/>
      <c r="L637" s="985"/>
      <c r="M637" s="985"/>
      <c r="N637" s="985"/>
    </row>
    <row r="638" spans="1:14">
      <c r="F638" s="985"/>
      <c r="G638" s="985"/>
      <c r="H638" s="985"/>
      <c r="I638" s="985"/>
      <c r="J638" s="985"/>
      <c r="K638" s="985"/>
      <c r="L638" s="985"/>
      <c r="M638" s="985"/>
      <c r="N638" s="985"/>
    </row>
    <row r="639" spans="1:14">
      <c r="F639" s="985"/>
      <c r="G639" s="985"/>
      <c r="H639" s="985"/>
      <c r="I639" s="985"/>
      <c r="J639" s="985"/>
      <c r="K639" s="985"/>
      <c r="L639" s="985"/>
      <c r="M639" s="985"/>
      <c r="N639" s="985"/>
    </row>
    <row r="640" spans="1:14">
      <c r="F640" s="985"/>
      <c r="G640" s="985"/>
      <c r="H640" s="985"/>
      <c r="I640" s="985"/>
      <c r="J640" s="985"/>
      <c r="K640" s="985"/>
      <c r="L640" s="985"/>
      <c r="M640" s="985"/>
      <c r="N640" s="985"/>
    </row>
    <row r="641" spans="1:14">
      <c r="F641" s="985"/>
      <c r="G641" s="985"/>
      <c r="H641" s="985"/>
      <c r="I641" s="985"/>
      <c r="J641" s="985"/>
      <c r="K641" s="985"/>
      <c r="L641" s="985"/>
      <c r="M641" s="985"/>
      <c r="N641" s="985"/>
    </row>
    <row r="642" spans="1:14">
      <c r="F642" s="32"/>
      <c r="G642" s="32"/>
      <c r="H642" s="32"/>
      <c r="I642" s="32"/>
      <c r="J642" s="32"/>
      <c r="K642" s="32"/>
      <c r="L642" s="32"/>
      <c r="M642" s="32"/>
      <c r="N642" s="32"/>
    </row>
    <row r="643" spans="1:14">
      <c r="A643" s="981" t="s">
        <v>203</v>
      </c>
      <c r="B643" s="981"/>
      <c r="C643" s="981"/>
      <c r="D643" s="981"/>
      <c r="E643" s="981"/>
      <c r="F643" s="982" t="s">
        <v>204</v>
      </c>
      <c r="G643" s="982"/>
      <c r="H643" s="982"/>
      <c r="I643" s="982"/>
      <c r="J643" s="982"/>
      <c r="K643" s="982"/>
      <c r="L643" s="982"/>
      <c r="M643" s="982"/>
      <c r="N643" s="982"/>
    </row>
    <row r="644" spans="1:14">
      <c r="F644" s="982"/>
      <c r="G644" s="982"/>
      <c r="H644" s="982"/>
      <c r="I644" s="982"/>
      <c r="J644" s="982"/>
      <c r="K644" s="982"/>
      <c r="L644" s="982"/>
      <c r="M644" s="982"/>
      <c r="N644" s="982"/>
    </row>
    <row r="645" spans="1:14">
      <c r="F645" s="982"/>
      <c r="G645" s="982"/>
      <c r="H645" s="982"/>
      <c r="I645" s="982"/>
      <c r="J645" s="982"/>
      <c r="K645" s="982"/>
      <c r="L645" s="982"/>
      <c r="M645" s="982"/>
      <c r="N645" s="982"/>
    </row>
    <row r="646" spans="1:14">
      <c r="F646" s="982"/>
      <c r="G646" s="982"/>
      <c r="H646" s="982"/>
      <c r="I646" s="982"/>
      <c r="J646" s="982"/>
      <c r="K646" s="982"/>
      <c r="L646" s="982"/>
      <c r="M646" s="982"/>
      <c r="N646" s="982"/>
    </row>
    <row r="647" spans="1:14">
      <c r="F647" s="982"/>
      <c r="G647" s="982"/>
      <c r="H647" s="982"/>
      <c r="I647" s="982"/>
      <c r="J647" s="982"/>
      <c r="K647" s="982"/>
      <c r="L647" s="982"/>
      <c r="M647" s="982"/>
      <c r="N647" s="982"/>
    </row>
    <row r="649" spans="1:14">
      <c r="A649" s="981" t="s">
        <v>205</v>
      </c>
      <c r="B649" s="981"/>
      <c r="C649" s="981"/>
      <c r="D649" s="981"/>
      <c r="E649" s="981"/>
      <c r="F649" s="982" t="s">
        <v>206</v>
      </c>
      <c r="G649" s="982"/>
      <c r="H649" s="982"/>
      <c r="I649" s="982"/>
      <c r="J649" s="982"/>
      <c r="K649" s="982"/>
      <c r="L649" s="982"/>
      <c r="M649" s="982"/>
      <c r="N649" s="982"/>
    </row>
    <row r="650" spans="1:14">
      <c r="F650" s="982"/>
      <c r="G650" s="982"/>
      <c r="H650" s="982"/>
      <c r="I650" s="982"/>
      <c r="J650" s="982"/>
      <c r="K650" s="982"/>
      <c r="L650" s="982"/>
      <c r="M650" s="982"/>
      <c r="N650" s="982"/>
    </row>
    <row r="651" spans="1:14">
      <c r="F651" s="982"/>
      <c r="G651" s="982"/>
      <c r="H651" s="982"/>
      <c r="I651" s="982"/>
      <c r="J651" s="982"/>
      <c r="K651" s="982"/>
      <c r="L651" s="982"/>
      <c r="M651" s="982"/>
      <c r="N651" s="982"/>
    </row>
    <row r="652" spans="1:14">
      <c r="F652" s="982"/>
      <c r="G652" s="982"/>
      <c r="H652" s="982"/>
      <c r="I652" s="982"/>
      <c r="J652" s="982"/>
      <c r="K652" s="982"/>
      <c r="L652" s="982"/>
      <c r="M652" s="982"/>
      <c r="N652" s="982"/>
    </row>
    <row r="653" spans="1:14">
      <c r="F653" s="982"/>
      <c r="G653" s="982"/>
      <c r="H653" s="982"/>
      <c r="I653" s="982"/>
      <c r="J653" s="982"/>
      <c r="K653" s="982"/>
      <c r="L653" s="982"/>
      <c r="M653" s="982"/>
      <c r="N653" s="982"/>
    </row>
    <row r="654" spans="1:14">
      <c r="F654" s="982"/>
      <c r="G654" s="982"/>
      <c r="H654" s="982"/>
      <c r="I654" s="982"/>
      <c r="J654" s="982"/>
      <c r="K654" s="982"/>
      <c r="L654" s="982"/>
      <c r="M654" s="982"/>
      <c r="N654" s="982"/>
    </row>
  </sheetData>
  <mergeCells count="352">
    <mergeCell ref="A150:B150"/>
    <mergeCell ref="C150:O150"/>
    <mergeCell ref="A144:B144"/>
    <mergeCell ref="C144:M144"/>
    <mergeCell ref="A151:B151"/>
    <mergeCell ref="C151:N152"/>
    <mergeCell ref="C140:N142"/>
    <mergeCell ref="C143:O143"/>
    <mergeCell ref="A146:B146"/>
    <mergeCell ref="A147:B147"/>
    <mergeCell ref="A148:B148"/>
    <mergeCell ref="C147:N147"/>
    <mergeCell ref="C148:O148"/>
    <mergeCell ref="A149:B149"/>
    <mergeCell ref="C149:N149"/>
    <mergeCell ref="A19:C19"/>
    <mergeCell ref="F19:M19"/>
    <mergeCell ref="A25:C25"/>
    <mergeCell ref="F25:I25"/>
    <mergeCell ref="F28:G28"/>
    <mergeCell ref="K28:M28"/>
    <mergeCell ref="E29:F29"/>
    <mergeCell ref="A33:B33"/>
    <mergeCell ref="C20:K20"/>
    <mergeCell ref="A21:C21"/>
    <mergeCell ref="A22:C22"/>
    <mergeCell ref="A23:C23"/>
    <mergeCell ref="E23:M23"/>
    <mergeCell ref="A24:C24"/>
    <mergeCell ref="E24:N24"/>
    <mergeCell ref="B1:H1"/>
    <mergeCell ref="B2:H2"/>
    <mergeCell ref="B3:J3"/>
    <mergeCell ref="B4:I4"/>
    <mergeCell ref="K4:L4"/>
    <mergeCell ref="F15:I15"/>
    <mergeCell ref="A17:C17"/>
    <mergeCell ref="H17:I17"/>
    <mergeCell ref="A18:C18"/>
    <mergeCell ref="H18:I18"/>
    <mergeCell ref="H10:I10"/>
    <mergeCell ref="L10:N10"/>
    <mergeCell ref="A12:C12"/>
    <mergeCell ref="H12:I12"/>
    <mergeCell ref="H13:I13"/>
    <mergeCell ref="H14:I14"/>
    <mergeCell ref="M4:N4"/>
    <mergeCell ref="B5:C5"/>
    <mergeCell ref="D6:E6"/>
    <mergeCell ref="G6:K6"/>
    <mergeCell ref="D8:E8"/>
    <mergeCell ref="H8:I8"/>
    <mergeCell ref="H9:I9"/>
    <mergeCell ref="A39:B39"/>
    <mergeCell ref="L39:M39"/>
    <mergeCell ref="A40:B40"/>
    <mergeCell ref="L40:M40"/>
    <mergeCell ref="A42:B42"/>
    <mergeCell ref="C42:N42"/>
    <mergeCell ref="A35:B35"/>
    <mergeCell ref="A36:B36"/>
    <mergeCell ref="H36:J36"/>
    <mergeCell ref="L36:M36"/>
    <mergeCell ref="A37:B37"/>
    <mergeCell ref="A38:B38"/>
    <mergeCell ref="A60:C60"/>
    <mergeCell ref="A61:C61"/>
    <mergeCell ref="A62:B62"/>
    <mergeCell ref="A64:B64"/>
    <mergeCell ref="A66:B66"/>
    <mergeCell ref="A68:B68"/>
    <mergeCell ref="O42:T42"/>
    <mergeCell ref="A53:D53"/>
    <mergeCell ref="A54:C54"/>
    <mergeCell ref="A55:B55"/>
    <mergeCell ref="A57:B57"/>
    <mergeCell ref="A59:B59"/>
    <mergeCell ref="A80:C80"/>
    <mergeCell ref="A83:B83"/>
    <mergeCell ref="A184:C184"/>
    <mergeCell ref="F184:J184"/>
    <mergeCell ref="A185:F185"/>
    <mergeCell ref="D197:E197"/>
    <mergeCell ref="A69:C69"/>
    <mergeCell ref="A70:C70"/>
    <mergeCell ref="A73:B73"/>
    <mergeCell ref="A75:C75"/>
    <mergeCell ref="A78:B78"/>
    <mergeCell ref="C79:F79"/>
    <mergeCell ref="D93:J93"/>
    <mergeCell ref="A95:B95"/>
    <mergeCell ref="C103:O103"/>
    <mergeCell ref="C105:O105"/>
    <mergeCell ref="C106:O107"/>
    <mergeCell ref="C108:O108"/>
    <mergeCell ref="C110:O110"/>
    <mergeCell ref="C111:O112"/>
    <mergeCell ref="C113:O113"/>
    <mergeCell ref="C100:O101"/>
    <mergeCell ref="C120:O121"/>
    <mergeCell ref="C122:O123"/>
    <mergeCell ref="A215:F215"/>
    <mergeCell ref="D227:E227"/>
    <mergeCell ref="D228:E228"/>
    <mergeCell ref="D229:E229"/>
    <mergeCell ref="A231:F231"/>
    <mergeCell ref="I243:M243"/>
    <mergeCell ref="D198:E198"/>
    <mergeCell ref="D199:E199"/>
    <mergeCell ref="A200:F200"/>
    <mergeCell ref="D212:E212"/>
    <mergeCell ref="D213:E213"/>
    <mergeCell ref="D214:E214"/>
    <mergeCell ref="A268:C268"/>
    <mergeCell ref="B273:H273"/>
    <mergeCell ref="B274:K274"/>
    <mergeCell ref="B275:J275"/>
    <mergeCell ref="M276:N276"/>
    <mergeCell ref="B277:C277"/>
    <mergeCell ref="K277:L277"/>
    <mergeCell ref="P244:S244"/>
    <mergeCell ref="P245:S245"/>
    <mergeCell ref="P246:S246"/>
    <mergeCell ref="A247:B247"/>
    <mergeCell ref="D247:E247"/>
    <mergeCell ref="G247:H247"/>
    <mergeCell ref="J247:K247"/>
    <mergeCell ref="M247:N247"/>
    <mergeCell ref="A280:B280"/>
    <mergeCell ref="C280:D280"/>
    <mergeCell ref="E280:F280"/>
    <mergeCell ref="G280:H280"/>
    <mergeCell ref="I280:K280"/>
    <mergeCell ref="L280:M280"/>
    <mergeCell ref="A278:B278"/>
    <mergeCell ref="E278:F278"/>
    <mergeCell ref="I278:J278"/>
    <mergeCell ref="A279:B279"/>
    <mergeCell ref="C279:H279"/>
    <mergeCell ref="I279:K279"/>
    <mergeCell ref="J284:K284"/>
    <mergeCell ref="A285:B285"/>
    <mergeCell ref="J285:K285"/>
    <mergeCell ref="A286:B286"/>
    <mergeCell ref="J286:K286"/>
    <mergeCell ref="A287:B287"/>
    <mergeCell ref="J287:K287"/>
    <mergeCell ref="A281:B281"/>
    <mergeCell ref="J281:K281"/>
    <mergeCell ref="A282:B282"/>
    <mergeCell ref="J282:K282"/>
    <mergeCell ref="A283:B283"/>
    <mergeCell ref="J283:K283"/>
    <mergeCell ref="A299:B299"/>
    <mergeCell ref="A300:B300"/>
    <mergeCell ref="A301:B301"/>
    <mergeCell ref="A302:C302"/>
    <mergeCell ref="A303:B303"/>
    <mergeCell ref="E309:F309"/>
    <mergeCell ref="A288:B288"/>
    <mergeCell ref="J288:K288"/>
    <mergeCell ref="I290:J290"/>
    <mergeCell ref="A295:B295"/>
    <mergeCell ref="A296:B296"/>
    <mergeCell ref="A298:B298"/>
    <mergeCell ref="E316:F316"/>
    <mergeCell ref="E317:F317"/>
    <mergeCell ref="I317:K317"/>
    <mergeCell ref="E318:F318"/>
    <mergeCell ref="I318:K318"/>
    <mergeCell ref="E319:F319"/>
    <mergeCell ref="E310:F310"/>
    <mergeCell ref="E311:F311"/>
    <mergeCell ref="E312:F312"/>
    <mergeCell ref="E313:F313"/>
    <mergeCell ref="E314:F314"/>
    <mergeCell ref="E315:F315"/>
    <mergeCell ref="E327:F327"/>
    <mergeCell ref="E328:F328"/>
    <mergeCell ref="E329:F329"/>
    <mergeCell ref="E330:F330"/>
    <mergeCell ref="E331:F331"/>
    <mergeCell ref="J338:K338"/>
    <mergeCell ref="E320:F320"/>
    <mergeCell ref="E321:F321"/>
    <mergeCell ref="E322:F322"/>
    <mergeCell ref="E323:F323"/>
    <mergeCell ref="E324:G324"/>
    <mergeCell ref="E326:F326"/>
    <mergeCell ref="B368:H368"/>
    <mergeCell ref="B369:J369"/>
    <mergeCell ref="B370:G370"/>
    <mergeCell ref="I370:J370"/>
    <mergeCell ref="M370:N370"/>
    <mergeCell ref="A371:F371"/>
    <mergeCell ref="J339:K339"/>
    <mergeCell ref="D350:F350"/>
    <mergeCell ref="A360:N360"/>
    <mergeCell ref="B363:C363"/>
    <mergeCell ref="D363:M363"/>
    <mergeCell ref="B367:H367"/>
    <mergeCell ref="A379:B379"/>
    <mergeCell ref="A380:B380"/>
    <mergeCell ref="H380:J380"/>
    <mergeCell ref="L380:M380"/>
    <mergeCell ref="A381:B381"/>
    <mergeCell ref="A382:B382"/>
    <mergeCell ref="D372:E372"/>
    <mergeCell ref="F372:G372"/>
    <mergeCell ref="I372:J372"/>
    <mergeCell ref="K372:M372"/>
    <mergeCell ref="E373:F373"/>
    <mergeCell ref="A377:B377"/>
    <mergeCell ref="A395:D395"/>
    <mergeCell ref="K395:L395"/>
    <mergeCell ref="A396:D396"/>
    <mergeCell ref="K396:L396"/>
    <mergeCell ref="A397:D397"/>
    <mergeCell ref="K397:L397"/>
    <mergeCell ref="A383:B383"/>
    <mergeCell ref="L383:M383"/>
    <mergeCell ref="A384:B384"/>
    <mergeCell ref="L384:M384"/>
    <mergeCell ref="A394:D394"/>
    <mergeCell ref="E394:F394"/>
    <mergeCell ref="H394:I394"/>
    <mergeCell ref="K394:M394"/>
    <mergeCell ref="A414:C414"/>
    <mergeCell ref="A415:C415"/>
    <mergeCell ref="A416:C416"/>
    <mergeCell ref="A417:C417"/>
    <mergeCell ref="A418:C418"/>
    <mergeCell ref="A419:C419"/>
    <mergeCell ref="A398:D398"/>
    <mergeCell ref="K398:L398"/>
    <mergeCell ref="A399:F399"/>
    <mergeCell ref="C400:D400"/>
    <mergeCell ref="F400:N400"/>
    <mergeCell ref="E413:F413"/>
    <mergeCell ref="A426:C426"/>
    <mergeCell ref="A427:C427"/>
    <mergeCell ref="A428:C428"/>
    <mergeCell ref="A430:N434"/>
    <mergeCell ref="A435:N439"/>
    <mergeCell ref="A440:N444"/>
    <mergeCell ref="A420:C420"/>
    <mergeCell ref="A421:C421"/>
    <mergeCell ref="A422:C422"/>
    <mergeCell ref="A423:C423"/>
    <mergeCell ref="A424:C424"/>
    <mergeCell ref="A425:C425"/>
    <mergeCell ref="A462:N462"/>
    <mergeCell ref="B463:D463"/>
    <mergeCell ref="B464:M464"/>
    <mergeCell ref="B465:E465"/>
    <mergeCell ref="K466:N466"/>
    <mergeCell ref="K467:L467"/>
    <mergeCell ref="A445:N449"/>
    <mergeCell ref="A452:B452"/>
    <mergeCell ref="A454:E454"/>
    <mergeCell ref="A455:B455"/>
    <mergeCell ref="A456:E456"/>
    <mergeCell ref="A461:N461"/>
    <mergeCell ref="K476:L476"/>
    <mergeCell ref="D478:J478"/>
    <mergeCell ref="K478:L478"/>
    <mergeCell ref="E479:J479"/>
    <mergeCell ref="K479:L479"/>
    <mergeCell ref="K480:L480"/>
    <mergeCell ref="D469:J469"/>
    <mergeCell ref="K469:L469"/>
    <mergeCell ref="K470:L470"/>
    <mergeCell ref="K471:L471"/>
    <mergeCell ref="K472:L472"/>
    <mergeCell ref="C474:J474"/>
    <mergeCell ref="K474:L474"/>
    <mergeCell ref="K490:L490"/>
    <mergeCell ref="K491:L491"/>
    <mergeCell ref="K497:L497"/>
    <mergeCell ref="K498:L498"/>
    <mergeCell ref="K499:L499"/>
    <mergeCell ref="K500:L500"/>
    <mergeCell ref="K481:L481"/>
    <mergeCell ref="K482:L482"/>
    <mergeCell ref="K483:L483"/>
    <mergeCell ref="K484:L484"/>
    <mergeCell ref="K485:L485"/>
    <mergeCell ref="K486:L486"/>
    <mergeCell ref="K525:L525"/>
    <mergeCell ref="A527:D532"/>
    <mergeCell ref="E527:I532"/>
    <mergeCell ref="J527:N532"/>
    <mergeCell ref="A558:D558"/>
    <mergeCell ref="E558:N558"/>
    <mergeCell ref="K502:L502"/>
    <mergeCell ref="K503:L503"/>
    <mergeCell ref="K509:L509"/>
    <mergeCell ref="K512:L512"/>
    <mergeCell ref="K522:L522"/>
    <mergeCell ref="K523:L523"/>
    <mergeCell ref="A574:D574"/>
    <mergeCell ref="A576:D576"/>
    <mergeCell ref="E576:N581"/>
    <mergeCell ref="A560:D560"/>
    <mergeCell ref="E560:N561"/>
    <mergeCell ref="A563:D563"/>
    <mergeCell ref="E563:N563"/>
    <mergeCell ref="A565:D565"/>
    <mergeCell ref="E565:N566"/>
    <mergeCell ref="A643:E643"/>
    <mergeCell ref="F643:N647"/>
    <mergeCell ref="A649:E649"/>
    <mergeCell ref="F649:N654"/>
    <mergeCell ref="A619:B619"/>
    <mergeCell ref="A621:E621"/>
    <mergeCell ref="A623:E623"/>
    <mergeCell ref="F623:N625"/>
    <mergeCell ref="A627:B627"/>
    <mergeCell ref="A631:E631"/>
    <mergeCell ref="A102:B102"/>
    <mergeCell ref="A124:B124"/>
    <mergeCell ref="C125:O125"/>
    <mergeCell ref="C126:O126"/>
    <mergeCell ref="C131:M131"/>
    <mergeCell ref="A634:E634"/>
    <mergeCell ref="F634:N641"/>
    <mergeCell ref="A603:D603"/>
    <mergeCell ref="E603:N603"/>
    <mergeCell ref="A605:D605"/>
    <mergeCell ref="E605:N613"/>
    <mergeCell ref="A615:D615"/>
    <mergeCell ref="E615:N615"/>
    <mergeCell ref="A584:D584"/>
    <mergeCell ref="E584:N591"/>
    <mergeCell ref="A593:D593"/>
    <mergeCell ref="E593:N596"/>
    <mergeCell ref="A598:D598"/>
    <mergeCell ref="E598:N601"/>
    <mergeCell ref="A568:D568"/>
    <mergeCell ref="E568:N569"/>
    <mergeCell ref="C127:O127"/>
    <mergeCell ref="A571:D571"/>
    <mergeCell ref="E571:N572"/>
    <mergeCell ref="A139:B139"/>
    <mergeCell ref="C128:O128"/>
    <mergeCell ref="C129:O129"/>
    <mergeCell ref="C130:O130"/>
    <mergeCell ref="Q131:AC131"/>
    <mergeCell ref="C114:O115"/>
    <mergeCell ref="C116:O116"/>
    <mergeCell ref="C117:O118"/>
    <mergeCell ref="C119:O119"/>
  </mergeCells>
  <dataValidations count="14">
    <dataValidation type="list" allowBlank="1" showInputMessage="1" showErrorMessage="1" sqref="C474">
      <formula1>$P$474:$P$476</formula1>
    </dataValidation>
    <dataValidation type="list" allowBlank="1" showInputMessage="1" showErrorMessage="1" sqref="D469:J469">
      <formula1>$P$465:$P$467</formula1>
    </dataValidation>
    <dataValidation type="list" allowBlank="1" showInputMessage="1" showErrorMessage="1" sqref="C42:N42">
      <formula1>$O$39:$O$43</formula1>
    </dataValidation>
    <dataValidation type="list" allowBlank="1" showInputMessage="1" showErrorMessage="1" sqref="I243">
      <formula1>$P$239:$P$243</formula1>
    </dataValidation>
    <dataValidation type="list" allowBlank="1" showInputMessage="1" showErrorMessage="1" sqref="K28:M28">
      <formula1>$R$361:$R$371</formula1>
    </dataValidation>
    <dataValidation type="list" allowBlank="1" showInputMessage="1" showErrorMessage="1" sqref="F372:G372 F28">
      <formula1>$P$362:$P$371</formula1>
    </dataValidation>
    <dataValidation type="list" allowBlank="1" showInputMessage="1" showErrorMessage="1" sqref="K372:M372">
      <formula1>$R$362:$R$371</formula1>
    </dataValidation>
    <dataValidation type="list" allowBlank="1" showInputMessage="1" showErrorMessage="1" sqref="D373 D29">
      <formula1>$T$362:$T$373</formula1>
    </dataValidation>
    <dataValidation type="list" allowBlank="1" showInputMessage="1" showErrorMessage="1" sqref="G373 G29">
      <formula1>$U$362:$U$373</formula1>
    </dataValidation>
    <dataValidation type="list" allowBlank="1" showInputMessage="1" showErrorMessage="1" sqref="C377 C33">
      <formula1>$P$373:$P$374</formula1>
    </dataValidation>
    <dataValidation type="list" allowBlank="1" showInputMessage="1" showErrorMessage="1" sqref="L384:M384 L40:M40">
      <formula1>$R$373:$R$374</formula1>
    </dataValidation>
    <dataValidation type="list" allowBlank="1" showInputMessage="1" showErrorMessage="1" sqref="F249">
      <formula1>$U$225:$U$240</formula1>
    </dataValidation>
    <dataValidation type="list" allowBlank="1" showInputMessage="1" showErrorMessage="1" sqref="C455">
      <formula1>$O$454:$O$457</formula1>
    </dataValidation>
    <dataValidation type="list" allowBlank="1" showInputMessage="1" showErrorMessage="1" sqref="H465">
      <formula1>$O$462:$O$470</formula1>
    </dataValidation>
  </dataValidations>
  <pageMargins left="0.25" right="0.25" top="0.75" bottom="0.75" header="0.3" footer="0.3"/>
  <pageSetup firstPageNumber="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C9"/>
  <sheetViews>
    <sheetView zoomScaleNormal="100" zoomScalePageLayoutView="60" workbookViewId="0">
      <selection activeCell="A9" sqref="A9"/>
    </sheetView>
  </sheetViews>
  <sheetFormatPr baseColWidth="10" defaultRowHeight="15"/>
  <sheetData>
    <row r="7" spans="2:3">
      <c r="B7">
        <v>1</v>
      </c>
      <c r="C7" t="s">
        <v>570</v>
      </c>
    </row>
    <row r="8" spans="2:3">
      <c r="B8">
        <v>2</v>
      </c>
    </row>
    <row r="9" spans="2:3">
      <c r="B9">
        <v>3</v>
      </c>
      <c r="C9" t="s">
        <v>570</v>
      </c>
    </row>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zoomScalePageLayoutView="60" workbookViewId="0"/>
  </sheetViews>
  <sheetFormatPr baseColWidth="10" defaultRowHeight="15"/>
  <sheetData/>
  <phoneticPr fontId="20"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MUJERES</vt:lpstr>
      <vt:lpstr>DM GESTACIONAL</vt:lpstr>
      <vt:lpstr>niños 0 3 años</vt:lpstr>
      <vt:lpstr>niñas 0- 3 años</vt:lpstr>
      <vt:lpstr>niñas 3 -6 años</vt:lpstr>
      <vt:lpstr>niños 3 -6 años </vt:lpstr>
      <vt:lpstr>niñas 6 a 11 años </vt:lpstr>
      <vt:lpstr>niños 6 -11 años</vt:lpstr>
      <vt:lpstr>HOMBRES</vt:lpstr>
      <vt:lpstr>Hoja1</vt:lpstr>
      <vt:lpstr>COLOSTOMIAS E ILEOSTOMIAS</vt:lpstr>
      <vt:lpstr>Hoja3</vt:lpstr>
      <vt:lpstr>Hoja4</vt:lpstr>
      <vt:lpstr>Hoja7</vt:lpstr>
      <vt:lpstr>Hoja8</vt:lpstr>
      <vt:lpstr>Hoja9</vt:lpstr>
      <vt:lpstr>Hoja10</vt:lpstr>
      <vt:lpstr>Hoja11</vt:lpstr>
      <vt:lpstr>Hoja12</vt:lpstr>
      <vt:lpstr>Hoja13</vt:lpstr>
      <vt:lpstr>Hoja14</vt:lpstr>
      <vt:lpstr>Hoja15</vt:lpstr>
      <vt:lpstr>Hoja16</vt:lpstr>
      <vt:lpstr>Hoja17</vt:lpstr>
      <vt:lpstr>Hoja18</vt:lpstr>
      <vt:lpstr>Hoja19</vt:lpstr>
      <vt:lpstr>Hoja20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hugo</dc:creator>
  <cp:lastModifiedBy>Alejandro Cruz Valera</cp:lastModifiedBy>
  <cp:revision>0</cp:revision>
  <cp:lastPrinted>2016-01-27T04:41:14Z</cp:lastPrinted>
  <dcterms:created xsi:type="dcterms:W3CDTF">2012-01-16T02:39:05Z</dcterms:created>
  <dcterms:modified xsi:type="dcterms:W3CDTF">2018-04-18T20:35:27Z</dcterms:modified>
</cp:coreProperties>
</file>