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f0\AC\Temp\"/>
    </mc:Choice>
  </mc:AlternateContent>
  <xr:revisionPtr revIDLastSave="0" documentId="8_{B1A5C16B-6871-446B-8925-474A8CDB9BB0}" xr6:coauthVersionLast="47" xr6:coauthVersionMax="47" xr10:uidLastSave="{00000000-0000-0000-0000-000000000000}"/>
  <bookViews>
    <workbookView xWindow="-60" yWindow="-60" windowWidth="15480" windowHeight="11640" firstSheet="3" activeTab="2" xr2:uid="{00000000-000D-0000-FFFF-FFFF00000000}"/>
  </bookViews>
  <sheets>
    <sheet name="kevlar90" sheetId="1" r:id="rId1"/>
    <sheet name="MNV" sheetId="5" r:id="rId2"/>
    <sheet name="viseči histogram (2)" sheetId="8" r:id="rId3"/>
    <sheet name="viseči histogram" sheetId="6" r:id="rId4"/>
    <sheet name="viseči histogram log" sheetId="7" r:id="rId5"/>
    <sheet name="Q-Q 2. nacin" sheetId="3" r:id="rId6"/>
    <sheet name="Q-Q 1. nacin" sheetId="2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7" l="1"/>
  <c r="R10" i="8"/>
  <c r="R11" i="8"/>
  <c r="R12" i="8"/>
  <c r="R13" i="8"/>
  <c r="R14" i="8"/>
  <c r="R15" i="8"/>
  <c r="R16" i="8"/>
  <c r="R17" i="8"/>
  <c r="R18" i="8"/>
  <c r="R19" i="8"/>
  <c r="R20" i="8"/>
  <c r="R21" i="8"/>
  <c r="R9" i="8"/>
  <c r="O10" i="8"/>
  <c r="O11" i="8"/>
  <c r="O12" i="8"/>
  <c r="O13" i="8"/>
  <c r="O14" i="8"/>
  <c r="O15" i="8"/>
  <c r="O16" i="8"/>
  <c r="O17" i="8"/>
  <c r="O18" i="8"/>
  <c r="O19" i="8"/>
  <c r="O20" i="8"/>
  <c r="O21" i="8"/>
  <c r="O9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16" i="8"/>
  <c r="K16" i="8" s="1"/>
  <c r="J17" i="8"/>
  <c r="K17" i="8" s="1"/>
  <c r="J18" i="8"/>
  <c r="K18" i="8" s="1"/>
  <c r="J19" i="8"/>
  <c r="K19" i="8" s="1"/>
  <c r="J20" i="8"/>
  <c r="K20" i="8" s="1"/>
  <c r="J21" i="8"/>
  <c r="K21" i="8" s="1"/>
  <c r="J9" i="8"/>
  <c r="K9" i="8" s="1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D4" i="8"/>
  <c r="D5" i="8" s="1"/>
  <c r="G2" i="8"/>
  <c r="G3" i="6" a="1"/>
  <c r="G3" i="6"/>
  <c r="G2" i="6"/>
  <c r="H9" i="7"/>
  <c r="G10" i="7"/>
  <c r="G11" i="7"/>
  <c r="G12" i="7"/>
  <c r="G13" i="7"/>
  <c r="G14" i="7"/>
  <c r="G15" i="7"/>
  <c r="G16" i="7"/>
  <c r="F16" i="7"/>
  <c r="F15" i="7"/>
  <c r="F14" i="7"/>
  <c r="F13" i="7"/>
  <c r="F12" i="7"/>
  <c r="F11" i="7"/>
  <c r="F10" i="7"/>
  <c r="F9" i="7"/>
  <c r="E16" i="7"/>
  <c r="D16" i="7"/>
  <c r="D15" i="7"/>
  <c r="D14" i="7"/>
  <c r="D13" i="7"/>
  <c r="D12" i="7"/>
  <c r="D11" i="7"/>
  <c r="D10" i="7"/>
  <c r="E15" i="7"/>
  <c r="E14" i="7"/>
  <c r="E13" i="7"/>
  <c r="E12" i="7"/>
  <c r="E11" i="7"/>
  <c r="E10" i="7"/>
  <c r="E9" i="7"/>
  <c r="E3" i="7"/>
  <c r="E2" i="7"/>
  <c r="E4" i="7"/>
  <c r="E5" i="7" s="1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H16" i="7"/>
  <c r="H15" i="7"/>
  <c r="H14" i="7"/>
  <c r="H13" i="7"/>
  <c r="H12" i="7"/>
  <c r="H11" i="7"/>
  <c r="H10" i="7"/>
  <c r="D5" i="6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2" i="7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2" i="2"/>
  <c r="D4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C21" i="6"/>
  <c r="C20" i="6"/>
  <c r="C19" i="6"/>
  <c r="C18" i="6"/>
  <c r="C17" i="6"/>
  <c r="C16" i="6"/>
  <c r="C15" i="6"/>
  <c r="C14" i="6"/>
  <c r="C13" i="6"/>
  <c r="C12" i="6"/>
  <c r="C11" i="6"/>
  <c r="C10" i="6"/>
  <c r="D3" i="5"/>
  <c r="D2" i="5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2" i="3"/>
  <c r="C2" i="3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3" i="2"/>
  <c r="C4" i="2"/>
  <c r="C5" i="2"/>
  <c r="C6" i="2"/>
  <c r="C7" i="2"/>
  <c r="C8" i="2"/>
  <c r="C9" i="2"/>
  <c r="C10" i="2"/>
  <c r="C11" i="2"/>
  <c r="C12" i="2"/>
  <c r="C13" i="2"/>
  <c r="C14" i="2"/>
  <c r="C2" i="2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9" i="8" l="1"/>
  <c r="L9" i="8"/>
  <c r="M10" i="8"/>
  <c r="L10" i="8"/>
  <c r="M11" i="8"/>
  <c r="L11" i="8"/>
  <c r="M12" i="8"/>
  <c r="L12" i="8"/>
  <c r="M13" i="8"/>
  <c r="L13" i="8"/>
  <c r="M14" i="8"/>
  <c r="L14" i="8"/>
  <c r="M15" i="8"/>
  <c r="L15" i="8"/>
  <c r="M16" i="8"/>
  <c r="L16" i="8"/>
  <c r="M17" i="8"/>
  <c r="L17" i="8"/>
  <c r="M18" i="8"/>
  <c r="L18" i="8"/>
  <c r="M19" i="8"/>
  <c r="L19" i="8"/>
  <c r="M20" i="8"/>
  <c r="L20" i="8"/>
  <c r="M21" i="8"/>
  <c r="L21" i="8"/>
  <c r="G3" i="8" a="1"/>
  <c r="G3" i="8" s="1"/>
  <c r="F9" i="8"/>
  <c r="D21" i="8"/>
  <c r="G21" i="8" s="1"/>
  <c r="C21" i="8"/>
  <c r="F21" i="8" s="1"/>
  <c r="D20" i="8"/>
  <c r="G20" i="8" s="1"/>
  <c r="C20" i="8"/>
  <c r="F20" i="8" s="1"/>
  <c r="D19" i="8"/>
  <c r="G19" i="8" s="1"/>
  <c r="C19" i="8"/>
  <c r="F19" i="8" s="1"/>
  <c r="D18" i="8"/>
  <c r="G18" i="8" s="1"/>
  <c r="C18" i="8"/>
  <c r="F18" i="8" s="1"/>
  <c r="D17" i="8"/>
  <c r="G17" i="8" s="1"/>
  <c r="C17" i="8"/>
  <c r="F17" i="8" s="1"/>
  <c r="D16" i="8"/>
  <c r="G16" i="8" s="1"/>
  <c r="C16" i="8"/>
  <c r="F16" i="8" s="1"/>
  <c r="D15" i="8"/>
  <c r="G15" i="8" s="1"/>
  <c r="C15" i="8"/>
  <c r="F15" i="8" s="1"/>
  <c r="D14" i="8"/>
  <c r="G14" i="8" s="1"/>
  <c r="C14" i="8"/>
  <c r="F14" i="8" s="1"/>
  <c r="D13" i="8"/>
  <c r="G13" i="8" s="1"/>
  <c r="C13" i="8"/>
  <c r="F13" i="8" s="1"/>
  <c r="D12" i="8"/>
  <c r="G12" i="8" s="1"/>
  <c r="C12" i="8"/>
  <c r="F12" i="8" s="1"/>
  <c r="D11" i="8"/>
  <c r="G11" i="8" s="1"/>
  <c r="C11" i="8"/>
  <c r="F11" i="8" s="1"/>
  <c r="D10" i="8"/>
  <c r="G10" i="8" s="1"/>
  <c r="C10" i="8"/>
  <c r="F10" i="8" s="1"/>
  <c r="D9" i="8"/>
  <c r="G9" i="8" s="1"/>
  <c r="J9" i="7"/>
  <c r="I9" i="7"/>
  <c r="J10" i="7"/>
  <c r="I10" i="7"/>
  <c r="J11" i="7"/>
  <c r="I11" i="7"/>
  <c r="J12" i="7"/>
  <c r="I12" i="7"/>
  <c r="J13" i="7"/>
  <c r="I13" i="7"/>
  <c r="J14" i="7"/>
  <c r="I14" i="7"/>
  <c r="J15" i="7"/>
  <c r="I15" i="7"/>
  <c r="J16" i="7"/>
  <c r="I16" i="7"/>
  <c r="F10" i="6"/>
  <c r="G10" i="6" s="1"/>
  <c r="O10" i="6"/>
  <c r="L10" i="6"/>
  <c r="F11" i="6"/>
  <c r="G11" i="6" s="1"/>
  <c r="O11" i="6"/>
  <c r="L11" i="6"/>
  <c r="F12" i="6"/>
  <c r="G12" i="6" s="1"/>
  <c r="O12" i="6"/>
  <c r="L12" i="6"/>
  <c r="F13" i="6"/>
  <c r="G13" i="6" s="1"/>
  <c r="O13" i="6"/>
  <c r="L13" i="6"/>
  <c r="F14" i="6"/>
  <c r="G14" i="6" s="1"/>
  <c r="O14" i="6"/>
  <c r="L14" i="6"/>
  <c r="F15" i="6"/>
  <c r="G15" i="6" s="1"/>
  <c r="O15" i="6"/>
  <c r="L15" i="6"/>
  <c r="F16" i="6"/>
  <c r="G16" i="6" s="1"/>
  <c r="O16" i="6"/>
  <c r="L16" i="6"/>
  <c r="F17" i="6"/>
  <c r="G17" i="6" s="1"/>
  <c r="O17" i="6"/>
  <c r="L17" i="6"/>
  <c r="F18" i="6"/>
  <c r="G18" i="6" s="1"/>
  <c r="O18" i="6"/>
  <c r="L18" i="6"/>
  <c r="F19" i="6"/>
  <c r="G19" i="6" s="1"/>
  <c r="O19" i="6"/>
  <c r="L19" i="6"/>
  <c r="F20" i="6"/>
  <c r="G20" i="6" s="1"/>
  <c r="P20" i="6" s="1"/>
  <c r="O20" i="6"/>
  <c r="L20" i="6"/>
  <c r="F21" i="6"/>
  <c r="G21" i="6" s="1"/>
  <c r="O21" i="6"/>
  <c r="L21" i="6"/>
  <c r="F9" i="6"/>
  <c r="G9" i="6" s="1"/>
  <c r="O9" i="6"/>
  <c r="L9" i="6"/>
  <c r="P21" i="6"/>
  <c r="M21" i="6"/>
  <c r="I21" i="6"/>
  <c r="H21" i="6"/>
  <c r="M20" i="6"/>
  <c r="I20" i="6"/>
  <c r="H20" i="6"/>
  <c r="P19" i="6"/>
  <c r="M19" i="6"/>
  <c r="I19" i="6"/>
  <c r="H19" i="6"/>
  <c r="P18" i="6"/>
  <c r="M18" i="6"/>
  <c r="I18" i="6"/>
  <c r="H18" i="6"/>
  <c r="P17" i="6"/>
  <c r="M17" i="6"/>
  <c r="I17" i="6"/>
  <c r="H17" i="6"/>
  <c r="P16" i="6"/>
  <c r="M16" i="6"/>
  <c r="I16" i="6"/>
  <c r="H16" i="6"/>
  <c r="P15" i="6"/>
  <c r="M15" i="6"/>
  <c r="I15" i="6"/>
  <c r="H15" i="6"/>
  <c r="P14" i="6"/>
  <c r="M14" i="6"/>
  <c r="I14" i="6"/>
  <c r="H14" i="6"/>
  <c r="P13" i="6"/>
  <c r="M13" i="6"/>
  <c r="I13" i="6"/>
  <c r="H13" i="6"/>
  <c r="P12" i="6"/>
  <c r="M12" i="6"/>
  <c r="I12" i="6"/>
  <c r="H12" i="6"/>
  <c r="P11" i="6"/>
  <c r="M11" i="6"/>
  <c r="I11" i="6"/>
  <c r="H11" i="6"/>
  <c r="P10" i="6"/>
  <c r="M10" i="6"/>
  <c r="I10" i="6"/>
  <c r="H10" i="6"/>
  <c r="P9" i="6"/>
  <c r="M9" i="6"/>
  <c r="I9" i="6"/>
  <c r="H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<sst xmlns="http://schemas.openxmlformats.org/spreadsheetml/2006/main" count="87" uniqueCount="42">
  <si>
    <t>TRAJANJE</t>
  </si>
  <si>
    <t>Ustvarimo tabelo, v kateri preštejemo kolikokrat je bilo zabeleženo trajanje na določenem intervalu</t>
  </si>
  <si>
    <t>SREDINA INTERVALA</t>
  </si>
  <si>
    <t>ŠTEVEC</t>
  </si>
  <si>
    <t>dodaj!!</t>
  </si>
  <si>
    <t>HISTOGRAM: število pojavitev trajanja</t>
  </si>
  <si>
    <t>Vsota</t>
  </si>
  <si>
    <t>Lambda</t>
  </si>
  <si>
    <t>Porazdelitev</t>
  </si>
  <si>
    <t>Exp(lambda)</t>
  </si>
  <si>
    <t xml:space="preserve">Prvi kvartil </t>
  </si>
  <si>
    <t>ocena pričakovane vrednosti</t>
  </si>
  <si>
    <t>Tretji kvartil</t>
  </si>
  <si>
    <t>ocena standardnega odklona</t>
  </si>
  <si>
    <t>IQR</t>
  </si>
  <si>
    <t>dolžina intervala</t>
  </si>
  <si>
    <t>lambda</t>
  </si>
  <si>
    <t>VISEČI HISTOGRAM</t>
  </si>
  <si>
    <t>VISEČI ROOTOGRAM</t>
  </si>
  <si>
    <t>LEVI ROB INT.</t>
  </si>
  <si>
    <t>DESNI ROB INT.</t>
  </si>
  <si>
    <t>(LEVI ROB - AVG) / O</t>
  </si>
  <si>
    <t>(DESNI ROB - AVG ) / O</t>
  </si>
  <si>
    <t>PHI levi</t>
  </si>
  <si>
    <t>PHI desni</t>
  </si>
  <si>
    <t>VERJETNOST</t>
  </si>
  <si>
    <t>PRIČAKOVAN ŠTEVEC</t>
  </si>
  <si>
    <t>ŠT. - PRIČ. ŠT.</t>
  </si>
  <si>
    <t>SQRT(ŠT.) - SQRT(PRIČ. ŠT.)</t>
  </si>
  <si>
    <t>n_j - ~nj</t>
  </si>
  <si>
    <t>mediana</t>
  </si>
  <si>
    <t>LOG10</t>
  </si>
  <si>
    <t>k</t>
  </si>
  <si>
    <t>k/(n+1)</t>
  </si>
  <si>
    <t>F^(-1) (k/(n+1))</t>
  </si>
  <si>
    <t xml:space="preserve">Inverz kumulativne: </t>
  </si>
  <si>
    <t>F^(-1) (x) = - ln(1-x)</t>
  </si>
  <si>
    <t>F(x_k)</t>
  </si>
  <si>
    <t>Q-Q grafikon, ki empirično porazdelitev primerja z eksponentno</t>
  </si>
  <si>
    <t xml:space="preserve">Kumulativna funkcija: </t>
  </si>
  <si>
    <t>F(x) = 1 - exp(-x)</t>
  </si>
  <si>
    <t>vzemimo lambda=1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</si>
</sst>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color indexed="9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4" fontId="0" fillId="0" borderId="0" xfId="0" applyNumberFormat="1"/>
    <xf numFmtId="4" fontId="2" fillId="0" borderId="0" xfId="0" applyNumberFormat="1" applyFont="1"/>
    <xf numFmtId="4" fontId="3" fillId="0" borderId="0" xfId="0" applyNumberFormat="1" applyFont="1"/>
    <xf numFmtId="0" fontId="1" fillId="2" borderId="0" xfId="0" applyFont="1" applyFill="1" applyAlignment="1">
      <alignment horizontal="right" wrapText="1"/>
    </xf>
    <xf numFmtId="0" fontId="4" fillId="0" borderId="0" xfId="0" applyFont="1"/>
    <xf numFmtId="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 (2)'!$P$8</c:f>
              <c:strCache>
                <c:ptCount val="1"/>
                <c:pt idx="0">
                  <c:v>n_j - ~nj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 (2)'!$O$9:$O$21</c:f>
              <c:numCache>
                <c:formatCode>General</c:formatCode>
                <c:ptCount val="13"/>
                <c:pt idx="0">
                  <c:v>0.34060000000000001</c:v>
                </c:pt>
                <c:pt idx="1">
                  <c:v>1.0217000000000001</c:v>
                </c:pt>
                <c:pt idx="2">
                  <c:v>1.7028000000000001</c:v>
                </c:pt>
                <c:pt idx="3">
                  <c:v>2.3839000000000001</c:v>
                </c:pt>
                <c:pt idx="4">
                  <c:v>3.0651000000000002</c:v>
                </c:pt>
                <c:pt idx="5">
                  <c:v>3.7462</c:v>
                </c:pt>
                <c:pt idx="6">
                  <c:v>4.4272999999999998</c:v>
                </c:pt>
                <c:pt idx="7">
                  <c:v>5.1083999999999996</c:v>
                </c:pt>
                <c:pt idx="8">
                  <c:v>5.7896000000000001</c:v>
                </c:pt>
                <c:pt idx="9">
                  <c:v>6.4706999999999999</c:v>
                </c:pt>
                <c:pt idx="10">
                  <c:v>7.1517999999999997</c:v>
                </c:pt>
                <c:pt idx="11">
                  <c:v>7.8329000000000004</c:v>
                </c:pt>
                <c:pt idx="12">
                  <c:v>8.5139999999999993</c:v>
                </c:pt>
              </c:numCache>
            </c:numRef>
          </c:cat>
          <c:val>
            <c:numRef>
              <c:f>'viseči histogram (2)'!$P$9:$P$21</c:f>
              <c:numCache>
                <c:formatCode>General</c:formatCode>
                <c:ptCount val="13"/>
                <c:pt idx="0">
                  <c:v>21.477000000000004</c:v>
                </c:pt>
                <c:pt idx="1">
                  <c:v>14.021700000000001</c:v>
                </c:pt>
                <c:pt idx="2">
                  <c:v>10.990599999999997</c:v>
                </c:pt>
                <c:pt idx="3">
                  <c:v>1.8083000000000058</c:v>
                </c:pt>
                <c:pt idx="4">
                  <c:v>2.5050999999999983</c:v>
                </c:pt>
                <c:pt idx="5">
                  <c:v>-7.0700000000003427E-2</c:v>
                </c:pt>
                <c:pt idx="6">
                  <c:v>1.9899000000000011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7-4013-A479-2CE91FFC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2106409800"/>
        <c:axId val="2106410280"/>
      </c:barChart>
      <c:catAx>
        <c:axId val="210640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10280"/>
        <c:crosses val="autoZero"/>
        <c:auto val="1"/>
        <c:lblAlgn val="ctr"/>
        <c:lblOffset val="100"/>
        <c:noMultiLvlLbl val="0"/>
      </c:catAx>
      <c:valAx>
        <c:axId val="210641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0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 (2)'!$S$8</c:f>
              <c:strCache>
                <c:ptCount val="1"/>
                <c:pt idx="0">
                  <c:v>SQRT(ŠT.) - SQRT(PRIČ. ŠT.)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 (2)'!$R$9:$R$21</c:f>
              <c:numCache>
                <c:formatCode>General</c:formatCode>
                <c:ptCount val="13"/>
                <c:pt idx="0">
                  <c:v>0.34060000000000001</c:v>
                </c:pt>
                <c:pt idx="1">
                  <c:v>1.0217000000000001</c:v>
                </c:pt>
                <c:pt idx="2">
                  <c:v>1.7028000000000001</c:v>
                </c:pt>
                <c:pt idx="3">
                  <c:v>2.3839000000000001</c:v>
                </c:pt>
                <c:pt idx="4">
                  <c:v>3.0651000000000002</c:v>
                </c:pt>
                <c:pt idx="5">
                  <c:v>3.7462</c:v>
                </c:pt>
                <c:pt idx="6">
                  <c:v>4.4272999999999998</c:v>
                </c:pt>
                <c:pt idx="7">
                  <c:v>5.1083999999999996</c:v>
                </c:pt>
                <c:pt idx="8">
                  <c:v>5.7896000000000001</c:v>
                </c:pt>
                <c:pt idx="9">
                  <c:v>6.4706999999999999</c:v>
                </c:pt>
                <c:pt idx="10">
                  <c:v>7.1517999999999997</c:v>
                </c:pt>
                <c:pt idx="11">
                  <c:v>7.8329000000000004</c:v>
                </c:pt>
                <c:pt idx="12">
                  <c:v>8.5139999999999993</c:v>
                </c:pt>
              </c:numCache>
            </c:numRef>
          </c:cat>
          <c:val>
            <c:numRef>
              <c:f>'viseči histogram (2)'!$S$9:$S$21</c:f>
              <c:numCache>
                <c:formatCode>General</c:formatCode>
                <c:ptCount val="13"/>
                <c:pt idx="0">
                  <c:v>1.8874092968411462</c:v>
                </c:pt>
                <c:pt idx="1">
                  <c:v>1.5149839328083439</c:v>
                </c:pt>
                <c:pt idx="2">
                  <c:v>1.595113539005407</c:v>
                </c:pt>
                <c:pt idx="3">
                  <c:v>0.51956087595605793</c:v>
                </c:pt>
                <c:pt idx="4">
                  <c:v>1.0285595140904138</c:v>
                </c:pt>
                <c:pt idx="5">
                  <c:v>-0.26589471600617304</c:v>
                </c:pt>
                <c:pt idx="6">
                  <c:v>1.3137148061618917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C-4FAD-8977-E2883B6A5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911914631"/>
        <c:axId val="1911940551"/>
      </c:barChart>
      <c:catAx>
        <c:axId val="1911914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40551"/>
        <c:crosses val="autoZero"/>
        <c:auto val="1"/>
        <c:lblAlgn val="ctr"/>
        <c:lblOffset val="100"/>
        <c:noMultiLvlLbl val="0"/>
      </c:catAx>
      <c:valAx>
        <c:axId val="1911940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histogram'!$M$8</c:f>
              <c:strCache>
                <c:ptCount val="1"/>
                <c:pt idx="0">
                  <c:v>n_j - ~nj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histogram'!$L$9:$L$21</c:f>
              <c:numCache>
                <c:formatCode>General</c:formatCode>
                <c:ptCount val="13"/>
                <c:pt idx="0">
                  <c:v>0.34056189864811559</c:v>
                </c:pt>
                <c:pt idx="1">
                  <c:v>1.0216856959443468</c:v>
                </c:pt>
                <c:pt idx="2">
                  <c:v>1.702809493240578</c:v>
                </c:pt>
                <c:pt idx="3">
                  <c:v>2.3839332905368091</c:v>
                </c:pt>
                <c:pt idx="4">
                  <c:v>3.0650570878330403</c:v>
                </c:pt>
                <c:pt idx="5">
                  <c:v>3.7461808851292715</c:v>
                </c:pt>
                <c:pt idx="6">
                  <c:v>4.4273046824255022</c:v>
                </c:pt>
                <c:pt idx="7">
                  <c:v>5.1084284797217343</c:v>
                </c:pt>
                <c:pt idx="8">
                  <c:v>5.7895522770179646</c:v>
                </c:pt>
                <c:pt idx="9">
                  <c:v>6.4706760743141967</c:v>
                </c:pt>
                <c:pt idx="10">
                  <c:v>7.151799871610427</c:v>
                </c:pt>
                <c:pt idx="11">
                  <c:v>7.832923668906659</c:v>
                </c:pt>
                <c:pt idx="12">
                  <c:v>8.5140474662028893</c:v>
                </c:pt>
              </c:numCache>
            </c:numRef>
          </c:cat>
          <c:val>
            <c:numRef>
              <c:f>'viseči histogram'!$M$9:$M$21</c:f>
              <c:numCache>
                <c:formatCode>General</c:formatCode>
                <c:ptCount val="13"/>
                <c:pt idx="0">
                  <c:v>-3.9277600078455635</c:v>
                </c:pt>
                <c:pt idx="1">
                  <c:v>4.3581881158467937</c:v>
                </c:pt>
                <c:pt idx="2">
                  <c:v>5.3305388602639709</c:v>
                </c:pt>
                <c:pt idx="3">
                  <c:v>-2.513938436260303</c:v>
                </c:pt>
                <c:pt idx="4">
                  <c:v>-0.34910802309571221</c:v>
                </c:pt>
                <c:pt idx="5">
                  <c:v>-1.7219267053441125</c:v>
                </c:pt>
                <c:pt idx="6">
                  <c:v>1.1146802198883599</c:v>
                </c:pt>
                <c:pt idx="7">
                  <c:v>-0.45518262224772815</c:v>
                </c:pt>
                <c:pt idx="8">
                  <c:v>-0.23402980962448436</c:v>
                </c:pt>
                <c:pt idx="9">
                  <c:v>-0.12032522577952133</c:v>
                </c:pt>
                <c:pt idx="10">
                  <c:v>-6.1864597429378457E-2</c:v>
                </c:pt>
                <c:pt idx="11">
                  <c:v>0.96819263466738148</c:v>
                </c:pt>
                <c:pt idx="12">
                  <c:v>-1.6353593677831374E-2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C7-4FB4-9BFA-FFF088910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2106409800"/>
        <c:axId val="2106410280"/>
      </c:barChart>
      <c:catAx>
        <c:axId val="210640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10280"/>
        <c:crosses val="autoZero"/>
        <c:auto val="1"/>
        <c:lblAlgn val="ctr"/>
        <c:lblOffset val="100"/>
        <c:noMultiLvlLbl val="0"/>
      </c:catAx>
      <c:valAx>
        <c:axId val="210641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0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histogram'!$P$8</c:f>
              <c:strCache>
                <c:ptCount val="1"/>
                <c:pt idx="0">
                  <c:v>SQRT(ŠT.) - SQRT(PRIČ. ŠT.)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histogram'!$O$9:$O$21</c:f>
              <c:numCache>
                <c:formatCode>General</c:formatCode>
                <c:ptCount val="13"/>
                <c:pt idx="0">
                  <c:v>0.34056189864811559</c:v>
                </c:pt>
                <c:pt idx="1">
                  <c:v>1.0216856959443468</c:v>
                </c:pt>
                <c:pt idx="2">
                  <c:v>1.702809493240578</c:v>
                </c:pt>
                <c:pt idx="3">
                  <c:v>2.3839332905368091</c:v>
                </c:pt>
                <c:pt idx="4">
                  <c:v>3.0650570878330403</c:v>
                </c:pt>
                <c:pt idx="5">
                  <c:v>3.7461808851292715</c:v>
                </c:pt>
                <c:pt idx="6">
                  <c:v>4.4273046824255022</c:v>
                </c:pt>
                <c:pt idx="7">
                  <c:v>5.1084284797217343</c:v>
                </c:pt>
                <c:pt idx="8">
                  <c:v>5.7895522770179646</c:v>
                </c:pt>
                <c:pt idx="9">
                  <c:v>6.4706760743141967</c:v>
                </c:pt>
                <c:pt idx="10">
                  <c:v>7.151799871610427</c:v>
                </c:pt>
                <c:pt idx="11">
                  <c:v>7.832923668906659</c:v>
                </c:pt>
                <c:pt idx="12">
                  <c:v>8.5140474662028893</c:v>
                </c:pt>
              </c:numCache>
            </c:numRef>
          </c:cat>
          <c:val>
            <c:numRef>
              <c:f>'viseči histogram'!$P$9:$P$21</c:f>
              <c:numCache>
                <c:formatCode>General</c:formatCode>
                <c:ptCount val="13"/>
                <c:pt idx="0">
                  <c:v>-0.289738214153898</c:v>
                </c:pt>
                <c:pt idx="1">
                  <c:v>0.42111284486082035</c:v>
                </c:pt>
                <c:pt idx="2">
                  <c:v>0.68322203518523228</c:v>
                </c:pt>
                <c:pt idx="3">
                  <c:v>-0.55224184517461117</c:v>
                </c:pt>
                <c:pt idx="4">
                  <c:v>-9.8006028459914685E-2</c:v>
                </c:pt>
                <c:pt idx="5">
                  <c:v>-1.312222048795139</c:v>
                </c:pt>
                <c:pt idx="6">
                  <c:v>0.4732992304003909</c:v>
                </c:pt>
                <c:pt idx="7">
                  <c:v>-0.67467223319751957</c:v>
                </c:pt>
                <c:pt idx="8">
                  <c:v>-0.48376627582385728</c:v>
                </c:pt>
                <c:pt idx="9">
                  <c:v>-0.34687926686315707</c:v>
                </c:pt>
                <c:pt idx="10">
                  <c:v>-0.24872594844402235</c:v>
                </c:pt>
                <c:pt idx="11">
                  <c:v>0.82165380482718853</c:v>
                </c:pt>
                <c:pt idx="12">
                  <c:v>-0.12788117014569178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7B-4564-B772-21CEECA0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911914631"/>
        <c:axId val="1911940551"/>
      </c:barChart>
      <c:catAx>
        <c:axId val="1911914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40551"/>
        <c:crosses val="autoZero"/>
        <c:auto val="1"/>
        <c:lblAlgn val="ctr"/>
        <c:lblOffset val="100"/>
        <c:noMultiLvlLbl val="0"/>
      </c:catAx>
      <c:valAx>
        <c:axId val="1911940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'Q-Q 2. nacin'!$D$1</c:f>
              <c:strCache>
                <c:ptCount val="1"/>
                <c:pt idx="0">
                  <c:v>TRAJANJE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'Q-Q 2. nacin'!$C$2:$C$101</c:f>
              <c:numCache>
                <c:formatCode>General</c:formatCode>
                <c:ptCount val="100"/>
                <c:pt idx="0">
                  <c:v>9.950330853168092E-3</c:v>
                </c:pt>
                <c:pt idx="1">
                  <c:v>2.0000666706669543E-2</c:v>
                </c:pt>
                <c:pt idx="2">
                  <c:v>3.0153038170687558E-2</c:v>
                </c:pt>
                <c:pt idx="3">
                  <c:v>4.0409538337876666E-2</c:v>
                </c:pt>
                <c:pt idx="4">
                  <c:v>5.0772325373423258E-2</c:v>
                </c:pt>
                <c:pt idx="5">
                  <c:v>6.124362524071867E-2</c:v>
                </c:pt>
                <c:pt idx="6">
                  <c:v>7.1825734571255614E-2</c:v>
                </c:pt>
                <c:pt idx="7">
                  <c:v>8.2521023688003473E-2</c:v>
                </c:pt>
                <c:pt idx="8">
                  <c:v>9.3331939792219112E-2</c:v>
                </c:pt>
                <c:pt idx="9">
                  <c:v>0.10426101032440939</c:v>
                </c:pt>
                <c:pt idx="10">
                  <c:v>0.11531084651099437</c:v>
                </c:pt>
                <c:pt idx="11">
                  <c:v>0.12648414710911959</c:v>
                </c:pt>
                <c:pt idx="12">
                  <c:v>0.13778370236305298</c:v>
                </c:pt>
                <c:pt idx="13">
                  <c:v>0.14921239818667575</c:v>
                </c:pt>
                <c:pt idx="14">
                  <c:v>0.16077322058775173</c:v>
                </c:pt>
                <c:pt idx="15">
                  <c:v>0.17246926035094304</c:v>
                </c:pt>
                <c:pt idx="16">
                  <c:v>0.18430371799794587</c:v>
                </c:pt>
                <c:pt idx="17">
                  <c:v>0.19627990904466144</c:v>
                </c:pt>
                <c:pt idx="18">
                  <c:v>0.20840126957700628</c:v>
                </c:pt>
                <c:pt idx="19">
                  <c:v>0.22067136216882063</c:v>
                </c:pt>
                <c:pt idx="20">
                  <c:v>0.23309388216737778</c:v>
                </c:pt>
                <c:pt idx="21">
                  <c:v>0.24567266437423793</c:v>
                </c:pt>
                <c:pt idx="22">
                  <c:v>0.25841169015166771</c:v>
                </c:pt>
                <c:pt idx="23">
                  <c:v>0.27131509498757561</c:v>
                </c:pt>
                <c:pt idx="24">
                  <c:v>0.28438717655492834</c:v>
                </c:pt>
                <c:pt idx="25">
                  <c:v>0.297632403304949</c:v>
                </c:pt>
                <c:pt idx="26">
                  <c:v>0.31105542363708971</c:v>
                </c:pt>
                <c:pt idx="27">
                  <c:v>0.32466107569286834</c:v>
                </c:pt>
                <c:pt idx="28">
                  <c:v>0.3384543978252042</c:v>
                </c:pt>
                <c:pt idx="29">
                  <c:v>0.35244063979994411</c:v>
                </c:pt>
                <c:pt idx="30">
                  <c:v>0.36662527479190055</c:v>
                </c:pt>
                <c:pt idx="31">
                  <c:v>0.38101401224400017</c:v>
                </c:pt>
                <c:pt idx="32">
                  <c:v>0.39561281166515283</c:v>
                </c:pt>
                <c:pt idx="33">
                  <c:v>0.41042789745029351</c:v>
                </c:pt>
                <c:pt idx="34">
                  <c:v>0.42546577481483389</c:v>
                </c:pt>
                <c:pt idx="35">
                  <c:v>0.44073324694562233</c:v>
                </c:pt>
                <c:pt idx="36">
                  <c:v>0.45623743348158757</c:v>
                </c:pt>
                <c:pt idx="37">
                  <c:v>0.47198579044972677</c:v>
                </c:pt>
                <c:pt idx="38">
                  <c:v>0.4879861317961679</c:v>
                </c:pt>
                <c:pt idx="39">
                  <c:v>0.50424665266794821</c:v>
                </c:pt>
                <c:pt idx="40">
                  <c:v>0.52077595461915882</c:v>
                </c:pt>
                <c:pt idx="41">
                  <c:v>0.53758307293553986</c:v>
                </c:pt>
                <c:pt idx="42">
                  <c:v>0.55467750629484003</c:v>
                </c:pt>
                <c:pt idx="43">
                  <c:v>0.57206924900670919</c:v>
                </c:pt>
                <c:pt idx="44">
                  <c:v>0.58976882610611014</c:v>
                </c:pt>
                <c:pt idx="45">
                  <c:v>0.60778733160878851</c:v>
                </c:pt>
                <c:pt idx="46">
                  <c:v>0.62613647027698505</c:v>
                </c:pt>
                <c:pt idx="47">
                  <c:v>0.6448286032891376</c:v>
                </c:pt>
                <c:pt idx="48">
                  <c:v>0.66387679825983203</c:v>
                </c:pt>
                <c:pt idx="49">
                  <c:v>0.68329488411693362</c:v>
                </c:pt>
                <c:pt idx="50">
                  <c:v>0.70309751141311339</c:v>
                </c:pt>
                <c:pt idx="51">
                  <c:v>0.72330021873063288</c:v>
                </c:pt>
                <c:pt idx="52">
                  <c:v>0.74391950593336853</c:v>
                </c:pt>
                <c:pt idx="53">
                  <c:v>0.76497291513120091</c:v>
                </c:pt>
                <c:pt idx="54">
                  <c:v>0.7864791203521645</c:v>
                </c:pt>
                <c:pt idx="55">
                  <c:v>0.80845802707093983</c:v>
                </c:pt>
                <c:pt idx="56">
                  <c:v>0.83093088292299822</c:v>
                </c:pt>
                <c:pt idx="57">
                  <c:v>0.85392040114769696</c:v>
                </c:pt>
                <c:pt idx="58">
                  <c:v>0.87745089855789105</c:v>
                </c:pt>
                <c:pt idx="59">
                  <c:v>0.90154845013695162</c:v>
                </c:pt>
                <c:pt idx="60">
                  <c:v>0.92624106272732309</c:v>
                </c:pt>
                <c:pt idx="61">
                  <c:v>0.95155887071161305</c:v>
                </c:pt>
                <c:pt idx="62">
                  <c:v>0.97753435711487369</c:v>
                </c:pt>
                <c:pt idx="63">
                  <c:v>1.0042026041970351</c:v>
                </c:pt>
                <c:pt idx="64">
                  <c:v>1.0316015783851495</c:v>
                </c:pt>
                <c:pt idx="65">
                  <c:v>1.0597724553518459</c:v>
                </c:pt>
                <c:pt idx="66">
                  <c:v>1.0887599922250981</c:v>
                </c:pt>
                <c:pt idx="67">
                  <c:v>1.1186129553747794</c:v>
                </c:pt>
                <c:pt idx="68">
                  <c:v>1.1493846140415331</c:v>
                </c:pt>
                <c:pt idx="69">
                  <c:v>1.181133312356113</c:v>
                </c:pt>
                <c:pt idx="70">
                  <c:v>1.213923135179104</c:v>
                </c:pt>
                <c:pt idx="71">
                  <c:v>1.2478246868547853</c:v>
                </c:pt>
                <c:pt idx="72">
                  <c:v>1.2829160066660554</c:v>
                </c:pt>
                <c:pt idx="73">
                  <c:v>1.3192836508369303</c:v>
                </c:pt>
                <c:pt idx="74">
                  <c:v>1.3570239788197773</c:v>
                </c:pt>
                <c:pt idx="75">
                  <c:v>1.3962446919730587</c:v>
                </c:pt>
                <c:pt idx="76">
                  <c:v>1.4370666864933139</c:v>
                </c:pt>
                <c:pt idx="77">
                  <c:v>1.4796263009121098</c:v>
                </c:pt>
                <c:pt idx="78">
                  <c:v>1.5240780634829438</c:v>
                </c:pt>
                <c:pt idx="79">
                  <c:v>1.5705980791178367</c:v>
                </c:pt>
                <c:pt idx="80">
                  <c:v>1.6193882432872686</c:v>
                </c:pt>
                <c:pt idx="81">
                  <c:v>1.6706815376748192</c:v>
                </c:pt>
                <c:pt idx="82">
                  <c:v>1.7247487589450945</c:v>
                </c:pt>
                <c:pt idx="83">
                  <c:v>1.7819071727850431</c:v>
                </c:pt>
                <c:pt idx="84">
                  <c:v>1.8425317946014781</c:v>
                </c:pt>
                <c:pt idx="85">
                  <c:v>1.9070703157390492</c:v>
                </c:pt>
                <c:pt idx="86">
                  <c:v>1.9760631872260008</c:v>
                </c:pt>
                <c:pt idx="87">
                  <c:v>2.0501711593797225</c:v>
                </c:pt>
                <c:pt idx="88">
                  <c:v>2.1302138670532593</c:v>
                </c:pt>
                <c:pt idx="89">
                  <c:v>2.217225244042889</c:v>
                </c:pt>
                <c:pt idx="90">
                  <c:v>2.3125354238472142</c:v>
                </c:pt>
                <c:pt idx="91">
                  <c:v>2.4178959395050406</c:v>
                </c:pt>
                <c:pt idx="92">
                  <c:v>2.5356789751614239</c:v>
                </c:pt>
                <c:pt idx="93">
                  <c:v>2.6692103677859467</c:v>
                </c:pt>
                <c:pt idx="94">
                  <c:v>2.8233610476132034</c:v>
                </c:pt>
                <c:pt idx="95">
                  <c:v>3.0056826044071583</c:v>
                </c:pt>
                <c:pt idx="96">
                  <c:v>3.228826155721368</c:v>
                </c:pt>
                <c:pt idx="97">
                  <c:v>3.5165082281731488</c:v>
                </c:pt>
                <c:pt idx="98">
                  <c:v>3.9219733362813134</c:v>
                </c:pt>
                <c:pt idx="99">
                  <c:v>4.6151205168412588</c:v>
                </c:pt>
              </c:numCache>
            </c:numRef>
          </c:xVal>
          <c:yVal>
            <c:numRef>
              <c:f>'Q-Q 2. nacin'!$D$2:$D$101</c:f>
              <c:numCache>
                <c:formatCode>#,##0.00</c:formatCode>
                <c:ptCount val="100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0.04</c:v>
                </c:pt>
                <c:pt idx="8">
                  <c:v>0.05</c:v>
                </c:pt>
                <c:pt idx="9">
                  <c:v>0.06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0.09</c:v>
                </c:pt>
                <c:pt idx="15">
                  <c:v>0.1</c:v>
                </c:pt>
                <c:pt idx="16">
                  <c:v>0.1</c:v>
                </c:pt>
                <c:pt idx="17">
                  <c:v>0.11</c:v>
                </c:pt>
                <c:pt idx="18">
                  <c:v>0.11</c:v>
                </c:pt>
                <c:pt idx="19">
                  <c:v>0.12</c:v>
                </c:pt>
                <c:pt idx="20">
                  <c:v>0.13</c:v>
                </c:pt>
                <c:pt idx="21">
                  <c:v>0.18</c:v>
                </c:pt>
                <c:pt idx="22">
                  <c:v>0.19</c:v>
                </c:pt>
                <c:pt idx="23">
                  <c:v>0.2</c:v>
                </c:pt>
                <c:pt idx="24">
                  <c:v>0.23</c:v>
                </c:pt>
                <c:pt idx="25">
                  <c:v>0.24</c:v>
                </c:pt>
                <c:pt idx="26">
                  <c:v>0.24</c:v>
                </c:pt>
                <c:pt idx="27">
                  <c:v>0.28999999999999998</c:v>
                </c:pt>
                <c:pt idx="28">
                  <c:v>0.34</c:v>
                </c:pt>
                <c:pt idx="29">
                  <c:v>0.35</c:v>
                </c:pt>
                <c:pt idx="30">
                  <c:v>0.36</c:v>
                </c:pt>
                <c:pt idx="31">
                  <c:v>0.38</c:v>
                </c:pt>
                <c:pt idx="32">
                  <c:v>0.4</c:v>
                </c:pt>
                <c:pt idx="33">
                  <c:v>0.42</c:v>
                </c:pt>
                <c:pt idx="34">
                  <c:v>0.43</c:v>
                </c:pt>
                <c:pt idx="35">
                  <c:v>0.52</c:v>
                </c:pt>
                <c:pt idx="36">
                  <c:v>0.54</c:v>
                </c:pt>
                <c:pt idx="37">
                  <c:v>0.56000000000000005</c:v>
                </c:pt>
                <c:pt idx="38">
                  <c:v>0.6</c:v>
                </c:pt>
                <c:pt idx="39">
                  <c:v>0.6</c:v>
                </c:pt>
                <c:pt idx="40">
                  <c:v>0.63</c:v>
                </c:pt>
                <c:pt idx="41">
                  <c:v>0.65</c:v>
                </c:pt>
                <c:pt idx="42">
                  <c:v>0.67</c:v>
                </c:pt>
                <c:pt idx="43">
                  <c:v>0.68</c:v>
                </c:pt>
                <c:pt idx="44">
                  <c:v>0.72</c:v>
                </c:pt>
                <c:pt idx="45">
                  <c:v>0.72</c:v>
                </c:pt>
                <c:pt idx="46">
                  <c:v>0.72</c:v>
                </c:pt>
                <c:pt idx="47">
                  <c:v>0.73</c:v>
                </c:pt>
                <c:pt idx="48">
                  <c:v>0.79</c:v>
                </c:pt>
                <c:pt idx="49">
                  <c:v>0.79</c:v>
                </c:pt>
                <c:pt idx="50">
                  <c:v>0.8</c:v>
                </c:pt>
                <c:pt idx="51">
                  <c:v>0.8</c:v>
                </c:pt>
                <c:pt idx="52">
                  <c:v>0.83</c:v>
                </c:pt>
                <c:pt idx="53">
                  <c:v>0.85</c:v>
                </c:pt>
                <c:pt idx="54">
                  <c:v>0.9</c:v>
                </c:pt>
                <c:pt idx="55">
                  <c:v>0.92</c:v>
                </c:pt>
                <c:pt idx="56">
                  <c:v>0.95</c:v>
                </c:pt>
                <c:pt idx="57">
                  <c:v>0.99</c:v>
                </c:pt>
                <c:pt idx="58">
                  <c:v>1</c:v>
                </c:pt>
                <c:pt idx="59">
                  <c:v>1.01</c:v>
                </c:pt>
                <c:pt idx="60">
                  <c:v>1.02</c:v>
                </c:pt>
                <c:pt idx="61">
                  <c:v>1.03</c:v>
                </c:pt>
                <c:pt idx="62">
                  <c:v>1.05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1.1100000000000001</c:v>
                </c:pt>
                <c:pt idx="66">
                  <c:v>1.1499999999999999</c:v>
                </c:pt>
                <c:pt idx="67">
                  <c:v>1.18</c:v>
                </c:pt>
                <c:pt idx="68">
                  <c:v>1.2</c:v>
                </c:pt>
                <c:pt idx="69">
                  <c:v>1.29</c:v>
                </c:pt>
                <c:pt idx="70">
                  <c:v>1.31</c:v>
                </c:pt>
                <c:pt idx="71">
                  <c:v>1.33</c:v>
                </c:pt>
                <c:pt idx="72">
                  <c:v>1.34</c:v>
                </c:pt>
                <c:pt idx="73">
                  <c:v>1.4</c:v>
                </c:pt>
                <c:pt idx="74">
                  <c:v>1.43</c:v>
                </c:pt>
                <c:pt idx="75">
                  <c:v>1.45</c:v>
                </c:pt>
                <c:pt idx="76">
                  <c:v>1.5</c:v>
                </c:pt>
                <c:pt idx="77">
                  <c:v>1.51</c:v>
                </c:pt>
                <c:pt idx="78">
                  <c:v>1.52</c:v>
                </c:pt>
                <c:pt idx="79">
                  <c:v>1.53</c:v>
                </c:pt>
                <c:pt idx="80">
                  <c:v>1.54</c:v>
                </c:pt>
                <c:pt idx="81">
                  <c:v>1.54</c:v>
                </c:pt>
                <c:pt idx="82">
                  <c:v>1.55</c:v>
                </c:pt>
                <c:pt idx="83">
                  <c:v>1.58</c:v>
                </c:pt>
                <c:pt idx="84">
                  <c:v>1.6</c:v>
                </c:pt>
                <c:pt idx="85">
                  <c:v>1.63</c:v>
                </c:pt>
                <c:pt idx="86">
                  <c:v>1.64</c:v>
                </c:pt>
                <c:pt idx="87">
                  <c:v>1.8</c:v>
                </c:pt>
                <c:pt idx="88">
                  <c:v>1.8</c:v>
                </c:pt>
                <c:pt idx="89">
                  <c:v>1.81</c:v>
                </c:pt>
                <c:pt idx="90">
                  <c:v>2.02</c:v>
                </c:pt>
                <c:pt idx="91">
                  <c:v>2.0499999999999998</c:v>
                </c:pt>
                <c:pt idx="92">
                  <c:v>2.14</c:v>
                </c:pt>
                <c:pt idx="93">
                  <c:v>2.17</c:v>
                </c:pt>
                <c:pt idx="94">
                  <c:v>2.33</c:v>
                </c:pt>
                <c:pt idx="95">
                  <c:v>3.03</c:v>
                </c:pt>
                <c:pt idx="96">
                  <c:v>3.03</c:v>
                </c:pt>
                <c:pt idx="97">
                  <c:v>3.24</c:v>
                </c:pt>
                <c:pt idx="98">
                  <c:v>4.2</c:v>
                </c:pt>
                <c:pt idx="99">
                  <c:v>4.6900000000000004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5A-8846-A360-F75C8950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860224"/>
        <c:axId val="1391862016"/>
      </c:scatterChart>
      <c:valAx>
        <c:axId val="13918602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Kvantili eksponentne porazdelitve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862016"/>
        <c:crosses val="autoZero"/>
        <c:crossBetween val="midCat"/>
      </c:valAx>
      <c:valAx>
        <c:axId val="1391862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Empirične meritve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86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'Q-Q 1. nacin'!$D$1</c:f>
              <c:strCache>
                <c:ptCount val="1"/>
                <c:pt idx="0">
                  <c:v>F(x_k)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848484848484848E-2"/>
                  <c:y val="-2.98162729658792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'Q-Q 1. nacin'!$C$2:$C$102</c:f>
              <c:numCache>
                <c:formatCode>General</c:formatCode>
                <c:ptCount val="101"/>
                <c:pt idx="0">
                  <c:v>9.9009900990099011E-3</c:v>
                </c:pt>
                <c:pt idx="1">
                  <c:v>1.9801980198019802E-2</c:v>
                </c:pt>
                <c:pt idx="2">
                  <c:v>2.9702970297029702E-2</c:v>
                </c:pt>
                <c:pt idx="3">
                  <c:v>3.9603960396039604E-2</c:v>
                </c:pt>
                <c:pt idx="4">
                  <c:v>4.9504950495049507E-2</c:v>
                </c:pt>
                <c:pt idx="5">
                  <c:v>5.9405940594059403E-2</c:v>
                </c:pt>
                <c:pt idx="6">
                  <c:v>6.9306930693069313E-2</c:v>
                </c:pt>
                <c:pt idx="7">
                  <c:v>7.9207920792079209E-2</c:v>
                </c:pt>
                <c:pt idx="8">
                  <c:v>8.9108910891089105E-2</c:v>
                </c:pt>
                <c:pt idx="9">
                  <c:v>9.9009900990099015E-2</c:v>
                </c:pt>
                <c:pt idx="10">
                  <c:v>0.10891089108910891</c:v>
                </c:pt>
                <c:pt idx="11">
                  <c:v>0.11881188118811881</c:v>
                </c:pt>
                <c:pt idx="12">
                  <c:v>0.12871287128712872</c:v>
                </c:pt>
                <c:pt idx="13">
                  <c:v>0.13861386138613863</c:v>
                </c:pt>
                <c:pt idx="14">
                  <c:v>0.14851485148514851</c:v>
                </c:pt>
                <c:pt idx="15">
                  <c:v>0.15841584158415842</c:v>
                </c:pt>
                <c:pt idx="16">
                  <c:v>0.16831683168316833</c:v>
                </c:pt>
                <c:pt idx="17">
                  <c:v>0.17821782178217821</c:v>
                </c:pt>
                <c:pt idx="18">
                  <c:v>0.18811881188118812</c:v>
                </c:pt>
                <c:pt idx="19">
                  <c:v>0.19801980198019803</c:v>
                </c:pt>
                <c:pt idx="20">
                  <c:v>0.20792079207920791</c:v>
                </c:pt>
                <c:pt idx="21">
                  <c:v>0.21782178217821782</c:v>
                </c:pt>
                <c:pt idx="22">
                  <c:v>0.22772277227722773</c:v>
                </c:pt>
                <c:pt idx="23">
                  <c:v>0.23762376237623761</c:v>
                </c:pt>
                <c:pt idx="24">
                  <c:v>0.24752475247524752</c:v>
                </c:pt>
                <c:pt idx="25">
                  <c:v>0.25742574257425743</c:v>
                </c:pt>
                <c:pt idx="26">
                  <c:v>0.26732673267326734</c:v>
                </c:pt>
                <c:pt idx="27">
                  <c:v>0.27722772277227725</c:v>
                </c:pt>
                <c:pt idx="28">
                  <c:v>0.28712871287128711</c:v>
                </c:pt>
                <c:pt idx="29">
                  <c:v>0.29702970297029702</c:v>
                </c:pt>
                <c:pt idx="30">
                  <c:v>0.30693069306930693</c:v>
                </c:pt>
                <c:pt idx="31">
                  <c:v>0.31683168316831684</c:v>
                </c:pt>
                <c:pt idx="32">
                  <c:v>0.32673267326732675</c:v>
                </c:pt>
                <c:pt idx="33">
                  <c:v>0.33663366336633666</c:v>
                </c:pt>
                <c:pt idx="34">
                  <c:v>0.34653465346534651</c:v>
                </c:pt>
                <c:pt idx="35">
                  <c:v>0.35643564356435642</c:v>
                </c:pt>
                <c:pt idx="36">
                  <c:v>0.36633663366336633</c:v>
                </c:pt>
                <c:pt idx="37">
                  <c:v>0.37623762376237624</c:v>
                </c:pt>
                <c:pt idx="38">
                  <c:v>0.38613861386138615</c:v>
                </c:pt>
                <c:pt idx="39">
                  <c:v>0.39603960396039606</c:v>
                </c:pt>
                <c:pt idx="40">
                  <c:v>0.40594059405940597</c:v>
                </c:pt>
                <c:pt idx="41">
                  <c:v>0.41584158415841582</c:v>
                </c:pt>
                <c:pt idx="42">
                  <c:v>0.42574257425742573</c:v>
                </c:pt>
                <c:pt idx="43">
                  <c:v>0.43564356435643564</c:v>
                </c:pt>
                <c:pt idx="44">
                  <c:v>0.44554455445544555</c:v>
                </c:pt>
                <c:pt idx="45">
                  <c:v>0.45544554455445546</c:v>
                </c:pt>
                <c:pt idx="46">
                  <c:v>0.46534653465346537</c:v>
                </c:pt>
                <c:pt idx="47">
                  <c:v>0.47524752475247523</c:v>
                </c:pt>
                <c:pt idx="48">
                  <c:v>0.48514851485148514</c:v>
                </c:pt>
                <c:pt idx="49">
                  <c:v>0.49504950495049505</c:v>
                </c:pt>
                <c:pt idx="50">
                  <c:v>0.50495049504950495</c:v>
                </c:pt>
                <c:pt idx="51">
                  <c:v>0.51485148514851486</c:v>
                </c:pt>
                <c:pt idx="52">
                  <c:v>0.52475247524752477</c:v>
                </c:pt>
                <c:pt idx="53">
                  <c:v>0.53465346534653468</c:v>
                </c:pt>
                <c:pt idx="54">
                  <c:v>0.54455445544554459</c:v>
                </c:pt>
                <c:pt idx="55">
                  <c:v>0.5544554455445545</c:v>
                </c:pt>
                <c:pt idx="56">
                  <c:v>0.5643564356435643</c:v>
                </c:pt>
                <c:pt idx="57">
                  <c:v>0.57425742574257421</c:v>
                </c:pt>
                <c:pt idx="58">
                  <c:v>0.58415841584158412</c:v>
                </c:pt>
                <c:pt idx="59">
                  <c:v>0.59405940594059403</c:v>
                </c:pt>
                <c:pt idx="60">
                  <c:v>0.60396039603960394</c:v>
                </c:pt>
                <c:pt idx="61">
                  <c:v>0.61386138613861385</c:v>
                </c:pt>
                <c:pt idx="62">
                  <c:v>0.62376237623762376</c:v>
                </c:pt>
                <c:pt idx="63">
                  <c:v>0.63366336633663367</c:v>
                </c:pt>
                <c:pt idx="64">
                  <c:v>0.64356435643564358</c:v>
                </c:pt>
                <c:pt idx="65">
                  <c:v>0.65346534653465349</c:v>
                </c:pt>
                <c:pt idx="66">
                  <c:v>0.6633663366336634</c:v>
                </c:pt>
                <c:pt idx="67">
                  <c:v>0.67326732673267331</c:v>
                </c:pt>
                <c:pt idx="68">
                  <c:v>0.68316831683168322</c:v>
                </c:pt>
                <c:pt idx="69">
                  <c:v>0.69306930693069302</c:v>
                </c:pt>
                <c:pt idx="70">
                  <c:v>0.70297029702970293</c:v>
                </c:pt>
                <c:pt idx="71">
                  <c:v>0.71287128712871284</c:v>
                </c:pt>
                <c:pt idx="72">
                  <c:v>0.72277227722772275</c:v>
                </c:pt>
                <c:pt idx="73">
                  <c:v>0.73267326732673266</c:v>
                </c:pt>
                <c:pt idx="74">
                  <c:v>0.74257425742574257</c:v>
                </c:pt>
                <c:pt idx="75">
                  <c:v>0.75247524752475248</c:v>
                </c:pt>
                <c:pt idx="76">
                  <c:v>0.76237623762376239</c:v>
                </c:pt>
                <c:pt idx="77">
                  <c:v>0.7722772277227723</c:v>
                </c:pt>
                <c:pt idx="78">
                  <c:v>0.78217821782178221</c:v>
                </c:pt>
                <c:pt idx="79">
                  <c:v>0.79207920792079212</c:v>
                </c:pt>
                <c:pt idx="80">
                  <c:v>0.80198019801980203</c:v>
                </c:pt>
                <c:pt idx="81">
                  <c:v>0.81188118811881194</c:v>
                </c:pt>
                <c:pt idx="82">
                  <c:v>0.82178217821782173</c:v>
                </c:pt>
                <c:pt idx="83">
                  <c:v>0.83168316831683164</c:v>
                </c:pt>
                <c:pt idx="84">
                  <c:v>0.84158415841584155</c:v>
                </c:pt>
                <c:pt idx="85">
                  <c:v>0.85148514851485146</c:v>
                </c:pt>
                <c:pt idx="86">
                  <c:v>0.86138613861386137</c:v>
                </c:pt>
                <c:pt idx="87">
                  <c:v>0.87128712871287128</c:v>
                </c:pt>
                <c:pt idx="88">
                  <c:v>0.88118811881188119</c:v>
                </c:pt>
                <c:pt idx="89">
                  <c:v>0.8910891089108911</c:v>
                </c:pt>
                <c:pt idx="90">
                  <c:v>0.90099009900990101</c:v>
                </c:pt>
                <c:pt idx="91">
                  <c:v>0.91089108910891092</c:v>
                </c:pt>
                <c:pt idx="92">
                  <c:v>0.92079207920792083</c:v>
                </c:pt>
                <c:pt idx="93">
                  <c:v>0.93069306930693074</c:v>
                </c:pt>
                <c:pt idx="94">
                  <c:v>0.94059405940594054</c:v>
                </c:pt>
                <c:pt idx="95">
                  <c:v>0.95049504950495045</c:v>
                </c:pt>
                <c:pt idx="96">
                  <c:v>0.96039603960396036</c:v>
                </c:pt>
                <c:pt idx="97">
                  <c:v>0.97029702970297027</c:v>
                </c:pt>
                <c:pt idx="98">
                  <c:v>0.98019801980198018</c:v>
                </c:pt>
                <c:pt idx="99">
                  <c:v>0.99009900990099009</c:v>
                </c:pt>
                <c:pt idx="100">
                  <c:v>1</c:v>
                </c:pt>
              </c:numCache>
            </c:numRef>
          </c:xVal>
          <c:yVal>
            <c:numRef>
              <c:f>'Q-Q 1. nacin'!$D$2:$D$102</c:f>
              <c:numCache>
                <c:formatCode>#,##0.00</c:formatCode>
                <c:ptCount val="101"/>
                <c:pt idx="0">
                  <c:v>9.7194082490449363E-3</c:v>
                </c:pt>
                <c:pt idx="1">
                  <c:v>9.7194082490449363E-3</c:v>
                </c:pt>
                <c:pt idx="2">
                  <c:v>1.9344349601378319E-2</c:v>
                </c:pt>
                <c:pt idx="3">
                  <c:v>1.9344349601378319E-2</c:v>
                </c:pt>
                <c:pt idx="4">
                  <c:v>1.9344349601378319E-2</c:v>
                </c:pt>
                <c:pt idx="5">
                  <c:v>2.8875742219335199E-2</c:v>
                </c:pt>
                <c:pt idx="6">
                  <c:v>2.8875742219335199E-2</c:v>
                </c:pt>
                <c:pt idx="7">
                  <c:v>3.8314495341256305E-2</c:v>
                </c:pt>
                <c:pt idx="8">
                  <c:v>4.7661509368223443E-2</c:v>
                </c:pt>
                <c:pt idx="9">
                  <c:v>5.6917675949953006E-2</c:v>
                </c:pt>
                <c:pt idx="10">
                  <c:v>6.6083878069853497E-2</c:v>
                </c:pt>
                <c:pt idx="11">
                  <c:v>6.6083878069853497E-2</c:v>
                </c:pt>
                <c:pt idx="12">
                  <c:v>7.5160990129257477E-2</c:v>
                </c:pt>
                <c:pt idx="13">
                  <c:v>8.4149878030833736E-2</c:v>
                </c:pt>
                <c:pt idx="14">
                  <c:v>8.4149878030833736E-2</c:v>
                </c:pt>
                <c:pt idx="15">
                  <c:v>9.305139926118966E-2</c:v>
                </c:pt>
                <c:pt idx="16">
                  <c:v>9.305139926118966E-2</c:v>
                </c:pt>
                <c:pt idx="17">
                  <c:v>0.10186640297267024</c:v>
                </c:pt>
                <c:pt idx="18">
                  <c:v>0.10186640297267024</c:v>
                </c:pt>
                <c:pt idx="19">
                  <c:v>0.11059573006436207</c:v>
                </c:pt>
                <c:pt idx="20">
                  <c:v>0.11924021326231038</c:v>
                </c:pt>
                <c:pt idx="21">
                  <c:v>0.16121855408906316</c:v>
                </c:pt>
                <c:pt idx="22">
                  <c:v>0.16937101339359584</c:v>
                </c:pt>
                <c:pt idx="23">
                  <c:v>0.177444235617914</c:v>
                </c:pt>
                <c:pt idx="24">
                  <c:v>0.20119614383123929</c:v>
                </c:pt>
                <c:pt idx="25">
                  <c:v>0.20896004462025497</c:v>
                </c:pt>
                <c:pt idx="26">
                  <c:v>0.20896004462025497</c:v>
                </c:pt>
                <c:pt idx="27">
                  <c:v>0.24666220286422569</c:v>
                </c:pt>
                <c:pt idx="28">
                  <c:v>0.28256741933984919</c:v>
                </c:pt>
                <c:pt idx="29">
                  <c:v>0.28954043948245112</c:v>
                </c:pt>
                <c:pt idx="30">
                  <c:v>0.29644568599555821</c:v>
                </c:pt>
                <c:pt idx="31">
                  <c:v>0.310055486609218</c:v>
                </c:pt>
                <c:pt idx="32">
                  <c:v>0.32340201448180217</c:v>
                </c:pt>
                <c:pt idx="33">
                  <c:v>0.33649036245325448</c:v>
                </c:pt>
                <c:pt idx="34">
                  <c:v>0.34293928349774716</c:v>
                </c:pt>
                <c:pt idx="35">
                  <c:v>0.39823086265026397</c:v>
                </c:pt>
                <c:pt idx="36">
                  <c:v>0.40987169522247713</c:v>
                </c:pt>
                <c:pt idx="37">
                  <c:v>0.42128734345976226</c:v>
                </c:pt>
                <c:pt idx="38">
                  <c:v>0.44346042684269926</c:v>
                </c:pt>
                <c:pt idx="39">
                  <c:v>0.44346042684269926</c:v>
                </c:pt>
                <c:pt idx="40">
                  <c:v>0.45953092009204832</c:v>
                </c:pt>
                <c:pt idx="41">
                  <c:v>0.46998594292252305</c:v>
                </c:pt>
                <c:pt idx="42">
                  <c:v>0.48023872013627467</c:v>
                </c:pt>
                <c:pt idx="43">
                  <c:v>0.48529049220731624</c:v>
                </c:pt>
                <c:pt idx="44">
                  <c:v>0.50501132724573927</c:v>
                </c:pt>
                <c:pt idx="45">
                  <c:v>0.50501132724573927</c:v>
                </c:pt>
                <c:pt idx="46">
                  <c:v>0.50501132724573927</c:v>
                </c:pt>
                <c:pt idx="47">
                  <c:v>0.50982232423489093</c:v>
                </c:pt>
                <c:pt idx="48">
                  <c:v>0.53772209834199058</c:v>
                </c:pt>
                <c:pt idx="49">
                  <c:v>0.53772209834199058</c:v>
                </c:pt>
                <c:pt idx="50">
                  <c:v>0.54221516599271657</c:v>
                </c:pt>
                <c:pt idx="51">
                  <c:v>0.54221516599271657</c:v>
                </c:pt>
                <c:pt idx="52">
                  <c:v>0.55543404285143205</c:v>
                </c:pt>
                <c:pt idx="53">
                  <c:v>0.56403388214738537</c:v>
                </c:pt>
                <c:pt idx="54">
                  <c:v>0.58481268535764575</c:v>
                </c:pt>
                <c:pt idx="55">
                  <c:v>0.59284421392214492</c:v>
                </c:pt>
                <c:pt idx="56">
                  <c:v>0.60460113944403981</c:v>
                </c:pt>
                <c:pt idx="57">
                  <c:v>0.61975064724474915</c:v>
                </c:pt>
                <c:pt idx="58">
                  <c:v>0.6234464459406126</c:v>
                </c:pt>
                <c:pt idx="59">
                  <c:v>0.62710632366014463</c:v>
                </c:pt>
                <c:pt idx="60">
                  <c:v>0.63073062953397896</c:v>
                </c:pt>
                <c:pt idx="61">
                  <c:v>0.63431970929940595</c:v>
                </c:pt>
                <c:pt idx="62">
                  <c:v>0.64139355668505194</c:v>
                </c:pt>
                <c:pt idx="63">
                  <c:v>0.65848528104261272</c:v>
                </c:pt>
                <c:pt idx="64">
                  <c:v>0.65848528104261272</c:v>
                </c:pt>
                <c:pt idx="65">
                  <c:v>0.66180460201921743</c:v>
                </c:pt>
                <c:pt idx="66">
                  <c:v>0.67476238801958632</c:v>
                </c:pt>
                <c:pt idx="67">
                  <c:v>0.68415386546316492</c:v>
                </c:pt>
                <c:pt idx="68">
                  <c:v>0.69026370350988953</c:v>
                </c:pt>
                <c:pt idx="69">
                  <c:v>0.71632797508125434</c:v>
                </c:pt>
                <c:pt idx="70">
                  <c:v>0.72181542590341352</c:v>
                </c:pt>
                <c:pt idx="71">
                  <c:v>0.72719672555844839</c:v>
                </c:pt>
                <c:pt idx="72">
                  <c:v>0.72984821195442207</c:v>
                </c:pt>
                <c:pt idx="73">
                  <c:v>0.7452246238837007</c:v>
                </c:pt>
                <c:pt idx="74">
                  <c:v>0.7525814519682692</c:v>
                </c:pt>
                <c:pt idx="75">
                  <c:v>0.7573676028592603</c:v>
                </c:pt>
                <c:pt idx="76">
                  <c:v>0.76893182912861824</c:v>
                </c:pt>
                <c:pt idx="77">
                  <c:v>0.77117767501467727</c:v>
                </c:pt>
                <c:pt idx="78">
                  <c:v>0.77340169260770519</c:v>
                </c:pt>
                <c:pt idx="79">
                  <c:v>0.77560409406579356</c:v>
                </c:pt>
                <c:pt idx="80">
                  <c:v>0.77778508948498237</c:v>
                </c:pt>
                <c:pt idx="81">
                  <c:v>0.77778508948498237</c:v>
                </c:pt>
                <c:pt idx="82">
                  <c:v>0.77994488691930286</c:v>
                </c:pt>
                <c:pt idx="83">
                  <c:v>0.78629914163866776</c:v>
                </c:pt>
                <c:pt idx="84">
                  <c:v>0.79043304575292406</c:v>
                </c:pt>
                <c:pt idx="85">
                  <c:v>0.79648444710145372</c:v>
                </c:pt>
                <c:pt idx="86">
                  <c:v>0.79846249784510481</c:v>
                </c:pt>
                <c:pt idx="87">
                  <c:v>0.82761949376007071</c:v>
                </c:pt>
                <c:pt idx="88">
                  <c:v>0.82761949376007071</c:v>
                </c:pt>
                <c:pt idx="89">
                  <c:v>0.8292949302743936</c:v>
                </c:pt>
                <c:pt idx="90">
                  <c:v>0.86095030614574719</c:v>
                </c:pt>
                <c:pt idx="91">
                  <c:v>0.86496546926116002</c:v>
                </c:pt>
                <c:pt idx="92">
                  <c:v>0.87632860855278438</c:v>
                </c:pt>
                <c:pt idx="93">
                  <c:v>0.87989971177212067</c:v>
                </c:pt>
                <c:pt idx="94">
                  <c:v>0.8972749574499953</c:v>
                </c:pt>
                <c:pt idx="95">
                  <c:v>0.94814924846475623</c:v>
                </c:pt>
                <c:pt idx="96">
                  <c:v>0.94814924846475623</c:v>
                </c:pt>
                <c:pt idx="97">
                  <c:v>0.95776439950683512</c:v>
                </c:pt>
                <c:pt idx="98">
                  <c:v>0.98346240491669135</c:v>
                </c:pt>
                <c:pt idx="99">
                  <c:v>0.98975227500766483</c:v>
                </c:pt>
                <c:pt idx="100">
                  <c:v>0.99954993725428598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E-E349-B8A7-049E31D2E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518848"/>
        <c:axId val="2086520640"/>
      </c:scatterChart>
      <c:valAx>
        <c:axId val="208651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Kvantili enakomerne porazdelitve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20640"/>
        <c:crosses val="autoZero"/>
        <c:crossBetween val="midCat"/>
      </c:valAx>
      <c:valAx>
        <c:axId val="20865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Kumulativna funkcija na empirični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22</xdr:row>
      <xdr:rowOff>85725</xdr:rowOff>
    </xdr:from>
    <xdr:to>
      <xdr:col>16</xdr:col>
      <xdr:colOff>171450</xdr:colOff>
      <xdr:row>40</xdr:row>
      <xdr:rowOff>85725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A1802177-9685-474B-9245-3EEB87056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971550</xdr:colOff>
      <xdr:row>22</xdr:row>
      <xdr:rowOff>95250</xdr:rowOff>
    </xdr:from>
    <xdr:to>
      <xdr:col>21</xdr:col>
      <xdr:colOff>85725</xdr:colOff>
      <xdr:row>40</xdr:row>
      <xdr:rowOff>38100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1F083C6D-CC92-46FB-B6E0-1AE4E0F1E11D}"/>
            </a:ext>
            <a:ext uri="{147F2762-F138-4A5C-976F-8EAC2B608ADB}">
              <a16:predDERef xmlns:a16="http://schemas.microsoft.com/office/drawing/2014/main" pred="{A1802177-9685-474B-9245-3EEB87056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1619250</xdr:colOff>
      <xdr:row>24</xdr:row>
      <xdr:rowOff>142875</xdr:rowOff>
    </xdr:from>
    <xdr:to>
      <xdr:col>13</xdr:col>
      <xdr:colOff>409575</xdr:colOff>
      <xdr:row>44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4EC134-F273-3AA0-0A2F-1E7304D0C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895350</xdr:colOff>
      <xdr:row>24</xdr:row>
      <xdr:rowOff>95250</xdr:rowOff>
    </xdr:from>
    <xdr:to>
      <xdr:col>16</xdr:col>
      <xdr:colOff>1152525</xdr:colOff>
      <xdr:row>43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A7DF92-9EE8-772E-57A8-2ACCDFE080A9}"/>
            </a:ext>
            <a:ext uri="{147F2762-F138-4A5C-976F-8EAC2B608ADB}">
              <a16:predDERef xmlns:a16="http://schemas.microsoft.com/office/drawing/2014/main" pred="{1C4EC134-F273-3AA0-0A2F-1E7304D0C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28575</xdr:rowOff>
    </xdr:from>
    <xdr:to>
      <xdr:col>14</xdr:col>
      <xdr:colOff>390525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BE6553-EE2E-5A02-B2A9-715F16B7F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</xdr:row>
      <xdr:rowOff>9525</xdr:rowOff>
    </xdr:from>
    <xdr:to>
      <xdr:col>15</xdr:col>
      <xdr:colOff>152400</xdr:colOff>
      <xdr:row>30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D9DA96-FADB-C0AE-6E3B-9022F6060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showOutlineSymbols="0" workbookViewId="0"/>
  </sheetViews>
  <sheetFormatPr defaultRowHeight="12.75"/>
  <cols>
    <col min="1" max="1" width="12.28515625" customWidth="1"/>
    <col min="4" max="4" width="20.85546875" customWidth="1"/>
    <col min="5" max="5" width="12.140625" customWidth="1"/>
  </cols>
  <sheetData>
    <row r="1" spans="1:7">
      <c r="A1" s="1" t="s">
        <v>0</v>
      </c>
    </row>
    <row r="2" spans="1:7">
      <c r="A2" s="2">
        <v>0.01</v>
      </c>
      <c r="D2" t="s">
        <v>1</v>
      </c>
    </row>
    <row r="3" spans="1:7">
      <c r="A3" s="2">
        <v>0.01</v>
      </c>
    </row>
    <row r="4" spans="1:7">
      <c r="A4" s="2">
        <v>0.02</v>
      </c>
      <c r="D4" s="1" t="s">
        <v>2</v>
      </c>
      <c r="E4" s="1" t="s">
        <v>3</v>
      </c>
    </row>
    <row r="5" spans="1:7">
      <c r="A5" s="2">
        <v>0.02</v>
      </c>
      <c r="D5">
        <v>0.25</v>
      </c>
      <c r="E5">
        <f>COUNTIFS($A$2:$A$102,"&gt;=0",$A$2:$A$102,"&lt;=0.5")</f>
        <v>35</v>
      </c>
    </row>
    <row r="6" spans="1:7">
      <c r="A6" s="2">
        <v>0.02</v>
      </c>
      <c r="D6">
        <v>0.75</v>
      </c>
      <c r="E6">
        <f>COUNTIFS($A$2:$A$102,"&gt;0.5",$A$2:$A$102,"&lt;=1")</f>
        <v>24</v>
      </c>
      <c r="G6" t="s">
        <v>4</v>
      </c>
    </row>
    <row r="7" spans="1:7">
      <c r="A7" s="2">
        <v>0.03</v>
      </c>
      <c r="D7">
        <v>1.25</v>
      </c>
      <c r="E7">
        <f>COUNTIFS($A$2:$A$102,"&gt;1",$A$2:$A$102,"&lt;=1.5")</f>
        <v>18</v>
      </c>
      <c r="G7" t="s">
        <v>5</v>
      </c>
    </row>
    <row r="8" spans="1:7">
      <c r="A8" s="2">
        <v>0.03</v>
      </c>
      <c r="D8">
        <v>1.75</v>
      </c>
      <c r="E8">
        <f>COUNTIFS($A$2:$A$102,"&gt;1.5",$A$2:$A$102,"&lt;=2")</f>
        <v>13</v>
      </c>
    </row>
    <row r="9" spans="1:7">
      <c r="A9" s="2">
        <v>0.04</v>
      </c>
      <c r="D9">
        <v>2.25</v>
      </c>
      <c r="E9">
        <f>COUNTIFS($A$2:$A$102,"&gt;2",$A$2:$A$102,"&lt;=2.5")</f>
        <v>5</v>
      </c>
    </row>
    <row r="10" spans="1:7">
      <c r="A10" s="2">
        <v>0.05</v>
      </c>
      <c r="D10">
        <v>2.75</v>
      </c>
      <c r="E10">
        <f>COUNTIFS($A$2:$A$102,"&gt;2.5",$A$2:$A$102,"&lt;=3")</f>
        <v>0</v>
      </c>
    </row>
    <row r="11" spans="1:7">
      <c r="A11" s="2">
        <v>0.06</v>
      </c>
      <c r="D11">
        <v>3.25</v>
      </c>
      <c r="E11">
        <f>COUNTIFS($A$2:$A$102,"&gt;3",$A$2:$A$102,"&lt;=3.5")</f>
        <v>3</v>
      </c>
    </row>
    <row r="12" spans="1:7">
      <c r="A12" s="2">
        <v>7.0000000000000007E-2</v>
      </c>
      <c r="D12">
        <v>3.75</v>
      </c>
      <c r="E12">
        <f>COUNTIFS($A$2:$A$102,"&gt;3.5",$A$2:$A$102,"&lt;=4")</f>
        <v>0</v>
      </c>
    </row>
    <row r="13" spans="1:7">
      <c r="A13" s="2">
        <v>7.0000000000000007E-2</v>
      </c>
      <c r="D13">
        <v>4.25</v>
      </c>
      <c r="E13">
        <f>COUNTIFS($A$2:$A$102,"&gt;4",$A$2:$A$102,"&lt;=4.5")</f>
        <v>1</v>
      </c>
    </row>
    <row r="14" spans="1:7">
      <c r="A14" s="2">
        <v>0.08</v>
      </c>
      <c r="D14">
        <v>4.75</v>
      </c>
      <c r="E14">
        <f>COUNTIFS($A$2:$A$102,"&gt;4.5",$A$2:$A$102,"&lt;=5")</f>
        <v>1</v>
      </c>
    </row>
    <row r="15" spans="1:7">
      <c r="A15" s="2">
        <v>0.09</v>
      </c>
      <c r="D15">
        <v>5.25</v>
      </c>
      <c r="E15">
        <f>COUNTIFS($A$2:$A$102,"&gt;5",$A$2:$A$102,"&lt;=5.5")</f>
        <v>0</v>
      </c>
    </row>
    <row r="16" spans="1:7">
      <c r="A16" s="2">
        <v>0.09</v>
      </c>
      <c r="D16">
        <v>5.75</v>
      </c>
      <c r="E16">
        <f>COUNTIFS($A$2:$A$102,"&gt;5.5",$A$2:$A$102,"&lt;=6")</f>
        <v>0</v>
      </c>
    </row>
    <row r="17" spans="1:5">
      <c r="A17" s="2">
        <v>0.1</v>
      </c>
      <c r="D17">
        <v>6.25</v>
      </c>
      <c r="E17">
        <f>COUNTIFS($A$2:$A$102,"&gt;6",$A$2:$A$102,"&lt;=6.5")</f>
        <v>0</v>
      </c>
    </row>
    <row r="18" spans="1:5">
      <c r="A18" s="2">
        <v>0.1</v>
      </c>
      <c r="D18">
        <v>6.75</v>
      </c>
      <c r="E18">
        <f>COUNTIFS($A$2:$A$102,"&gt;6.5",$A$2:$A$102,"&lt;=7")</f>
        <v>0</v>
      </c>
    </row>
    <row r="19" spans="1:5">
      <c r="A19" s="2">
        <v>0.11</v>
      </c>
      <c r="D19">
        <v>7.25</v>
      </c>
      <c r="E19">
        <f>COUNTIFS($A$2:$A$102,"&gt;7",$A$2:$A$102,"&lt;=7.5")</f>
        <v>0</v>
      </c>
    </row>
    <row r="20" spans="1:5">
      <c r="A20" s="2">
        <v>0.11</v>
      </c>
      <c r="D20">
        <v>7.75</v>
      </c>
      <c r="E20">
        <f>COUNTIFS($A$2:$A$102,"&gt;7.5",$A$2:$A$102,"&lt;=8")</f>
        <v>1</v>
      </c>
    </row>
    <row r="21" spans="1:5">
      <c r="A21" s="2">
        <v>0.12</v>
      </c>
    </row>
    <row r="22" spans="1:5">
      <c r="A22" s="2">
        <v>0.13</v>
      </c>
    </row>
    <row r="23" spans="1:5">
      <c r="A23" s="2">
        <v>0.18</v>
      </c>
    </row>
    <row r="24" spans="1:5">
      <c r="A24" s="2">
        <v>0.19</v>
      </c>
    </row>
    <row r="25" spans="1:5">
      <c r="A25" s="2">
        <v>0.2</v>
      </c>
    </row>
    <row r="26" spans="1:5">
      <c r="A26" s="2">
        <v>0.23</v>
      </c>
    </row>
    <row r="27" spans="1:5">
      <c r="A27" s="2">
        <v>0.24</v>
      </c>
    </row>
    <row r="28" spans="1:5">
      <c r="A28" s="2">
        <v>0.24</v>
      </c>
    </row>
    <row r="29" spans="1:5">
      <c r="A29" s="2">
        <v>0.28999999999999998</v>
      </c>
    </row>
    <row r="30" spans="1:5">
      <c r="A30" s="2">
        <v>0.34</v>
      </c>
    </row>
    <row r="31" spans="1:5">
      <c r="A31" s="2">
        <v>0.35</v>
      </c>
    </row>
    <row r="32" spans="1:5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1">
      <c r="A49" s="2">
        <v>0.73</v>
      </c>
    </row>
    <row r="50" spans="1:1">
      <c r="A50" s="2">
        <v>0.79</v>
      </c>
    </row>
    <row r="51" spans="1:1">
      <c r="A51" s="2">
        <v>0.79</v>
      </c>
    </row>
    <row r="52" spans="1:1">
      <c r="A52" s="2">
        <v>0.8</v>
      </c>
    </row>
    <row r="53" spans="1:1">
      <c r="A53" s="2">
        <v>0.8</v>
      </c>
    </row>
    <row r="54" spans="1:1">
      <c r="A54" s="2">
        <v>0.83</v>
      </c>
    </row>
    <row r="55" spans="1:1">
      <c r="A55" s="2">
        <v>0.85</v>
      </c>
    </row>
    <row r="56" spans="1:1">
      <c r="A56" s="2">
        <v>0.9</v>
      </c>
    </row>
    <row r="57" spans="1:1">
      <c r="A57" s="2">
        <v>0.92</v>
      </c>
    </row>
    <row r="58" spans="1:1">
      <c r="A58" s="2">
        <v>0.95</v>
      </c>
    </row>
    <row r="59" spans="1:1">
      <c r="A59" s="2">
        <v>0.99</v>
      </c>
    </row>
    <row r="60" spans="1:1">
      <c r="A60" s="2">
        <v>1</v>
      </c>
    </row>
    <row r="61" spans="1:1">
      <c r="A61" s="2">
        <v>1.01</v>
      </c>
    </row>
    <row r="62" spans="1:1">
      <c r="A62" s="2">
        <v>1.02</v>
      </c>
    </row>
    <row r="63" spans="1:1">
      <c r="A63" s="2">
        <v>1.03</v>
      </c>
    </row>
    <row r="64" spans="1:1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  <row r="104" spans="1:1">
      <c r="A104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F0E-6C5D-154C-8D1D-03E6FC46DE24}">
  <dimension ref="A1:D102"/>
  <sheetViews>
    <sheetView zoomScaleNormal="80" zoomScaleSheetLayoutView="100" workbookViewId="0">
      <selection activeCell="D5" sqref="D5"/>
    </sheetView>
  </sheetViews>
  <sheetFormatPr defaultRowHeight="12.75"/>
  <cols>
    <col min="3" max="3" width="12.140625" customWidth="1"/>
    <col min="4" max="4" width="9.140625" bestFit="1" customWidth="1"/>
  </cols>
  <sheetData>
    <row r="1" spans="1:4">
      <c r="A1" s="1" t="s">
        <v>0</v>
      </c>
    </row>
    <row r="2" spans="1:4">
      <c r="A2" s="2">
        <v>0.01</v>
      </c>
      <c r="C2" t="s">
        <v>6</v>
      </c>
      <c r="D2" s="2">
        <f>SUM(A2:A102)</f>
        <v>103.41000000000001</v>
      </c>
    </row>
    <row r="3" spans="1:4">
      <c r="A3" s="2">
        <v>0.01</v>
      </c>
      <c r="C3" t="s">
        <v>7</v>
      </c>
      <c r="D3">
        <f>101/D2</f>
        <v>0.97669471037617239</v>
      </c>
    </row>
    <row r="4" spans="1:4">
      <c r="A4" s="2">
        <v>0.02</v>
      </c>
    </row>
    <row r="5" spans="1:4">
      <c r="A5" s="2">
        <v>0.02</v>
      </c>
      <c r="C5" t="s">
        <v>8</v>
      </c>
      <c r="D5" t="s">
        <v>9</v>
      </c>
    </row>
    <row r="6" spans="1:4">
      <c r="A6" s="2">
        <v>0.02</v>
      </c>
    </row>
    <row r="7" spans="1:4">
      <c r="A7" s="2">
        <v>0.03</v>
      </c>
    </row>
    <row r="8" spans="1:4">
      <c r="A8" s="2">
        <v>0.03</v>
      </c>
    </row>
    <row r="9" spans="1:4">
      <c r="A9" s="2">
        <v>0.04</v>
      </c>
    </row>
    <row r="10" spans="1:4">
      <c r="A10" s="2">
        <v>0.05</v>
      </c>
    </row>
    <row r="11" spans="1:4">
      <c r="A11" s="2">
        <v>0.06</v>
      </c>
    </row>
    <row r="12" spans="1:4">
      <c r="A12" s="2">
        <v>7.0000000000000007E-2</v>
      </c>
    </row>
    <row r="13" spans="1:4">
      <c r="A13" s="2">
        <v>7.0000000000000007E-2</v>
      </c>
    </row>
    <row r="14" spans="1:4">
      <c r="A14" s="2">
        <v>0.08</v>
      </c>
    </row>
    <row r="15" spans="1:4">
      <c r="A15" s="2">
        <v>0.09</v>
      </c>
    </row>
    <row r="16" spans="1:4">
      <c r="A16" s="2">
        <v>0.09</v>
      </c>
    </row>
    <row r="17" spans="1:1">
      <c r="A17" s="2">
        <v>0.1</v>
      </c>
    </row>
    <row r="18" spans="1:1">
      <c r="A18" s="2">
        <v>0.1</v>
      </c>
    </row>
    <row r="19" spans="1:1">
      <c r="A19" s="2">
        <v>0.11</v>
      </c>
    </row>
    <row r="20" spans="1:1">
      <c r="A20" s="2">
        <v>0.11</v>
      </c>
    </row>
    <row r="21" spans="1:1">
      <c r="A21" s="2">
        <v>0.12</v>
      </c>
    </row>
    <row r="22" spans="1:1">
      <c r="A22" s="2">
        <v>0.13</v>
      </c>
    </row>
    <row r="23" spans="1:1">
      <c r="A23" s="2">
        <v>0.18</v>
      </c>
    </row>
    <row r="24" spans="1:1">
      <c r="A24" s="2">
        <v>0.19</v>
      </c>
    </row>
    <row r="25" spans="1:1">
      <c r="A25" s="2">
        <v>0.2</v>
      </c>
    </row>
    <row r="26" spans="1:1">
      <c r="A26" s="2">
        <v>0.23</v>
      </c>
    </row>
    <row r="27" spans="1:1">
      <c r="A27" s="2">
        <v>0.24</v>
      </c>
    </row>
    <row r="28" spans="1:1">
      <c r="A28" s="2">
        <v>0.24</v>
      </c>
    </row>
    <row r="29" spans="1:1">
      <c r="A29" s="2">
        <v>0.28999999999999998</v>
      </c>
    </row>
    <row r="30" spans="1:1">
      <c r="A30" s="2">
        <v>0.34</v>
      </c>
    </row>
    <row r="31" spans="1:1">
      <c r="A31" s="2">
        <v>0.35</v>
      </c>
    </row>
    <row r="32" spans="1:1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1">
      <c r="A49" s="2">
        <v>0.73</v>
      </c>
    </row>
    <row r="50" spans="1:1">
      <c r="A50" s="2">
        <v>0.79</v>
      </c>
    </row>
    <row r="51" spans="1:1">
      <c r="A51" s="2">
        <v>0.79</v>
      </c>
    </row>
    <row r="52" spans="1:1">
      <c r="A52" s="2">
        <v>0.8</v>
      </c>
    </row>
    <row r="53" spans="1:1">
      <c r="A53" s="2">
        <v>0.8</v>
      </c>
    </row>
    <row r="54" spans="1:1">
      <c r="A54" s="2">
        <v>0.83</v>
      </c>
    </row>
    <row r="55" spans="1:1">
      <c r="A55" s="2">
        <v>0.85</v>
      </c>
    </row>
    <row r="56" spans="1:1">
      <c r="A56" s="2">
        <v>0.9</v>
      </c>
    </row>
    <row r="57" spans="1:1">
      <c r="A57" s="2">
        <v>0.92</v>
      </c>
    </row>
    <row r="58" spans="1:1">
      <c r="A58" s="2">
        <v>0.95</v>
      </c>
    </row>
    <row r="59" spans="1:1">
      <c r="A59" s="2">
        <v>0.99</v>
      </c>
    </row>
    <row r="60" spans="1:1">
      <c r="A60" s="2">
        <v>1</v>
      </c>
    </row>
    <row r="61" spans="1:1">
      <c r="A61" s="2">
        <v>1.01</v>
      </c>
    </row>
    <row r="62" spans="1:1">
      <c r="A62" s="2">
        <v>1.02</v>
      </c>
    </row>
    <row r="63" spans="1:1">
      <c r="A63" s="2">
        <v>1.03</v>
      </c>
    </row>
    <row r="64" spans="1:1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7A53-E9F3-4737-A4F1-6A2531A7AD1D}">
  <dimension ref="A1:S104"/>
  <sheetViews>
    <sheetView tabSelected="1" topLeftCell="H18" zoomScaleNormal="80" zoomScaleSheetLayoutView="100" workbookViewId="0">
      <selection activeCell="J25" sqref="J25"/>
    </sheetView>
  </sheetViews>
  <sheetFormatPr defaultRowHeight="12.75"/>
  <cols>
    <col min="1" max="1" width="12.28515625" customWidth="1"/>
    <col min="3" max="3" width="15.5703125" customWidth="1"/>
    <col min="4" max="4" width="15" customWidth="1"/>
    <col min="5" max="5" width="13.42578125" customWidth="1"/>
    <col min="6" max="6" width="25.42578125" customWidth="1"/>
    <col min="7" max="7" width="21" customWidth="1"/>
    <col min="8" max="8" width="16.85546875" customWidth="1"/>
    <col min="9" max="9" width="18.42578125" customWidth="1"/>
    <col min="10" max="10" width="14.5703125" customWidth="1"/>
    <col min="11" max="11" width="22.140625" customWidth="1"/>
    <col min="12" max="12" width="21.5703125" customWidth="1"/>
    <col min="13" max="13" width="17.28515625" customWidth="1"/>
    <col min="14" max="14" width="14.140625" customWidth="1"/>
    <col min="15" max="15" width="19.7109375" customWidth="1"/>
    <col min="16" max="16" width="19.85546875" customWidth="1"/>
    <col min="17" max="17" width="18" customWidth="1"/>
    <col min="18" max="18" width="19" customWidth="1"/>
    <col min="19" max="19" width="17.5703125" customWidth="1"/>
  </cols>
  <sheetData>
    <row r="1" spans="1:19">
      <c r="A1" s="1" t="s">
        <v>0</v>
      </c>
    </row>
    <row r="2" spans="1:19">
      <c r="A2" s="2">
        <v>0.01</v>
      </c>
      <c r="C2" t="s">
        <v>10</v>
      </c>
      <c r="D2">
        <v>0.23499999999999999</v>
      </c>
      <c r="F2" t="s">
        <v>11</v>
      </c>
      <c r="G2" s="2">
        <f>AVERAGE(A2:A102)</f>
        <v>1.0238613861386139</v>
      </c>
    </row>
    <row r="3" spans="1:19">
      <c r="A3" s="2">
        <v>0.01</v>
      </c>
      <c r="C3" t="s">
        <v>12</v>
      </c>
      <c r="D3">
        <v>1.4550000000000001</v>
      </c>
      <c r="F3" t="s">
        <v>13</v>
      </c>
      <c r="G3" cm="1">
        <f t="array" ref="G3">SQRT(1/101 * SUM((A2:A102 - G2)^2))</f>
        <v>1.1117971984535526</v>
      </c>
    </row>
    <row r="4" spans="1:19">
      <c r="A4" s="2">
        <v>0.02</v>
      </c>
      <c r="C4" t="s">
        <v>14</v>
      </c>
      <c r="D4">
        <f>D3-D2</f>
        <v>1.2200000000000002</v>
      </c>
    </row>
    <row r="5" spans="1:19">
      <c r="A5" s="2">
        <v>0.02</v>
      </c>
      <c r="C5" t="s">
        <v>15</v>
      </c>
      <c r="D5">
        <f>2.6*D4/101^(1/3)</f>
        <v>0.68112379729623118</v>
      </c>
      <c r="F5" s="8"/>
    </row>
    <row r="6" spans="1:19">
      <c r="A6" s="2">
        <v>0.02</v>
      </c>
      <c r="C6" t="s">
        <v>16</v>
      </c>
      <c r="D6">
        <v>0.97669499999999998</v>
      </c>
    </row>
    <row r="7" spans="1:19">
      <c r="A7" s="2">
        <v>0.03</v>
      </c>
      <c r="O7" t="s">
        <v>17</v>
      </c>
      <c r="R7" t="s">
        <v>18</v>
      </c>
    </row>
    <row r="8" spans="1:19">
      <c r="A8" s="2">
        <v>0.03</v>
      </c>
      <c r="C8" s="1" t="s">
        <v>19</v>
      </c>
      <c r="D8" s="1" t="s">
        <v>20</v>
      </c>
      <c r="E8" s="1" t="s">
        <v>3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O8" s="1" t="s">
        <v>2</v>
      </c>
      <c r="P8" s="5" t="s">
        <v>29</v>
      </c>
      <c r="R8" s="1" t="s">
        <v>2</v>
      </c>
      <c r="S8" s="1" t="s">
        <v>28</v>
      </c>
    </row>
    <row r="9" spans="1:19">
      <c r="A9" s="2">
        <v>0.04</v>
      </c>
      <c r="C9">
        <v>0</v>
      </c>
      <c r="D9">
        <f>$D$5</f>
        <v>0.68112379729623118</v>
      </c>
      <c r="E9">
        <f>COUNTIF(A2:A102,"&lt;0.681123797")</f>
        <v>44</v>
      </c>
      <c r="F9">
        <f>ROUND(($C9-$G$2)/$G$3+1, 2)</f>
        <v>0.08</v>
      </c>
      <c r="G9">
        <f>ROUND(($D9-$G$2)/$G$3+1,2)</f>
        <v>0.69</v>
      </c>
      <c r="H9">
        <v>0.53190000000000004</v>
      </c>
      <c r="I9">
        <v>0.75490000000000002</v>
      </c>
      <c r="J9">
        <f>$I9-$H9</f>
        <v>0.22299999999999998</v>
      </c>
      <c r="K9">
        <f>101*$J9</f>
        <v>22.522999999999996</v>
      </c>
      <c r="L9">
        <f>$E9-$K9</f>
        <v>21.477000000000004</v>
      </c>
      <c r="M9">
        <f>SQRT($E9)-SQRT($K9)</f>
        <v>1.8874092968411462</v>
      </c>
      <c r="O9">
        <f>ROUND(($C9+$D9)/2,4)</f>
        <v>0.34060000000000001</v>
      </c>
      <c r="P9">
        <f>$E9-$K9</f>
        <v>21.477000000000004</v>
      </c>
      <c r="R9">
        <f>ROUND(($C9+$D9)/2,4)</f>
        <v>0.34060000000000001</v>
      </c>
      <c r="S9">
        <f>SQRT($E9)-SQRT($K9)</f>
        <v>1.8874092968411462</v>
      </c>
    </row>
    <row r="10" spans="1:19">
      <c r="A10" s="2">
        <v>0.05</v>
      </c>
      <c r="C10">
        <f>$D$5</f>
        <v>0.68112379729623118</v>
      </c>
      <c r="D10">
        <f>$D$5*2</f>
        <v>1.3622475945924624</v>
      </c>
      <c r="E10">
        <f>COUNTIFS($A$2:$A$102,"&gt;=0.681123797",$A$2:$A$102,"&lt;1.362247595")</f>
        <v>29</v>
      </c>
      <c r="F10">
        <f t="shared" ref="F10:F21" si="0">ROUND(($C10-$G$2)/$G$3+1, 2)</f>
        <v>0.69</v>
      </c>
      <c r="G10">
        <f t="shared" ref="G10:G21" si="1">ROUND(($D10-$G$2)/$G$3+1,2)</f>
        <v>1.3</v>
      </c>
      <c r="H10">
        <v>0.75490000000000002</v>
      </c>
      <c r="I10">
        <v>0.9032</v>
      </c>
      <c r="J10">
        <f t="shared" ref="J10:J21" si="2">$I10-$H10</f>
        <v>0.14829999999999999</v>
      </c>
      <c r="K10">
        <f t="shared" ref="K10:K21" si="3">101*$J10</f>
        <v>14.978299999999999</v>
      </c>
      <c r="L10">
        <f t="shared" ref="L10:L21" si="4">$E10-$K10</f>
        <v>14.021700000000001</v>
      </c>
      <c r="M10">
        <f t="shared" ref="M10:M21" si="5">SQRT($E10)-SQRT($K10)</f>
        <v>1.5149839328083439</v>
      </c>
      <c r="O10">
        <f t="shared" ref="O10:O21" si="6">ROUND(($C10+$D10)/2,4)</f>
        <v>1.0217000000000001</v>
      </c>
      <c r="P10">
        <f t="shared" ref="P10:P21" si="7">$E10-$K10</f>
        <v>14.021700000000001</v>
      </c>
      <c r="R10">
        <f t="shared" ref="R10:R21" si="8">ROUND(($C10+$D10)/2,4)</f>
        <v>1.0217000000000001</v>
      </c>
      <c r="S10">
        <f t="shared" ref="S10:S21" si="9">SQRT($E10)-SQRT($K10)</f>
        <v>1.5149839328083439</v>
      </c>
    </row>
    <row r="11" spans="1:19">
      <c r="A11" s="2">
        <v>0.06</v>
      </c>
      <c r="C11">
        <f>$D$5*2</f>
        <v>1.3622475945924624</v>
      </c>
      <c r="D11">
        <f>$D$5*3</f>
        <v>2.0433713918886935</v>
      </c>
      <c r="E11">
        <f>COUNTIFS($A$2:$A$102,"&gt;=1.362247595",$A$2:$A$102,"&lt;2.043371392")</f>
        <v>18</v>
      </c>
      <c r="F11">
        <f t="shared" si="0"/>
        <v>1.3</v>
      </c>
      <c r="G11">
        <f t="shared" si="1"/>
        <v>1.92</v>
      </c>
      <c r="H11">
        <v>0.9032</v>
      </c>
      <c r="I11">
        <v>0.97260000000000002</v>
      </c>
      <c r="J11">
        <f t="shared" si="2"/>
        <v>6.9400000000000017E-2</v>
      </c>
      <c r="K11">
        <f t="shared" si="3"/>
        <v>7.0094000000000021</v>
      </c>
      <c r="L11">
        <f t="shared" si="4"/>
        <v>10.990599999999997</v>
      </c>
      <c r="M11">
        <f t="shared" si="5"/>
        <v>1.595113539005407</v>
      </c>
      <c r="O11">
        <f t="shared" si="6"/>
        <v>1.7028000000000001</v>
      </c>
      <c r="P11">
        <f t="shared" si="7"/>
        <v>10.990599999999997</v>
      </c>
      <c r="R11">
        <f t="shared" si="8"/>
        <v>1.7028000000000001</v>
      </c>
      <c r="S11">
        <f t="shared" si="9"/>
        <v>1.595113539005407</v>
      </c>
    </row>
    <row r="12" spans="1:19">
      <c r="A12" s="2">
        <v>7.0000000000000007E-2</v>
      </c>
      <c r="C12">
        <f>$D$5*3</f>
        <v>2.0433713918886935</v>
      </c>
      <c r="D12">
        <f>$D$5*4</f>
        <v>2.7244951891849247</v>
      </c>
      <c r="E12">
        <f>COUNTIFS($A$2:$A$102,"&gt;=2.043371392",$A$2:$A$102,"&lt;2.724495189")</f>
        <v>4</v>
      </c>
      <c r="F12">
        <f t="shared" si="0"/>
        <v>1.92</v>
      </c>
      <c r="G12">
        <f t="shared" si="1"/>
        <v>2.5299999999999998</v>
      </c>
      <c r="H12">
        <v>0.97260000000000002</v>
      </c>
      <c r="I12">
        <v>0.99429999999999996</v>
      </c>
      <c r="J12">
        <f t="shared" si="2"/>
        <v>2.1699999999999942E-2</v>
      </c>
      <c r="K12">
        <f t="shared" si="3"/>
        <v>2.1916999999999942</v>
      </c>
      <c r="L12">
        <f t="shared" si="4"/>
        <v>1.8083000000000058</v>
      </c>
      <c r="M12">
        <f t="shared" si="5"/>
        <v>0.51956087595605793</v>
      </c>
      <c r="O12">
        <f t="shared" si="6"/>
        <v>2.3839000000000001</v>
      </c>
      <c r="P12">
        <f t="shared" si="7"/>
        <v>1.8083000000000058</v>
      </c>
      <c r="R12">
        <f t="shared" si="8"/>
        <v>2.3839000000000001</v>
      </c>
      <c r="S12">
        <f t="shared" si="9"/>
        <v>0.51956087595605793</v>
      </c>
    </row>
    <row r="13" spans="1:19">
      <c r="A13" s="2">
        <v>7.0000000000000007E-2</v>
      </c>
      <c r="C13">
        <f>$D$5*4</f>
        <v>2.7244951891849247</v>
      </c>
      <c r="D13">
        <f>$D$5*5</f>
        <v>3.4056189864811559</v>
      </c>
      <c r="E13">
        <f>COUNTIFS($A$2:$A$102,"&gt;=2.724495189",$A$2:$A$102,"&lt;3.405618986")</f>
        <v>3</v>
      </c>
      <c r="F13">
        <f t="shared" si="0"/>
        <v>2.5299999999999998</v>
      </c>
      <c r="G13">
        <f t="shared" si="1"/>
        <v>3.14</v>
      </c>
      <c r="H13">
        <v>0.99429999999999996</v>
      </c>
      <c r="I13">
        <v>0.99919999999999998</v>
      </c>
      <c r="J13">
        <f t="shared" si="2"/>
        <v>4.9000000000000155E-3</v>
      </c>
      <c r="K13">
        <f t="shared" si="3"/>
        <v>0.49490000000000156</v>
      </c>
      <c r="L13">
        <f t="shared" si="4"/>
        <v>2.5050999999999983</v>
      </c>
      <c r="M13">
        <f t="shared" si="5"/>
        <v>1.0285595140904138</v>
      </c>
      <c r="O13">
        <f t="shared" si="6"/>
        <v>3.0651000000000002</v>
      </c>
      <c r="P13">
        <f t="shared" si="7"/>
        <v>2.5050999999999983</v>
      </c>
      <c r="R13">
        <f t="shared" si="8"/>
        <v>3.0651000000000002</v>
      </c>
      <c r="S13">
        <f t="shared" si="9"/>
        <v>1.0285595140904138</v>
      </c>
    </row>
    <row r="14" spans="1:19">
      <c r="A14" s="2">
        <v>0.08</v>
      </c>
      <c r="C14">
        <f>$D$5*5</f>
        <v>3.4056189864811559</v>
      </c>
      <c r="D14">
        <f>$D$5*6</f>
        <v>4.0867427837773871</v>
      </c>
      <c r="E14">
        <f>COUNTIFS($A$2:$A$102,"&gt;=3.405618986",$A$2:$A$102,"&lt;4.086742784")</f>
        <v>0</v>
      </c>
      <c r="F14">
        <f t="shared" si="0"/>
        <v>3.14</v>
      </c>
      <c r="G14">
        <f t="shared" si="1"/>
        <v>3.75</v>
      </c>
      <c r="H14">
        <v>0.99919999999999998</v>
      </c>
      <c r="I14">
        <v>0.99990000000000001</v>
      </c>
      <c r="J14">
        <f t="shared" si="2"/>
        <v>7.0000000000003393E-4</v>
      </c>
      <c r="K14">
        <f t="shared" si="3"/>
        <v>7.0700000000003427E-2</v>
      </c>
      <c r="L14">
        <f t="shared" si="4"/>
        <v>-7.0700000000003427E-2</v>
      </c>
      <c r="M14">
        <f t="shared" si="5"/>
        <v>-0.26589471600617304</v>
      </c>
      <c r="O14">
        <f t="shared" si="6"/>
        <v>3.7462</v>
      </c>
      <c r="P14">
        <f t="shared" si="7"/>
        <v>-7.0700000000003427E-2</v>
      </c>
      <c r="R14">
        <f t="shared" si="8"/>
        <v>3.7462</v>
      </c>
      <c r="S14">
        <f t="shared" si="9"/>
        <v>-0.26589471600617304</v>
      </c>
    </row>
    <row r="15" spans="1:19">
      <c r="A15" s="2">
        <v>0.09</v>
      </c>
      <c r="C15">
        <f>$D$5*6</f>
        <v>4.0867427837773871</v>
      </c>
      <c r="D15">
        <f>$D$5*7</f>
        <v>4.7678665810736183</v>
      </c>
      <c r="E15">
        <f>COUNTIFS($A$2:$A$102,"&gt;=4.086742784",$A$2:$A$102,"&lt;4.767866581")</f>
        <v>2</v>
      </c>
      <c r="F15">
        <f t="shared" si="0"/>
        <v>3.75</v>
      </c>
      <c r="G15">
        <f t="shared" si="1"/>
        <v>4.37</v>
      </c>
      <c r="H15">
        <v>0.99990000000000001</v>
      </c>
      <c r="I15">
        <v>1</v>
      </c>
      <c r="J15">
        <f t="shared" si="2"/>
        <v>9.9999999999988987E-5</v>
      </c>
      <c r="K15">
        <f t="shared" si="3"/>
        <v>1.0099999999998888E-2</v>
      </c>
      <c r="L15">
        <f t="shared" si="4"/>
        <v>1.9899000000000011</v>
      </c>
      <c r="M15">
        <f t="shared" si="5"/>
        <v>1.3137148061618917</v>
      </c>
      <c r="O15">
        <f t="shared" si="6"/>
        <v>4.4272999999999998</v>
      </c>
      <c r="P15">
        <f t="shared" si="7"/>
        <v>1.9899000000000011</v>
      </c>
      <c r="R15">
        <f t="shared" si="8"/>
        <v>4.4272999999999998</v>
      </c>
      <c r="S15">
        <f t="shared" si="9"/>
        <v>1.3137148061618917</v>
      </c>
    </row>
    <row r="16" spans="1:19">
      <c r="A16" s="2">
        <v>0.09</v>
      </c>
      <c r="C16">
        <f>$D$5*7</f>
        <v>4.7678665810736183</v>
      </c>
      <c r="D16">
        <f>$D$5*8</f>
        <v>5.4489903783698495</v>
      </c>
      <c r="E16">
        <f>COUNTIFS($A$2:$A$102,"&gt;=4.767866581",$A$2:$A$102,"&lt;5.448990378")</f>
        <v>0</v>
      </c>
      <c r="F16">
        <f t="shared" si="0"/>
        <v>4.37</v>
      </c>
      <c r="G16">
        <f t="shared" si="1"/>
        <v>4.9800000000000004</v>
      </c>
      <c r="H16">
        <v>1</v>
      </c>
      <c r="I16">
        <v>1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0</v>
      </c>
      <c r="O16">
        <f t="shared" si="6"/>
        <v>5.1083999999999996</v>
      </c>
      <c r="P16">
        <f t="shared" si="7"/>
        <v>0</v>
      </c>
      <c r="R16">
        <f t="shared" si="8"/>
        <v>5.1083999999999996</v>
      </c>
      <c r="S16">
        <f t="shared" si="9"/>
        <v>0</v>
      </c>
    </row>
    <row r="17" spans="1:19">
      <c r="A17" s="2">
        <v>0.1</v>
      </c>
      <c r="C17">
        <f>$D$5*8</f>
        <v>5.4489903783698495</v>
      </c>
      <c r="D17">
        <f>$D$5*9</f>
        <v>6.1301141756660806</v>
      </c>
      <c r="E17">
        <f>COUNTIFS($A$2:$A$102,"&gt;=5.448990378",$A$2:$A$102,"&lt;6.130114176")</f>
        <v>0</v>
      </c>
      <c r="F17">
        <f t="shared" si="0"/>
        <v>4.9800000000000004</v>
      </c>
      <c r="G17">
        <f t="shared" si="1"/>
        <v>5.59</v>
      </c>
      <c r="H17">
        <v>1</v>
      </c>
      <c r="I17">
        <v>1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0</v>
      </c>
      <c r="O17">
        <f t="shared" si="6"/>
        <v>5.7896000000000001</v>
      </c>
      <c r="P17">
        <f t="shared" si="7"/>
        <v>0</v>
      </c>
      <c r="R17">
        <f t="shared" si="8"/>
        <v>5.7896000000000001</v>
      </c>
      <c r="S17">
        <f t="shared" si="9"/>
        <v>0</v>
      </c>
    </row>
    <row r="18" spans="1:19">
      <c r="A18" s="2">
        <v>0.1</v>
      </c>
      <c r="C18">
        <f>$D$5*9</f>
        <v>6.1301141756660806</v>
      </c>
      <c r="D18">
        <f>$D$5*10</f>
        <v>6.8112379729623118</v>
      </c>
      <c r="E18">
        <f>COUNTIFS($A$2:$A$102,"&gt;=6.130114176",$A$2:$A$102,"&lt;6.811237973")</f>
        <v>0</v>
      </c>
      <c r="F18">
        <f t="shared" si="0"/>
        <v>5.59</v>
      </c>
      <c r="G18">
        <f t="shared" si="1"/>
        <v>6.21</v>
      </c>
      <c r="H18">
        <v>1</v>
      </c>
      <c r="I18">
        <v>1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O18">
        <f t="shared" si="6"/>
        <v>6.4706999999999999</v>
      </c>
      <c r="P18">
        <f t="shared" si="7"/>
        <v>0</v>
      </c>
      <c r="R18">
        <f t="shared" si="8"/>
        <v>6.4706999999999999</v>
      </c>
      <c r="S18">
        <f t="shared" si="9"/>
        <v>0</v>
      </c>
    </row>
    <row r="19" spans="1:19">
      <c r="A19" s="2">
        <v>0.11</v>
      </c>
      <c r="C19">
        <f>$D$5*10</f>
        <v>6.8112379729623118</v>
      </c>
      <c r="D19">
        <f>$D$5*11</f>
        <v>7.492361770258543</v>
      </c>
      <c r="E19">
        <f>COUNTIFS($A$2:$A$102,"&gt;=6.811237973",$A$2:$A$102,"&lt;7.49236177")</f>
        <v>0</v>
      </c>
      <c r="F19">
        <f t="shared" si="0"/>
        <v>6.21</v>
      </c>
      <c r="G19">
        <f t="shared" si="1"/>
        <v>6.82</v>
      </c>
      <c r="H19">
        <v>1</v>
      </c>
      <c r="I19">
        <v>1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O19">
        <f t="shared" si="6"/>
        <v>7.1517999999999997</v>
      </c>
      <c r="P19">
        <f t="shared" si="7"/>
        <v>0</v>
      </c>
      <c r="R19">
        <f t="shared" si="8"/>
        <v>7.1517999999999997</v>
      </c>
      <c r="S19">
        <f t="shared" si="9"/>
        <v>0</v>
      </c>
    </row>
    <row r="20" spans="1:19">
      <c r="A20" s="2">
        <v>0.11</v>
      </c>
      <c r="C20">
        <f>$D$5*11</f>
        <v>7.492361770258543</v>
      </c>
      <c r="D20">
        <f>$D$5*12</f>
        <v>8.1734855675547742</v>
      </c>
      <c r="E20">
        <f>COUNTIFS($A$2:$A$102,"&gt;=7.49236177",$A$2:$A$102,"&lt;8.173485568")</f>
        <v>1</v>
      </c>
      <c r="F20">
        <f t="shared" si="0"/>
        <v>6.82</v>
      </c>
      <c r="G20">
        <f t="shared" si="1"/>
        <v>7.43</v>
      </c>
      <c r="H20">
        <v>1</v>
      </c>
      <c r="I20">
        <v>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O20">
        <f t="shared" si="6"/>
        <v>7.8329000000000004</v>
      </c>
      <c r="P20">
        <f t="shared" si="7"/>
        <v>1</v>
      </c>
      <c r="R20">
        <f t="shared" si="8"/>
        <v>7.8329000000000004</v>
      </c>
      <c r="S20">
        <f t="shared" si="9"/>
        <v>1</v>
      </c>
    </row>
    <row r="21" spans="1:19">
      <c r="A21" s="2">
        <v>0.12</v>
      </c>
      <c r="C21">
        <f>$D$5*12</f>
        <v>8.1734855675547742</v>
      </c>
      <c r="D21">
        <f>$D$5*13</f>
        <v>8.8546093648510045</v>
      </c>
      <c r="E21">
        <f>COUNTIFS($A$2:$A$102,"&gt;=8.173485568",$A$2:$A$102,"&lt;8.854609365")</f>
        <v>0</v>
      </c>
      <c r="F21">
        <f t="shared" si="0"/>
        <v>7.43</v>
      </c>
      <c r="G21">
        <f t="shared" si="1"/>
        <v>8.0399999999999991</v>
      </c>
      <c r="H21">
        <v>1</v>
      </c>
      <c r="I21">
        <v>1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O21">
        <f t="shared" si="6"/>
        <v>8.5139999999999993</v>
      </c>
      <c r="P21">
        <f t="shared" si="7"/>
        <v>0</v>
      </c>
      <c r="R21">
        <f t="shared" si="8"/>
        <v>8.5139999999999993</v>
      </c>
      <c r="S21">
        <f t="shared" si="9"/>
        <v>0</v>
      </c>
    </row>
    <row r="22" spans="1:19">
      <c r="A22" s="2">
        <v>0.13</v>
      </c>
    </row>
    <row r="23" spans="1:19">
      <c r="A23" s="2">
        <v>0.18</v>
      </c>
    </row>
    <row r="24" spans="1:19">
      <c r="A24" s="2">
        <v>0.19</v>
      </c>
    </row>
    <row r="25" spans="1:19">
      <c r="A25" s="2">
        <v>0.2</v>
      </c>
    </row>
    <row r="26" spans="1:19">
      <c r="A26" s="4">
        <v>0.23</v>
      </c>
    </row>
    <row r="27" spans="1:19">
      <c r="A27" s="4">
        <v>0.24</v>
      </c>
    </row>
    <row r="28" spans="1:19">
      <c r="A28" s="2">
        <v>0.24</v>
      </c>
    </row>
    <row r="29" spans="1:19">
      <c r="A29" s="2">
        <v>0.28999999999999998</v>
      </c>
    </row>
    <row r="30" spans="1:19">
      <c r="A30" s="2">
        <v>0.34</v>
      </c>
    </row>
    <row r="31" spans="1:19">
      <c r="A31" s="2">
        <v>0.35</v>
      </c>
    </row>
    <row r="32" spans="1:19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2">
      <c r="A49" s="2">
        <v>0.73</v>
      </c>
    </row>
    <row r="50" spans="1:2">
      <c r="A50" s="2">
        <v>0.79</v>
      </c>
    </row>
    <row r="51" spans="1:2">
      <c r="A51" s="2">
        <v>0.79</v>
      </c>
    </row>
    <row r="52" spans="1:2">
      <c r="A52" s="3">
        <v>0.8</v>
      </c>
      <c r="B52" t="s">
        <v>30</v>
      </c>
    </row>
    <row r="53" spans="1:2">
      <c r="A53" s="2">
        <v>0.8</v>
      </c>
    </row>
    <row r="54" spans="1:2">
      <c r="A54" s="2">
        <v>0.83</v>
      </c>
    </row>
    <row r="55" spans="1:2">
      <c r="A55" s="2">
        <v>0.85</v>
      </c>
    </row>
    <row r="56" spans="1:2">
      <c r="A56" s="2">
        <v>0.9</v>
      </c>
    </row>
    <row r="57" spans="1:2">
      <c r="A57" s="2">
        <v>0.92</v>
      </c>
    </row>
    <row r="58" spans="1:2">
      <c r="A58" s="2">
        <v>0.95</v>
      </c>
    </row>
    <row r="59" spans="1:2">
      <c r="A59" s="2">
        <v>0.99</v>
      </c>
    </row>
    <row r="60" spans="1:2">
      <c r="A60" s="2">
        <v>1</v>
      </c>
    </row>
    <row r="61" spans="1:2">
      <c r="A61" s="2">
        <v>1.01</v>
      </c>
    </row>
    <row r="62" spans="1:2">
      <c r="A62" s="2">
        <v>1.02</v>
      </c>
    </row>
    <row r="63" spans="1:2">
      <c r="A63" s="2">
        <v>1.03</v>
      </c>
    </row>
    <row r="64" spans="1:2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  <row r="104" spans="1:1">
      <c r="A10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D9BA-9204-7148-BBBA-E8F92AA5C824}">
  <dimension ref="A1:P104"/>
  <sheetViews>
    <sheetView topLeftCell="D14" zoomScaleNormal="80" zoomScaleSheetLayoutView="100" workbookViewId="0">
      <selection activeCell="L9" sqref="L9:M21"/>
    </sheetView>
  </sheetViews>
  <sheetFormatPr defaultRowHeight="12.75"/>
  <cols>
    <col min="1" max="1" width="12.28515625" customWidth="1"/>
    <col min="3" max="3" width="15.5703125" customWidth="1"/>
    <col min="4" max="4" width="15" customWidth="1"/>
    <col min="5" max="5" width="13.42578125" customWidth="1"/>
    <col min="6" max="6" width="25.42578125" customWidth="1"/>
    <col min="7" max="7" width="21" customWidth="1"/>
    <col min="8" max="8" width="16.85546875" customWidth="1"/>
    <col min="9" max="9" width="25.5703125" customWidth="1"/>
    <col min="12" max="12" width="21.5703125" customWidth="1"/>
    <col min="13" max="13" width="17.28515625" customWidth="1"/>
    <col min="14" max="14" width="14.140625" customWidth="1"/>
    <col min="15" max="15" width="19.7109375" customWidth="1"/>
    <col min="16" max="16" width="19.85546875" customWidth="1"/>
    <col min="17" max="17" width="18" customWidth="1"/>
  </cols>
  <sheetData>
    <row r="1" spans="1:16">
      <c r="A1" s="1" t="s">
        <v>0</v>
      </c>
    </row>
    <row r="2" spans="1:16">
      <c r="A2" s="2">
        <v>0.01</v>
      </c>
      <c r="C2" t="s">
        <v>10</v>
      </c>
      <c r="D2">
        <v>0.23499999999999999</v>
      </c>
      <c r="F2" t="s">
        <v>11</v>
      </c>
      <c r="G2" s="2">
        <f>AVERAGE(A2:A102)</f>
        <v>1.0238613861386139</v>
      </c>
    </row>
    <row r="3" spans="1:16">
      <c r="A3" s="2">
        <v>0.01</v>
      </c>
      <c r="C3" t="s">
        <v>12</v>
      </c>
      <c r="D3">
        <v>1.4550000000000001</v>
      </c>
      <c r="F3" t="s">
        <v>13</v>
      </c>
      <c r="G3" cm="1">
        <f t="array" ref="G3">SQRT(1/101 * SUM((A2:A102 - G2)^2))</f>
        <v>1.1117971984535526</v>
      </c>
    </row>
    <row r="4" spans="1:16">
      <c r="A4" s="2">
        <v>0.02</v>
      </c>
      <c r="C4" t="s">
        <v>14</v>
      </c>
      <c r="D4">
        <f>D3-D2</f>
        <v>1.2200000000000002</v>
      </c>
    </row>
    <row r="5" spans="1:16">
      <c r="A5" s="2">
        <v>0.02</v>
      </c>
      <c r="C5" t="s">
        <v>15</v>
      </c>
      <c r="D5">
        <f>2.6*D4/101^(1/3)</f>
        <v>0.68112379729623118</v>
      </c>
      <c r="F5" s="8"/>
    </row>
    <row r="6" spans="1:16">
      <c r="A6" s="2">
        <v>0.02</v>
      </c>
      <c r="C6" t="s">
        <v>16</v>
      </c>
      <c r="D6">
        <v>0.97669499999999998</v>
      </c>
    </row>
    <row r="7" spans="1:16">
      <c r="A7" s="2">
        <v>0.03</v>
      </c>
      <c r="L7" t="s">
        <v>17</v>
      </c>
      <c r="O7" t="s">
        <v>18</v>
      </c>
    </row>
    <row r="8" spans="1:16">
      <c r="A8" s="2">
        <v>0.03</v>
      </c>
      <c r="C8" s="1" t="s">
        <v>19</v>
      </c>
      <c r="D8" s="1" t="s">
        <v>20</v>
      </c>
      <c r="E8" s="1" t="s">
        <v>3</v>
      </c>
      <c r="F8" s="1" t="s">
        <v>25</v>
      </c>
      <c r="G8" s="1" t="s">
        <v>26</v>
      </c>
      <c r="H8" s="1" t="s">
        <v>27</v>
      </c>
      <c r="I8" s="1" t="s">
        <v>28</v>
      </c>
      <c r="L8" s="1" t="s">
        <v>2</v>
      </c>
      <c r="M8" s="5" t="s">
        <v>29</v>
      </c>
      <c r="O8" s="1" t="s">
        <v>2</v>
      </c>
      <c r="P8" s="1" t="s">
        <v>28</v>
      </c>
    </row>
    <row r="9" spans="1:16">
      <c r="A9" s="2">
        <v>0.04</v>
      </c>
      <c r="C9">
        <v>0</v>
      </c>
      <c r="D9">
        <f>$D$5</f>
        <v>0.68112379729623118</v>
      </c>
      <c r="E9">
        <f>COUNTIF(A2:A102,"&lt;0.681123797")</f>
        <v>44</v>
      </c>
      <c r="F9">
        <f>$D$6*EXP(-$C9*$D$6)-$D$6*EXP(- $D9*$D$6)</f>
        <v>0.4745322773054016</v>
      </c>
      <c r="G9">
        <f>101*$F9</f>
        <v>47.927760007845563</v>
      </c>
      <c r="H9">
        <f>$E9-$G9</f>
        <v>-3.9277600078455635</v>
      </c>
      <c r="I9">
        <f>SQRT($E9)-SQRT($G9)</f>
        <v>-0.289738214153898</v>
      </c>
      <c r="L9">
        <f>($C9+$D9)/2</f>
        <v>0.34056189864811559</v>
      </c>
      <c r="M9">
        <f>$E9-$G9</f>
        <v>-3.9277600078455635</v>
      </c>
      <c r="O9">
        <f>($C9+$D9)/2</f>
        <v>0.34056189864811559</v>
      </c>
      <c r="P9">
        <f>SQRT($E9)-SQRT($G9)</f>
        <v>-0.289738214153898</v>
      </c>
    </row>
    <row r="10" spans="1:16">
      <c r="A10" s="2">
        <v>0.05</v>
      </c>
      <c r="C10">
        <f>$D$5</f>
        <v>0.68112379729623118</v>
      </c>
      <c r="D10">
        <f>$D$5*2</f>
        <v>1.3622475945924624</v>
      </c>
      <c r="E10">
        <f>COUNTIFS($A$2:$A$102,"&gt;=0.681123797",$A$2:$A$102,"&lt;1.362247595")</f>
        <v>29</v>
      </c>
      <c r="F10">
        <f t="shared" ref="F10:F42" si="0">$D$6*EXP(-$C10*$D$6)-$D$6*EXP(- $D10*$D$6)</f>
        <v>0.24397833548666542</v>
      </c>
      <c r="G10">
        <f t="shared" ref="G10:G42" si="1">101*$F10</f>
        <v>24.641811884153206</v>
      </c>
      <c r="H10">
        <f t="shared" ref="H10:H42" si="2">$E10-$G10</f>
        <v>4.3581881158467937</v>
      </c>
      <c r="I10">
        <f t="shared" ref="I10:I42" si="3">SQRT($E10)-SQRT($G10)</f>
        <v>0.42111284486082035</v>
      </c>
      <c r="L10">
        <f t="shared" ref="L10:L25" si="4">($C10+$D10)/2</f>
        <v>1.0216856959443468</v>
      </c>
      <c r="M10">
        <f t="shared" ref="M10:M25" si="5">$E10-$G10</f>
        <v>4.3581881158467937</v>
      </c>
      <c r="O10">
        <f t="shared" ref="O10:O42" si="6">($C10+$D10)/2</f>
        <v>1.0216856959443468</v>
      </c>
      <c r="P10">
        <f t="shared" ref="P10:P42" si="7">SQRT($E10)-SQRT($G10)</f>
        <v>0.42111284486082035</v>
      </c>
    </row>
    <row r="11" spans="1:16">
      <c r="A11" s="2">
        <v>0.06</v>
      </c>
      <c r="C11">
        <f>$D$5*2</f>
        <v>1.3622475945924624</v>
      </c>
      <c r="D11">
        <f>$D$5*3</f>
        <v>2.0433713918886935</v>
      </c>
      <c r="E11">
        <f>COUNTIFS($A$2:$A$102,"&gt;=1.362247595",$A$2:$A$102,"&lt;2.043371392")</f>
        <v>18</v>
      </c>
      <c r="F11">
        <f t="shared" si="0"/>
        <v>0.12544020930431712</v>
      </c>
      <c r="G11">
        <f t="shared" si="1"/>
        <v>12.669461139736029</v>
      </c>
      <c r="H11">
        <f t="shared" si="2"/>
        <v>5.3305388602639709</v>
      </c>
      <c r="I11">
        <f t="shared" si="3"/>
        <v>0.68322203518523228</v>
      </c>
      <c r="L11">
        <f t="shared" si="4"/>
        <v>1.702809493240578</v>
      </c>
      <c r="M11">
        <f t="shared" si="5"/>
        <v>5.3305388602639709</v>
      </c>
      <c r="O11">
        <f t="shared" si="6"/>
        <v>1.702809493240578</v>
      </c>
      <c r="P11">
        <f t="shared" si="7"/>
        <v>0.68322203518523228</v>
      </c>
    </row>
    <row r="12" spans="1:16">
      <c r="A12" s="2">
        <v>7.0000000000000007E-2</v>
      </c>
      <c r="C12">
        <f>$D$5*3</f>
        <v>2.0433713918886935</v>
      </c>
      <c r="D12">
        <f>$D$5*4</f>
        <v>2.7244951891849247</v>
      </c>
      <c r="E12">
        <f>COUNTIFS($A$2:$A$102,"&gt;=2.043371392",$A$2:$A$102,"&lt;2.724495189")</f>
        <v>4</v>
      </c>
      <c r="F12">
        <f t="shared" si="0"/>
        <v>6.4494439962973299E-2</v>
      </c>
      <c r="G12">
        <f t="shared" si="1"/>
        <v>6.513938436260303</v>
      </c>
      <c r="H12">
        <f t="shared" si="2"/>
        <v>-2.513938436260303</v>
      </c>
      <c r="I12">
        <f t="shared" si="3"/>
        <v>-0.55224184517461117</v>
      </c>
      <c r="L12">
        <f t="shared" si="4"/>
        <v>2.3839332905368091</v>
      </c>
      <c r="M12">
        <f t="shared" si="5"/>
        <v>-2.513938436260303</v>
      </c>
      <c r="O12">
        <f t="shared" si="6"/>
        <v>2.3839332905368091</v>
      </c>
      <c r="P12">
        <f t="shared" si="7"/>
        <v>-0.55224184517461117</v>
      </c>
    </row>
    <row r="13" spans="1:16">
      <c r="A13" s="2">
        <v>7.0000000000000007E-2</v>
      </c>
      <c r="C13">
        <f>$D$5*4</f>
        <v>2.7244951891849247</v>
      </c>
      <c r="D13">
        <f>$D$5*5</f>
        <v>3.4056189864811559</v>
      </c>
      <c r="E13">
        <f>COUNTIFS($A$2:$A$102,"&gt;=2.724495189",$A$2:$A$102,"&lt;3.405618986")</f>
        <v>3</v>
      </c>
      <c r="F13">
        <f t="shared" si="0"/>
        <v>3.3159485377185272E-2</v>
      </c>
      <c r="G13">
        <f t="shared" si="1"/>
        <v>3.3491080230957122</v>
      </c>
      <c r="H13">
        <f t="shared" si="2"/>
        <v>-0.34910802309571221</v>
      </c>
      <c r="I13">
        <f t="shared" si="3"/>
        <v>-9.8006028459914685E-2</v>
      </c>
      <c r="L13">
        <f t="shared" si="4"/>
        <v>3.0650570878330403</v>
      </c>
      <c r="M13">
        <f t="shared" si="5"/>
        <v>-0.34910802309571221</v>
      </c>
      <c r="O13">
        <f t="shared" si="6"/>
        <v>3.0650570878330403</v>
      </c>
      <c r="P13">
        <f t="shared" si="7"/>
        <v>-9.8006028459914685E-2</v>
      </c>
    </row>
    <row r="14" spans="1:16">
      <c r="A14" s="2">
        <v>0.08</v>
      </c>
      <c r="C14">
        <f>$D$5*5</f>
        <v>3.4056189864811559</v>
      </c>
      <c r="D14">
        <f>$D$5*6</f>
        <v>4.0867427837773871</v>
      </c>
      <c r="E14">
        <f>COUNTIFS($A$2:$A$102,"&gt;=3.405618986",$A$2:$A$102,"&lt;4.086742784")</f>
        <v>0</v>
      </c>
      <c r="F14">
        <f t="shared" si="0"/>
        <v>1.7048779260832796E-2</v>
      </c>
      <c r="G14">
        <f t="shared" si="1"/>
        <v>1.7219267053441125</v>
      </c>
      <c r="H14">
        <f t="shared" si="2"/>
        <v>-1.7219267053441125</v>
      </c>
      <c r="I14">
        <f t="shared" si="3"/>
        <v>-1.312222048795139</v>
      </c>
      <c r="L14">
        <f t="shared" si="4"/>
        <v>3.7461808851292715</v>
      </c>
      <c r="M14">
        <f t="shared" si="5"/>
        <v>-1.7219267053441125</v>
      </c>
      <c r="O14">
        <f t="shared" si="6"/>
        <v>3.7461808851292715</v>
      </c>
      <c r="P14">
        <f t="shared" si="7"/>
        <v>-1.312222048795139</v>
      </c>
    </row>
    <row r="15" spans="1:16">
      <c r="A15" s="2">
        <v>0.09</v>
      </c>
      <c r="C15">
        <f>$D$5*6</f>
        <v>4.0867427837773871</v>
      </c>
      <c r="D15">
        <f>$D$5*7</f>
        <v>4.7678665810736183</v>
      </c>
      <c r="E15">
        <f>COUNTIFS($A$2:$A$102,"&gt;=4.086742784",$A$2:$A$102,"&lt;4.767866581")</f>
        <v>2</v>
      </c>
      <c r="F15">
        <f t="shared" si="0"/>
        <v>8.7655423773429723E-3</v>
      </c>
      <c r="G15">
        <f t="shared" si="1"/>
        <v>0.88531978011164025</v>
      </c>
      <c r="H15">
        <f t="shared" si="2"/>
        <v>1.1146802198883599</v>
      </c>
      <c r="I15">
        <f t="shared" si="3"/>
        <v>0.4732992304003909</v>
      </c>
      <c r="L15">
        <f t="shared" si="4"/>
        <v>4.4273046824255022</v>
      </c>
      <c r="M15">
        <f t="shared" si="5"/>
        <v>1.1146802198883599</v>
      </c>
      <c r="O15">
        <f t="shared" si="6"/>
        <v>4.4273046824255022</v>
      </c>
      <c r="P15">
        <f t="shared" si="7"/>
        <v>0.4732992304003909</v>
      </c>
    </row>
    <row r="16" spans="1:16">
      <c r="A16" s="2">
        <v>0.09</v>
      </c>
      <c r="C16">
        <f>$D$5*7</f>
        <v>4.7678665810736183</v>
      </c>
      <c r="D16">
        <f>$D$5*8</f>
        <v>5.4489903783698495</v>
      </c>
      <c r="E16">
        <f>COUNTIFS($A$2:$A$102,"&gt;=4.767866581",$A$2:$A$102,"&lt;5.448990378")</f>
        <v>0</v>
      </c>
      <c r="F16">
        <f t="shared" si="0"/>
        <v>4.5067586361161203E-3</v>
      </c>
      <c r="G16">
        <f t="shared" si="1"/>
        <v>0.45518262224772815</v>
      </c>
      <c r="H16">
        <f t="shared" si="2"/>
        <v>-0.45518262224772815</v>
      </c>
      <c r="I16">
        <f t="shared" si="3"/>
        <v>-0.67467223319751957</v>
      </c>
      <c r="L16">
        <f t="shared" si="4"/>
        <v>5.1084284797217343</v>
      </c>
      <c r="M16">
        <f t="shared" si="5"/>
        <v>-0.45518262224772815</v>
      </c>
      <c r="O16">
        <f t="shared" si="6"/>
        <v>5.1084284797217343</v>
      </c>
      <c r="P16">
        <f t="shared" si="7"/>
        <v>-0.67467223319751957</v>
      </c>
    </row>
    <row r="17" spans="1:16">
      <c r="A17" s="2">
        <v>0.1</v>
      </c>
      <c r="C17">
        <f>$D$5*8</f>
        <v>5.4489903783698495</v>
      </c>
      <c r="D17">
        <f>$D$5*9</f>
        <v>6.1301141756660806</v>
      </c>
      <c r="E17">
        <f>COUNTIFS($A$2:$A$102,"&gt;=5.448990378",$A$2:$A$102,"&lt;6.130114176")</f>
        <v>0</v>
      </c>
      <c r="F17">
        <f t="shared" si="0"/>
        <v>2.3171268279651917E-3</v>
      </c>
      <c r="G17">
        <f t="shared" si="1"/>
        <v>0.23402980962448436</v>
      </c>
      <c r="H17">
        <f t="shared" si="2"/>
        <v>-0.23402980962448436</v>
      </c>
      <c r="I17">
        <f t="shared" si="3"/>
        <v>-0.48376627582385728</v>
      </c>
      <c r="L17">
        <f t="shared" si="4"/>
        <v>5.7895522770179646</v>
      </c>
      <c r="M17">
        <f t="shared" si="5"/>
        <v>-0.23402980962448436</v>
      </c>
      <c r="O17">
        <f t="shared" si="6"/>
        <v>5.7895522770179646</v>
      </c>
      <c r="P17">
        <f t="shared" si="7"/>
        <v>-0.48376627582385728</v>
      </c>
    </row>
    <row r="18" spans="1:16">
      <c r="A18" s="2">
        <v>0.1</v>
      </c>
      <c r="C18">
        <f>$D$5*9</f>
        <v>6.1301141756660806</v>
      </c>
      <c r="D18">
        <f>$D$5*10</f>
        <v>6.8112379729623118</v>
      </c>
      <c r="E18">
        <f>COUNTIFS($A$2:$A$102,"&gt;=6.130114176",$A$2:$A$102,"&lt;6.811237973")</f>
        <v>0</v>
      </c>
      <c r="F18">
        <f t="shared" si="0"/>
        <v>1.1913388691041716E-3</v>
      </c>
      <c r="G18">
        <f t="shared" si="1"/>
        <v>0.12032522577952133</v>
      </c>
      <c r="H18">
        <f t="shared" si="2"/>
        <v>-0.12032522577952133</v>
      </c>
      <c r="I18">
        <f t="shared" si="3"/>
        <v>-0.34687926686315707</v>
      </c>
      <c r="L18">
        <f t="shared" si="4"/>
        <v>6.4706760743141967</v>
      </c>
      <c r="M18">
        <f t="shared" si="5"/>
        <v>-0.12032522577952133</v>
      </c>
      <c r="O18">
        <f t="shared" si="6"/>
        <v>6.4706760743141967</v>
      </c>
      <c r="P18">
        <f t="shared" si="7"/>
        <v>-0.34687926686315707</v>
      </c>
    </row>
    <row r="19" spans="1:16">
      <c r="A19" s="2">
        <v>0.11</v>
      </c>
      <c r="C19">
        <f>$D$5*10</f>
        <v>6.8112379729623118</v>
      </c>
      <c r="D19">
        <f>$D$5*11</f>
        <v>7.492361770258543</v>
      </c>
      <c r="E19">
        <f>COUNTIFS($A$2:$A$102,"&gt;=6.811237973",$A$2:$A$102,"&lt;7.49236177")</f>
        <v>0</v>
      </c>
      <c r="F19">
        <f t="shared" si="0"/>
        <v>6.1252076662750949E-4</v>
      </c>
      <c r="G19">
        <f t="shared" si="1"/>
        <v>6.1864597429378457E-2</v>
      </c>
      <c r="H19">
        <f t="shared" si="2"/>
        <v>-6.1864597429378457E-2</v>
      </c>
      <c r="I19">
        <f t="shared" si="3"/>
        <v>-0.24872594844402235</v>
      </c>
      <c r="L19">
        <f t="shared" si="4"/>
        <v>7.151799871610427</v>
      </c>
      <c r="M19">
        <f t="shared" si="5"/>
        <v>-6.1864597429378457E-2</v>
      </c>
      <c r="O19">
        <f t="shared" si="6"/>
        <v>7.151799871610427</v>
      </c>
      <c r="P19">
        <f t="shared" si="7"/>
        <v>-0.24872594844402235</v>
      </c>
    </row>
    <row r="20" spans="1:16">
      <c r="A20" s="2">
        <v>0.11</v>
      </c>
      <c r="C20">
        <f>$D$5*11</f>
        <v>7.492361770258543</v>
      </c>
      <c r="D20">
        <f>$D$5*12</f>
        <v>8.1734855675547742</v>
      </c>
      <c r="E20">
        <f>COUNTIFS($A$2:$A$102,"&gt;=7.49236177",$A$2:$A$102,"&lt;8.173485568")</f>
        <v>1</v>
      </c>
      <c r="F20">
        <f t="shared" si="0"/>
        <v>3.1492440923384718E-4</v>
      </c>
      <c r="G20">
        <f t="shared" si="1"/>
        <v>3.1807365332618562E-2</v>
      </c>
      <c r="H20">
        <f t="shared" si="2"/>
        <v>0.96819263466738148</v>
      </c>
      <c r="I20">
        <f t="shared" si="3"/>
        <v>0.82165380482718853</v>
      </c>
      <c r="L20">
        <f t="shared" si="4"/>
        <v>7.832923668906659</v>
      </c>
      <c r="M20">
        <f t="shared" si="5"/>
        <v>0.96819263466738148</v>
      </c>
      <c r="O20">
        <f t="shared" si="6"/>
        <v>7.832923668906659</v>
      </c>
      <c r="P20">
        <f t="shared" si="7"/>
        <v>0.82165380482718853</v>
      </c>
    </row>
    <row r="21" spans="1:16">
      <c r="A21" s="2">
        <v>0.12</v>
      </c>
      <c r="C21">
        <f>$D$5*12</f>
        <v>8.1734855675547742</v>
      </c>
      <c r="D21">
        <f>$D$5*13</f>
        <v>8.8546093648510045</v>
      </c>
      <c r="E21">
        <f>COUNTIFS($A$2:$A$102,"&gt;=8.173485568",$A$2:$A$102,"&lt;8.854609365")</f>
        <v>0</v>
      </c>
      <c r="F21">
        <f t="shared" si="0"/>
        <v>1.6191676908743934E-4</v>
      </c>
      <c r="G21">
        <f t="shared" si="1"/>
        <v>1.6353593677831374E-2</v>
      </c>
      <c r="H21">
        <f t="shared" si="2"/>
        <v>-1.6353593677831374E-2</v>
      </c>
      <c r="I21">
        <f t="shared" si="3"/>
        <v>-0.12788117014569178</v>
      </c>
      <c r="L21">
        <f t="shared" si="4"/>
        <v>8.5140474662028893</v>
      </c>
      <c r="M21">
        <f t="shared" si="5"/>
        <v>-1.6353593677831374E-2</v>
      </c>
      <c r="O21">
        <f t="shared" si="6"/>
        <v>8.5140474662028893</v>
      </c>
      <c r="P21">
        <f t="shared" si="7"/>
        <v>-0.12788117014569178</v>
      </c>
    </row>
    <row r="22" spans="1:16">
      <c r="A22" s="2">
        <v>0.13</v>
      </c>
    </row>
    <row r="23" spans="1:16">
      <c r="A23" s="2">
        <v>0.18</v>
      </c>
    </row>
    <row r="24" spans="1:16">
      <c r="A24" s="2">
        <v>0.19</v>
      </c>
    </row>
    <row r="25" spans="1:16">
      <c r="A25" s="2">
        <v>0.2</v>
      </c>
    </row>
    <row r="26" spans="1:16">
      <c r="A26" s="4">
        <v>0.23</v>
      </c>
    </row>
    <row r="27" spans="1:16">
      <c r="A27" s="4">
        <v>0.24</v>
      </c>
    </row>
    <row r="28" spans="1:16">
      <c r="A28" s="2">
        <v>0.24</v>
      </c>
    </row>
    <row r="29" spans="1:16">
      <c r="A29" s="2">
        <v>0.28999999999999998</v>
      </c>
    </row>
    <row r="30" spans="1:16">
      <c r="A30" s="2">
        <v>0.34</v>
      </c>
    </row>
    <row r="31" spans="1:16">
      <c r="A31" s="2">
        <v>0.35</v>
      </c>
    </row>
    <row r="32" spans="1:16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2">
      <c r="A49" s="2">
        <v>0.73</v>
      </c>
    </row>
    <row r="50" spans="1:2">
      <c r="A50" s="2">
        <v>0.79</v>
      </c>
    </row>
    <row r="51" spans="1:2">
      <c r="A51" s="2">
        <v>0.79</v>
      </c>
    </row>
    <row r="52" spans="1:2">
      <c r="A52" s="3">
        <v>0.8</v>
      </c>
      <c r="B52" t="s">
        <v>30</v>
      </c>
    </row>
    <row r="53" spans="1:2">
      <c r="A53" s="2">
        <v>0.8</v>
      </c>
    </row>
    <row r="54" spans="1:2">
      <c r="A54" s="2">
        <v>0.83</v>
      </c>
    </row>
    <row r="55" spans="1:2">
      <c r="A55" s="2">
        <v>0.85</v>
      </c>
    </row>
    <row r="56" spans="1:2">
      <c r="A56" s="2">
        <v>0.9</v>
      </c>
    </row>
    <row r="57" spans="1:2">
      <c r="A57" s="2">
        <v>0.92</v>
      </c>
    </row>
    <row r="58" spans="1:2">
      <c r="A58" s="2">
        <v>0.95</v>
      </c>
    </row>
    <row r="59" spans="1:2">
      <c r="A59" s="2">
        <v>0.99</v>
      </c>
    </row>
    <row r="60" spans="1:2">
      <c r="A60" s="2">
        <v>1</v>
      </c>
    </row>
    <row r="61" spans="1:2">
      <c r="A61" s="2">
        <v>1.01</v>
      </c>
    </row>
    <row r="62" spans="1:2">
      <c r="A62" s="2">
        <v>1.02</v>
      </c>
    </row>
    <row r="63" spans="1:2">
      <c r="A63" s="2">
        <v>1.03</v>
      </c>
    </row>
    <row r="64" spans="1:2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  <row r="104" spans="1:1">
      <c r="A104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4D64-832E-4AC4-8F8A-F15662953AEE}">
  <dimension ref="A1:J104"/>
  <sheetViews>
    <sheetView workbookViewId="0">
      <selection activeCell="E22" sqref="E22"/>
    </sheetView>
  </sheetViews>
  <sheetFormatPr defaultRowHeight="12.75"/>
  <cols>
    <col min="1" max="1" width="12.28515625" customWidth="1"/>
    <col min="4" max="4" width="20.28515625" customWidth="1"/>
    <col min="5" max="5" width="17.5703125" customWidth="1"/>
    <col min="7" max="7" width="13" customWidth="1"/>
  </cols>
  <sheetData>
    <row r="1" spans="1:10">
      <c r="A1" s="1" t="s">
        <v>0</v>
      </c>
      <c r="B1" s="1" t="s">
        <v>31</v>
      </c>
    </row>
    <row r="2" spans="1:10">
      <c r="A2" s="2">
        <v>0.01</v>
      </c>
      <c r="B2">
        <f>LOG10(A2)</f>
        <v>-2</v>
      </c>
      <c r="D2" t="s">
        <v>10</v>
      </c>
      <c r="E2">
        <f>(B26+B27)/2</f>
        <v>-0.62903046113540051</v>
      </c>
    </row>
    <row r="3" spans="1:10">
      <c r="A3" s="2">
        <v>0.01</v>
      </c>
      <c r="B3">
        <f t="shared" ref="B3:B66" si="0">LOG10(A3)</f>
        <v>-2</v>
      </c>
      <c r="D3" t="s">
        <v>12</v>
      </c>
      <c r="E3">
        <f>(B77+B78)/2</f>
        <v>0.16872963064532806</v>
      </c>
    </row>
    <row r="4" spans="1:10">
      <c r="A4" s="2">
        <v>0.02</v>
      </c>
      <c r="B4">
        <f t="shared" si="0"/>
        <v>-1.6989700043360187</v>
      </c>
      <c r="D4" t="s">
        <v>14</v>
      </c>
      <c r="E4">
        <f>E3-E2</f>
        <v>0.7977600917807286</v>
      </c>
    </row>
    <row r="5" spans="1:10">
      <c r="A5" s="2">
        <v>0.02</v>
      </c>
      <c r="B5">
        <f t="shared" si="0"/>
        <v>-1.6989700043360187</v>
      </c>
      <c r="D5" t="s">
        <v>15</v>
      </c>
      <c r="E5">
        <f>2.6*E4/101^(1/3)</f>
        <v>0.4453880188894096</v>
      </c>
    </row>
    <row r="6" spans="1:10">
      <c r="A6" s="2">
        <v>0.02</v>
      </c>
      <c r="B6">
        <f t="shared" si="0"/>
        <v>-1.6989700043360187</v>
      </c>
      <c r="D6" t="s">
        <v>16</v>
      </c>
      <c r="E6">
        <v>0.97669499999999998</v>
      </c>
    </row>
    <row r="7" spans="1:10">
      <c r="A7" s="2">
        <v>0.03</v>
      </c>
      <c r="B7">
        <f t="shared" si="0"/>
        <v>-1.5228787452803376</v>
      </c>
    </row>
    <row r="8" spans="1:10">
      <c r="A8" s="2">
        <v>0.03</v>
      </c>
      <c r="B8">
        <f t="shared" si="0"/>
        <v>-1.5228787452803376</v>
      </c>
      <c r="D8" s="1" t="s">
        <v>19</v>
      </c>
      <c r="E8" s="1" t="s">
        <v>20</v>
      </c>
      <c r="F8" s="1" t="s">
        <v>3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>
      <c r="A9" s="2">
        <v>0.04</v>
      </c>
      <c r="B9">
        <f t="shared" si="0"/>
        <v>-1.3979400086720375</v>
      </c>
      <c r="D9">
        <v>-2</v>
      </c>
      <c r="E9">
        <f>$E$5-2</f>
        <v>-1.5546119811105905</v>
      </c>
      <c r="F9">
        <f>COUNTIFS($B$2:$B$102,"&gt;=-2",$B$2:$B$102,"&lt;-1.554611981")</f>
        <v>5</v>
      </c>
      <c r="G9">
        <f>$E$6*EXP(-$D9*$E$6)-$E$6*EXP(- $E9*$E$6)</f>
        <v>2.4297467074960482</v>
      </c>
      <c r="H9">
        <f>101*$G9</f>
        <v>245.40441745710086</v>
      </c>
      <c r="I9">
        <f>$E9-$G9</f>
        <v>-3.9843586886066387</v>
      </c>
      <c r="J9" t="e">
        <f>SQRT($E9)-SQRT($G9)</f>
        <v>#NUM!</v>
      </c>
    </row>
    <row r="10" spans="1:10">
      <c r="A10" s="2">
        <v>0.05</v>
      </c>
      <c r="B10">
        <f t="shared" si="0"/>
        <v>-1.3010299956639813</v>
      </c>
      <c r="D10">
        <f>$E$5-2</f>
        <v>-1.5546119811105905</v>
      </c>
      <c r="E10">
        <f>$E$5*2-2</f>
        <v>-1.1092239622211808</v>
      </c>
      <c r="F10">
        <f>COUNTIFS($B$2:$B$102,"&gt;=-1.554611981",$B$2:$B$102,"&lt;-1.109223962")</f>
        <v>7</v>
      </c>
      <c r="G10">
        <f t="shared" ref="G10:G16" si="1">$E$6*EXP(-$D10*$E$6)-$E$6*EXP(- $E10*$E$6)</f>
        <v>1.5726762173346551</v>
      </c>
      <c r="H10">
        <f t="shared" ref="H10:H42" si="2">101*$F10</f>
        <v>707</v>
      </c>
      <c r="I10">
        <f t="shared" ref="I10:I42" si="3">$E10-$G10</f>
        <v>-2.6819001795558357</v>
      </c>
      <c r="J10" t="e">
        <f t="shared" ref="J10:J42" si="4">SQRT($E10)-SQRT($G10)</f>
        <v>#NUM!</v>
      </c>
    </row>
    <row r="11" spans="1:10">
      <c r="A11" s="2">
        <v>0.06</v>
      </c>
      <c r="B11">
        <f t="shared" si="0"/>
        <v>-1.2218487496163564</v>
      </c>
      <c r="D11">
        <f>$E$5*2-2</f>
        <v>-1.1092239622211808</v>
      </c>
      <c r="E11">
        <f>$E$5*3-2</f>
        <v>-0.66383594333177109</v>
      </c>
      <c r="F11">
        <f>COUNTIFS($B$2:$B$102,"&gt;=-1.109223962",$B$2:$B$102,"&lt;-0.663835943")</f>
        <v>12</v>
      </c>
      <c r="G11">
        <f t="shared" si="1"/>
        <v>1.0179293491537968</v>
      </c>
      <c r="H11">
        <f t="shared" si="2"/>
        <v>1212</v>
      </c>
      <c r="I11">
        <f t="shared" si="3"/>
        <v>-1.6817652924855679</v>
      </c>
      <c r="J11" t="e">
        <f t="shared" si="4"/>
        <v>#NUM!</v>
      </c>
    </row>
    <row r="12" spans="1:10">
      <c r="A12" s="2">
        <v>7.0000000000000007E-2</v>
      </c>
      <c r="B12">
        <f t="shared" si="0"/>
        <v>-1.1549019599857431</v>
      </c>
      <c r="D12">
        <f>$E$5*3-2</f>
        <v>-0.66383594333177109</v>
      </c>
      <c r="E12">
        <f>$E$5*4-2</f>
        <v>-0.21844792444236161</v>
      </c>
      <c r="F12">
        <f>COUNTIFS($B$2:$B$102,"&gt;=-0.663835943",$B$2:$B$102,"&lt;-0.218447924")</f>
        <v>16</v>
      </c>
      <c r="G12">
        <f t="shared" si="1"/>
        <v>0.65886426490557226</v>
      </c>
      <c r="H12">
        <f t="shared" si="2"/>
        <v>1616</v>
      </c>
      <c r="I12">
        <f t="shared" si="3"/>
        <v>-0.87731218934793387</v>
      </c>
      <c r="J12" t="e">
        <f t="shared" si="4"/>
        <v>#NUM!</v>
      </c>
    </row>
    <row r="13" spans="1:10">
      <c r="A13" s="2">
        <v>7.0000000000000007E-2</v>
      </c>
      <c r="B13">
        <f t="shared" si="0"/>
        <v>-1.1549019599857431</v>
      </c>
      <c r="D13">
        <f>$E$5*4-2</f>
        <v>-0.21844792444236161</v>
      </c>
      <c r="E13">
        <f>$E$5*5-2</f>
        <v>0.22694009444704788</v>
      </c>
      <c r="F13">
        <f>COUNTIFS($B$2:$B$102,"&gt;=-0.218447924",$B$2:$B$102,"&lt;0.226940094")</f>
        <v>47</v>
      </c>
      <c r="G13">
        <f t="shared" si="1"/>
        <v>0.42645604032384832</v>
      </c>
      <c r="H13">
        <f t="shared" si="2"/>
        <v>4747</v>
      </c>
      <c r="I13">
        <f t="shared" si="3"/>
        <v>-0.19951594587680044</v>
      </c>
      <c r="J13">
        <f t="shared" si="4"/>
        <v>-0.17665371900237914</v>
      </c>
    </row>
    <row r="14" spans="1:10">
      <c r="A14" s="2">
        <v>0.08</v>
      </c>
      <c r="B14">
        <f t="shared" si="0"/>
        <v>-1.0969100130080565</v>
      </c>
      <c r="D14">
        <f>$E$5*5-2</f>
        <v>0.22694009444704788</v>
      </c>
      <c r="E14">
        <f>$E$5*6-2</f>
        <v>0.67232811333645781</v>
      </c>
      <c r="F14">
        <f>COUNTIFS($B$2:$B$102,"&gt;=0.226940094",$B$2:$B$102,"&lt;0.672328113")</f>
        <v>13</v>
      </c>
      <c r="G14">
        <f t="shared" si="1"/>
        <v>0.27602764941996139</v>
      </c>
      <c r="H14">
        <f t="shared" si="2"/>
        <v>1313</v>
      </c>
      <c r="I14">
        <f t="shared" si="3"/>
        <v>0.39630046391649643</v>
      </c>
      <c r="J14">
        <f t="shared" si="4"/>
        <v>0.29457282980769928</v>
      </c>
    </row>
    <row r="15" spans="1:10">
      <c r="A15" s="2">
        <v>0.09</v>
      </c>
      <c r="B15">
        <f t="shared" si="0"/>
        <v>-1.0457574905606752</v>
      </c>
      <c r="D15">
        <f>$E$5*6-2</f>
        <v>0.67232811333645781</v>
      </c>
      <c r="E15">
        <f>$E$5*7-2</f>
        <v>1.1177161322258673</v>
      </c>
      <c r="F15">
        <f>COUNTIFS($B$2:$B$102,"&gt;=0.672328113",$B$2:$B$102,"&lt;1.117716132")</f>
        <v>1</v>
      </c>
      <c r="G15">
        <f t="shared" si="1"/>
        <v>0.17866147044476077</v>
      </c>
      <c r="H15">
        <f t="shared" si="2"/>
        <v>101</v>
      </c>
      <c r="I15">
        <f t="shared" si="3"/>
        <v>0.93905466178110653</v>
      </c>
      <c r="J15">
        <f t="shared" si="4"/>
        <v>0.63453729476712106</v>
      </c>
    </row>
    <row r="16" spans="1:10">
      <c r="A16" s="2">
        <v>0.09</v>
      </c>
      <c r="B16">
        <f t="shared" si="0"/>
        <v>-1.0457574905606752</v>
      </c>
      <c r="D16">
        <f>$E$5*7-2</f>
        <v>1.1177161322258673</v>
      </c>
      <c r="E16">
        <f>$E$5*8-2</f>
        <v>1.5631041511152768</v>
      </c>
      <c r="F16">
        <f>COUNTIFS($B$2:$B$102,"&gt;=1.117716132",$B$2:$B$102,"&lt;1.563104151")</f>
        <v>0</v>
      </c>
      <c r="G16">
        <f t="shared" si="1"/>
        <v>0.11564030302239656</v>
      </c>
      <c r="H16">
        <f t="shared" si="2"/>
        <v>0</v>
      </c>
      <c r="I16">
        <f t="shared" si="3"/>
        <v>1.4474638480928803</v>
      </c>
      <c r="J16">
        <f t="shared" si="4"/>
        <v>0.91018237310516348</v>
      </c>
    </row>
    <row r="17" spans="1:2">
      <c r="A17" s="2">
        <v>0.1</v>
      </c>
      <c r="B17">
        <f t="shared" si="0"/>
        <v>-1</v>
      </c>
    </row>
    <row r="18" spans="1:2">
      <c r="A18" s="2">
        <v>0.1</v>
      </c>
      <c r="B18">
        <f t="shared" si="0"/>
        <v>-1</v>
      </c>
    </row>
    <row r="19" spans="1:2">
      <c r="A19" s="2">
        <v>0.11</v>
      </c>
      <c r="B19">
        <f t="shared" si="0"/>
        <v>-0.95860731484177497</v>
      </c>
    </row>
    <row r="20" spans="1:2">
      <c r="A20" s="2">
        <v>0.11</v>
      </c>
      <c r="B20">
        <f t="shared" si="0"/>
        <v>-0.95860731484177497</v>
      </c>
    </row>
    <row r="21" spans="1:2">
      <c r="A21" s="2">
        <v>0.12</v>
      </c>
      <c r="B21">
        <f t="shared" si="0"/>
        <v>-0.92081875395237522</v>
      </c>
    </row>
    <row r="22" spans="1:2">
      <c r="A22" s="2">
        <v>0.13</v>
      </c>
      <c r="B22">
        <f t="shared" si="0"/>
        <v>-0.88605664769316317</v>
      </c>
    </row>
    <row r="23" spans="1:2">
      <c r="A23" s="2">
        <v>0.18</v>
      </c>
      <c r="B23">
        <f t="shared" si="0"/>
        <v>-0.74472749489669399</v>
      </c>
    </row>
    <row r="24" spans="1:2">
      <c r="A24" s="2">
        <v>0.19</v>
      </c>
      <c r="B24">
        <f t="shared" si="0"/>
        <v>-0.72124639904717103</v>
      </c>
    </row>
    <row r="25" spans="1:2">
      <c r="A25" s="2">
        <v>0.2</v>
      </c>
      <c r="B25">
        <f t="shared" si="0"/>
        <v>-0.69897000433601875</v>
      </c>
    </row>
    <row r="26" spans="1:2">
      <c r="A26" s="4">
        <v>0.23</v>
      </c>
      <c r="B26" s="6">
        <f t="shared" si="0"/>
        <v>-0.63827216398240705</v>
      </c>
    </row>
    <row r="27" spans="1:2">
      <c r="A27" s="4">
        <v>0.24</v>
      </c>
      <c r="B27" s="6">
        <f t="shared" si="0"/>
        <v>-0.61978875828839397</v>
      </c>
    </row>
    <row r="28" spans="1:2">
      <c r="A28" s="2">
        <v>0.24</v>
      </c>
      <c r="B28">
        <f t="shared" si="0"/>
        <v>-0.61978875828839397</v>
      </c>
    </row>
    <row r="29" spans="1:2">
      <c r="A29" s="2">
        <v>0.28999999999999998</v>
      </c>
      <c r="B29">
        <f t="shared" si="0"/>
        <v>-0.53760200210104392</v>
      </c>
    </row>
    <row r="30" spans="1:2">
      <c r="A30" s="2">
        <v>0.34</v>
      </c>
      <c r="B30">
        <f t="shared" si="0"/>
        <v>-0.46852108295774486</v>
      </c>
    </row>
    <row r="31" spans="1:2">
      <c r="A31" s="2">
        <v>0.35</v>
      </c>
      <c r="B31">
        <f t="shared" si="0"/>
        <v>-0.45593195564972439</v>
      </c>
    </row>
    <row r="32" spans="1:2">
      <c r="A32" s="2">
        <v>0.36</v>
      </c>
      <c r="B32">
        <f t="shared" si="0"/>
        <v>-0.44369749923271273</v>
      </c>
    </row>
    <row r="33" spans="1:2">
      <c r="A33" s="2">
        <v>0.38</v>
      </c>
      <c r="B33">
        <f t="shared" si="0"/>
        <v>-0.42021640338318983</v>
      </c>
    </row>
    <row r="34" spans="1:2">
      <c r="A34" s="2">
        <v>0.4</v>
      </c>
      <c r="B34">
        <f t="shared" si="0"/>
        <v>-0.3979400086720376</v>
      </c>
    </row>
    <row r="35" spans="1:2">
      <c r="A35" s="2">
        <v>0.42</v>
      </c>
      <c r="B35">
        <f t="shared" si="0"/>
        <v>-0.37675070960209955</v>
      </c>
    </row>
    <row r="36" spans="1:2">
      <c r="A36" s="2">
        <v>0.43</v>
      </c>
      <c r="B36">
        <f t="shared" si="0"/>
        <v>-0.36653154442041347</v>
      </c>
    </row>
    <row r="37" spans="1:2">
      <c r="A37" s="2">
        <v>0.52</v>
      </c>
      <c r="B37">
        <f t="shared" si="0"/>
        <v>-0.28399665636520083</v>
      </c>
    </row>
    <row r="38" spans="1:2">
      <c r="A38" s="2">
        <v>0.54</v>
      </c>
      <c r="B38">
        <f t="shared" si="0"/>
        <v>-0.26760624017703144</v>
      </c>
    </row>
    <row r="39" spans="1:2">
      <c r="A39" s="2">
        <v>0.56000000000000005</v>
      </c>
      <c r="B39">
        <f t="shared" si="0"/>
        <v>-0.25181197299379954</v>
      </c>
    </row>
    <row r="40" spans="1:2">
      <c r="A40" s="2">
        <v>0.6</v>
      </c>
      <c r="B40">
        <f t="shared" si="0"/>
        <v>-0.22184874961635639</v>
      </c>
    </row>
    <row r="41" spans="1:2">
      <c r="A41" s="2">
        <v>0.6</v>
      </c>
      <c r="B41">
        <f t="shared" si="0"/>
        <v>-0.22184874961635639</v>
      </c>
    </row>
    <row r="42" spans="1:2">
      <c r="A42" s="2">
        <v>0.63</v>
      </c>
      <c r="B42">
        <f t="shared" si="0"/>
        <v>-0.20065945054641829</v>
      </c>
    </row>
    <row r="43" spans="1:2">
      <c r="A43" s="2">
        <v>0.65</v>
      </c>
      <c r="B43">
        <f t="shared" si="0"/>
        <v>-0.18708664335714442</v>
      </c>
    </row>
    <row r="44" spans="1:2">
      <c r="A44" s="2">
        <v>0.67</v>
      </c>
      <c r="B44">
        <f t="shared" si="0"/>
        <v>-0.17392519729917355</v>
      </c>
    </row>
    <row r="45" spans="1:2">
      <c r="A45" s="2">
        <v>0.68</v>
      </c>
      <c r="B45">
        <f t="shared" si="0"/>
        <v>-0.16749108729376366</v>
      </c>
    </row>
    <row r="46" spans="1:2">
      <c r="A46" s="2">
        <v>0.72</v>
      </c>
      <c r="B46">
        <f t="shared" si="0"/>
        <v>-0.14266750356873156</v>
      </c>
    </row>
    <row r="47" spans="1:2">
      <c r="A47" s="2">
        <v>0.72</v>
      </c>
      <c r="B47">
        <f t="shared" si="0"/>
        <v>-0.14266750356873156</v>
      </c>
    </row>
    <row r="48" spans="1:2">
      <c r="A48" s="2">
        <v>0.72</v>
      </c>
      <c r="B48">
        <f t="shared" si="0"/>
        <v>-0.14266750356873156</v>
      </c>
    </row>
    <row r="49" spans="1:2">
      <c r="A49" s="2">
        <v>0.73</v>
      </c>
      <c r="B49">
        <f t="shared" si="0"/>
        <v>-0.13667713987954411</v>
      </c>
    </row>
    <row r="50" spans="1:2">
      <c r="A50" s="2">
        <v>0.79</v>
      </c>
      <c r="B50">
        <f t="shared" si="0"/>
        <v>-0.10237290870955855</v>
      </c>
    </row>
    <row r="51" spans="1:2">
      <c r="A51" s="2">
        <v>0.79</v>
      </c>
      <c r="B51">
        <f t="shared" si="0"/>
        <v>-0.10237290870955855</v>
      </c>
    </row>
    <row r="52" spans="1:2">
      <c r="A52" s="3">
        <v>0.8</v>
      </c>
      <c r="B52">
        <f t="shared" si="0"/>
        <v>-9.6910013008056392E-2</v>
      </c>
    </row>
    <row r="53" spans="1:2">
      <c r="A53" s="2">
        <v>0.8</v>
      </c>
      <c r="B53">
        <f t="shared" si="0"/>
        <v>-9.6910013008056392E-2</v>
      </c>
    </row>
    <row r="54" spans="1:2">
      <c r="A54" s="2">
        <v>0.83</v>
      </c>
      <c r="B54">
        <f t="shared" si="0"/>
        <v>-8.092190762392612E-2</v>
      </c>
    </row>
    <row r="55" spans="1:2">
      <c r="A55" s="2">
        <v>0.85</v>
      </c>
      <c r="B55">
        <f t="shared" si="0"/>
        <v>-7.0581074285707285E-2</v>
      </c>
    </row>
    <row r="56" spans="1:2">
      <c r="A56" s="2">
        <v>0.9</v>
      </c>
      <c r="B56">
        <f t="shared" si="0"/>
        <v>-4.5757490560675115E-2</v>
      </c>
    </row>
    <row r="57" spans="1:2">
      <c r="A57" s="2">
        <v>0.92</v>
      </c>
      <c r="B57">
        <f t="shared" si="0"/>
        <v>-3.6212172654444715E-2</v>
      </c>
    </row>
    <row r="58" spans="1:2">
      <c r="A58" s="2">
        <v>0.95</v>
      </c>
      <c r="B58">
        <f t="shared" si="0"/>
        <v>-2.2276394711152253E-2</v>
      </c>
    </row>
    <row r="59" spans="1:2">
      <c r="A59" s="2">
        <v>0.99</v>
      </c>
      <c r="B59">
        <f t="shared" si="0"/>
        <v>-4.3648054024500883E-3</v>
      </c>
    </row>
    <row r="60" spans="1:2">
      <c r="A60" s="2">
        <v>1</v>
      </c>
      <c r="B60">
        <f t="shared" si="0"/>
        <v>0</v>
      </c>
    </row>
    <row r="61" spans="1:2">
      <c r="A61" s="2">
        <v>1.01</v>
      </c>
      <c r="B61">
        <f t="shared" si="0"/>
        <v>4.3213737826425782E-3</v>
      </c>
    </row>
    <row r="62" spans="1:2">
      <c r="A62" s="2">
        <v>1.02</v>
      </c>
      <c r="B62">
        <f t="shared" si="0"/>
        <v>8.6001717619175692E-3</v>
      </c>
    </row>
    <row r="63" spans="1:2">
      <c r="A63" s="2">
        <v>1.03</v>
      </c>
      <c r="B63">
        <f t="shared" si="0"/>
        <v>1.2837224705172217E-2</v>
      </c>
    </row>
    <row r="64" spans="1:2">
      <c r="A64" s="2">
        <v>1.05</v>
      </c>
      <c r="B64">
        <f t="shared" si="0"/>
        <v>2.1189299069938092E-2</v>
      </c>
    </row>
    <row r="65" spans="1:2">
      <c r="A65" s="2">
        <v>1.1000000000000001</v>
      </c>
      <c r="B65">
        <f t="shared" si="0"/>
        <v>4.1392685158225077E-2</v>
      </c>
    </row>
    <row r="66" spans="1:2">
      <c r="A66" s="2">
        <v>1.1000000000000001</v>
      </c>
      <c r="B66">
        <f t="shared" si="0"/>
        <v>4.1392685158225077E-2</v>
      </c>
    </row>
    <row r="67" spans="1:2">
      <c r="A67" s="2">
        <v>1.1100000000000001</v>
      </c>
      <c r="B67">
        <f t="shared" ref="B67:B102" si="5">LOG10(A67)</f>
        <v>4.5322978786657475E-2</v>
      </c>
    </row>
    <row r="68" spans="1:2">
      <c r="A68" s="2">
        <v>1.1499999999999999</v>
      </c>
      <c r="B68">
        <f t="shared" si="5"/>
        <v>6.069784035361165E-2</v>
      </c>
    </row>
    <row r="69" spans="1:2">
      <c r="A69" s="2">
        <v>1.18</v>
      </c>
      <c r="B69">
        <f t="shared" si="5"/>
        <v>7.1882007306125359E-2</v>
      </c>
    </row>
    <row r="70" spans="1:2">
      <c r="A70" s="2">
        <v>1.2</v>
      </c>
      <c r="B70">
        <f t="shared" si="5"/>
        <v>7.9181246047624818E-2</v>
      </c>
    </row>
    <row r="71" spans="1:2">
      <c r="A71" s="2">
        <v>1.29</v>
      </c>
      <c r="B71">
        <f t="shared" si="5"/>
        <v>0.11058971029924898</v>
      </c>
    </row>
    <row r="72" spans="1:2">
      <c r="A72" s="2">
        <v>1.31</v>
      </c>
      <c r="B72">
        <f t="shared" si="5"/>
        <v>0.11727129565576427</v>
      </c>
    </row>
    <row r="73" spans="1:2">
      <c r="A73" s="2">
        <v>1.33</v>
      </c>
      <c r="B73">
        <f t="shared" si="5"/>
        <v>0.12385164096708581</v>
      </c>
    </row>
    <row r="74" spans="1:2">
      <c r="A74" s="2">
        <v>1.34</v>
      </c>
      <c r="B74">
        <f t="shared" si="5"/>
        <v>0.12710479836480765</v>
      </c>
    </row>
    <row r="75" spans="1:2">
      <c r="A75" s="2">
        <v>1.4</v>
      </c>
      <c r="B75">
        <f t="shared" si="5"/>
        <v>0.14612803567823801</v>
      </c>
    </row>
    <row r="76" spans="1:2">
      <c r="A76" s="2">
        <v>1.43</v>
      </c>
      <c r="B76">
        <f t="shared" si="5"/>
        <v>0.1553360374650618</v>
      </c>
    </row>
    <row r="77" spans="1:2">
      <c r="A77" s="7">
        <v>1.45</v>
      </c>
      <c r="B77" s="6">
        <f t="shared" si="5"/>
        <v>0.16136800223497488</v>
      </c>
    </row>
    <row r="78" spans="1:2">
      <c r="A78" s="7">
        <v>1.5</v>
      </c>
      <c r="B78" s="6">
        <f t="shared" si="5"/>
        <v>0.17609125905568124</v>
      </c>
    </row>
    <row r="79" spans="1:2">
      <c r="A79" s="2">
        <v>1.51</v>
      </c>
      <c r="B79">
        <f t="shared" si="5"/>
        <v>0.17897694729316943</v>
      </c>
    </row>
    <row r="80" spans="1:2">
      <c r="A80" s="2">
        <v>1.52</v>
      </c>
      <c r="B80">
        <f t="shared" si="5"/>
        <v>0.18184358794477254</v>
      </c>
    </row>
    <row r="81" spans="1:2">
      <c r="A81" s="2">
        <v>1.53</v>
      </c>
      <c r="B81">
        <f t="shared" si="5"/>
        <v>0.18469143081759881</v>
      </c>
    </row>
    <row r="82" spans="1:2">
      <c r="A82" s="2">
        <v>1.54</v>
      </c>
      <c r="B82">
        <f t="shared" si="5"/>
        <v>0.18752072083646307</v>
      </c>
    </row>
    <row r="83" spans="1:2">
      <c r="A83" s="2">
        <v>1.54</v>
      </c>
      <c r="B83">
        <f t="shared" si="5"/>
        <v>0.18752072083646307</v>
      </c>
    </row>
    <row r="84" spans="1:2">
      <c r="A84" s="2">
        <v>1.55</v>
      </c>
      <c r="B84">
        <f t="shared" si="5"/>
        <v>0.1903316981702915</v>
      </c>
    </row>
    <row r="85" spans="1:2">
      <c r="A85" s="2">
        <v>1.58</v>
      </c>
      <c r="B85">
        <f t="shared" si="5"/>
        <v>0.19865708695442263</v>
      </c>
    </row>
    <row r="86" spans="1:2">
      <c r="A86" s="2">
        <v>1.6</v>
      </c>
      <c r="B86">
        <f t="shared" si="5"/>
        <v>0.20411998265592479</v>
      </c>
    </row>
    <row r="87" spans="1:2">
      <c r="A87" s="2">
        <v>1.63</v>
      </c>
      <c r="B87">
        <f t="shared" si="5"/>
        <v>0.21218760440395779</v>
      </c>
    </row>
    <row r="88" spans="1:2">
      <c r="A88" s="2">
        <v>1.64</v>
      </c>
      <c r="B88">
        <f t="shared" si="5"/>
        <v>0.21484384804769785</v>
      </c>
    </row>
    <row r="89" spans="1:2">
      <c r="A89" s="2">
        <v>1.8</v>
      </c>
      <c r="B89">
        <f t="shared" si="5"/>
        <v>0.25527250510330607</v>
      </c>
    </row>
    <row r="90" spans="1:2">
      <c r="A90" s="2">
        <v>1.8</v>
      </c>
      <c r="B90">
        <f t="shared" si="5"/>
        <v>0.25527250510330607</v>
      </c>
    </row>
    <row r="91" spans="1:2">
      <c r="A91" s="2">
        <v>1.81</v>
      </c>
      <c r="B91">
        <f t="shared" si="5"/>
        <v>0.2576785748691845</v>
      </c>
    </row>
    <row r="92" spans="1:2">
      <c r="A92" s="2">
        <v>2.02</v>
      </c>
      <c r="B92">
        <f t="shared" si="5"/>
        <v>0.30535136944662378</v>
      </c>
    </row>
    <row r="93" spans="1:2">
      <c r="A93" s="2">
        <v>2.0499999999999998</v>
      </c>
      <c r="B93">
        <f t="shared" si="5"/>
        <v>0.31175386105575426</v>
      </c>
    </row>
    <row r="94" spans="1:2">
      <c r="A94" s="2">
        <v>2.14</v>
      </c>
      <c r="B94">
        <f t="shared" si="5"/>
        <v>0.33041377334919086</v>
      </c>
    </row>
    <row r="95" spans="1:2">
      <c r="A95" s="2">
        <v>2.17</v>
      </c>
      <c r="B95">
        <f t="shared" si="5"/>
        <v>0.33645973384852951</v>
      </c>
    </row>
    <row r="96" spans="1:2">
      <c r="A96" s="2">
        <v>2.33</v>
      </c>
      <c r="B96">
        <f t="shared" si="5"/>
        <v>0.36735592102601899</v>
      </c>
    </row>
    <row r="97" spans="1:2">
      <c r="A97" s="2">
        <v>3.03</v>
      </c>
      <c r="B97">
        <f t="shared" si="5"/>
        <v>0.48144262850230496</v>
      </c>
    </row>
    <row r="98" spans="1:2">
      <c r="A98" s="2">
        <v>3.03</v>
      </c>
      <c r="B98">
        <f t="shared" si="5"/>
        <v>0.48144262850230496</v>
      </c>
    </row>
    <row r="99" spans="1:2">
      <c r="A99" s="2">
        <v>3.24</v>
      </c>
      <c r="B99">
        <f t="shared" si="5"/>
        <v>0.51054501020661214</v>
      </c>
    </row>
    <row r="100" spans="1:2">
      <c r="A100" s="2">
        <v>4.2</v>
      </c>
      <c r="B100">
        <f t="shared" si="5"/>
        <v>0.62324929039790045</v>
      </c>
    </row>
    <row r="101" spans="1:2">
      <c r="A101" s="2">
        <v>4.6900000000000004</v>
      </c>
      <c r="B101">
        <f t="shared" si="5"/>
        <v>0.67117284271508326</v>
      </c>
    </row>
    <row r="102" spans="1:2">
      <c r="A102" s="2">
        <v>7.89</v>
      </c>
      <c r="B102">
        <f t="shared" si="5"/>
        <v>0.8970770032094203</v>
      </c>
    </row>
    <row r="104" spans="1:2">
      <c r="A10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8B7D-1A60-D744-9CD7-D5EEAD46D5E6}">
  <dimension ref="A1:H102"/>
  <sheetViews>
    <sheetView zoomScaleNormal="80" zoomScaleSheetLayoutView="100" workbookViewId="0">
      <selection activeCell="O32" sqref="O32"/>
    </sheetView>
  </sheetViews>
  <sheetFormatPr defaultRowHeight="12.75"/>
  <cols>
    <col min="1" max="1" width="7.28515625" customWidth="1"/>
    <col min="2" max="2" width="10.7109375" customWidth="1"/>
    <col min="3" max="3" width="15.28515625" customWidth="1"/>
    <col min="4" max="4" width="12.2851562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0</v>
      </c>
    </row>
    <row r="2" spans="1:8">
      <c r="A2">
        <v>1</v>
      </c>
      <c r="B2">
        <f>A2/$A$102</f>
        <v>9.9009900990099011E-3</v>
      </c>
      <c r="C2">
        <f xml:space="preserve"> - LN(1-B2)</f>
        <v>9.950330853168092E-3</v>
      </c>
      <c r="D2" s="2">
        <v>0.01</v>
      </c>
      <c r="F2" t="s">
        <v>35</v>
      </c>
      <c r="H2" t="s">
        <v>36</v>
      </c>
    </row>
    <row r="3" spans="1:8">
      <c r="A3">
        <v>2</v>
      </c>
      <c r="B3">
        <f>A3/$A$102</f>
        <v>1.9801980198019802E-2</v>
      </c>
      <c r="C3">
        <f t="shared" ref="C3:C66" si="0" xml:space="preserve"> - LN(1-B3)</f>
        <v>2.0000666706669543E-2</v>
      </c>
      <c r="D3" s="2">
        <v>0.01</v>
      </c>
    </row>
    <row r="4" spans="1:8">
      <c r="A4">
        <v>3</v>
      </c>
      <c r="B4">
        <f>A4/$A$102</f>
        <v>2.9702970297029702E-2</v>
      </c>
      <c r="C4">
        <f t="shared" si="0"/>
        <v>3.0153038170687558E-2</v>
      </c>
      <c r="D4" s="2">
        <v>0.02</v>
      </c>
    </row>
    <row r="5" spans="1:8">
      <c r="A5">
        <v>4</v>
      </c>
      <c r="B5">
        <f>A5/$A$102</f>
        <v>3.9603960396039604E-2</v>
      </c>
      <c r="C5">
        <f t="shared" si="0"/>
        <v>4.0409538337876666E-2</v>
      </c>
      <c r="D5" s="2">
        <v>0.02</v>
      </c>
    </row>
    <row r="6" spans="1:8">
      <c r="A6">
        <v>5</v>
      </c>
      <c r="B6">
        <f>A6/$A$102</f>
        <v>4.9504950495049507E-2</v>
      </c>
      <c r="C6">
        <f t="shared" si="0"/>
        <v>5.0772325373423258E-2</v>
      </c>
      <c r="D6" s="2">
        <v>0.02</v>
      </c>
    </row>
    <row r="7" spans="1:8">
      <c r="A7">
        <v>6</v>
      </c>
      <c r="B7">
        <f>A7/$A$102</f>
        <v>5.9405940594059403E-2</v>
      </c>
      <c r="C7">
        <f t="shared" si="0"/>
        <v>6.124362524071867E-2</v>
      </c>
      <c r="D7" s="2">
        <v>0.03</v>
      </c>
    </row>
    <row r="8" spans="1:8">
      <c r="A8">
        <v>7</v>
      </c>
      <c r="B8">
        <f>A8/$A$102</f>
        <v>6.9306930693069313E-2</v>
      </c>
      <c r="C8">
        <f t="shared" si="0"/>
        <v>7.1825734571255614E-2</v>
      </c>
      <c r="D8" s="2">
        <v>0.03</v>
      </c>
    </row>
    <row r="9" spans="1:8">
      <c r="A9">
        <v>8</v>
      </c>
      <c r="B9">
        <f>A9/$A$102</f>
        <v>7.9207920792079209E-2</v>
      </c>
      <c r="C9">
        <f t="shared" si="0"/>
        <v>8.2521023688003473E-2</v>
      </c>
      <c r="D9" s="2">
        <v>0.04</v>
      </c>
    </row>
    <row r="10" spans="1:8">
      <c r="A10">
        <v>9</v>
      </c>
      <c r="B10">
        <f>A10/$A$102</f>
        <v>8.9108910891089105E-2</v>
      </c>
      <c r="C10">
        <f t="shared" si="0"/>
        <v>9.3331939792219112E-2</v>
      </c>
      <c r="D10" s="2">
        <v>0.05</v>
      </c>
    </row>
    <row r="11" spans="1:8">
      <c r="A11">
        <v>10</v>
      </c>
      <c r="B11">
        <f>A11/$A$102</f>
        <v>9.9009900990099015E-2</v>
      </c>
      <c r="C11">
        <f t="shared" si="0"/>
        <v>0.10426101032440939</v>
      </c>
      <c r="D11" s="2">
        <v>0.06</v>
      </c>
    </row>
    <row r="12" spans="1:8">
      <c r="A12">
        <v>11</v>
      </c>
      <c r="B12">
        <f>A12/$A$102</f>
        <v>0.10891089108910891</v>
      </c>
      <c r="C12">
        <f t="shared" si="0"/>
        <v>0.11531084651099437</v>
      </c>
      <c r="D12" s="2">
        <v>7.0000000000000007E-2</v>
      </c>
    </row>
    <row r="13" spans="1:8">
      <c r="A13">
        <v>12</v>
      </c>
      <c r="B13">
        <f>A13/$A$102</f>
        <v>0.11881188118811881</v>
      </c>
      <c r="C13">
        <f t="shared" si="0"/>
        <v>0.12648414710911959</v>
      </c>
      <c r="D13" s="2">
        <v>7.0000000000000007E-2</v>
      </c>
    </row>
    <row r="14" spans="1:8">
      <c r="A14">
        <v>13</v>
      </c>
      <c r="B14">
        <f>A14/$A$102</f>
        <v>0.12871287128712872</v>
      </c>
      <c r="C14">
        <f t="shared" si="0"/>
        <v>0.13778370236305298</v>
      </c>
      <c r="D14" s="2">
        <v>0.08</v>
      </c>
    </row>
    <row r="15" spans="1:8">
      <c r="A15">
        <v>14</v>
      </c>
      <c r="B15">
        <f>A15/$A$102</f>
        <v>0.13861386138613863</v>
      </c>
      <c r="C15">
        <f t="shared" si="0"/>
        <v>0.14921239818667575</v>
      </c>
      <c r="D15" s="2">
        <v>0.09</v>
      </c>
    </row>
    <row r="16" spans="1:8">
      <c r="A16">
        <v>15</v>
      </c>
      <c r="B16">
        <f>A16/$A$102</f>
        <v>0.14851485148514851</v>
      </c>
      <c r="C16">
        <f t="shared" si="0"/>
        <v>0.16077322058775173</v>
      </c>
      <c r="D16" s="2">
        <v>0.09</v>
      </c>
    </row>
    <row r="17" spans="1:4">
      <c r="A17">
        <v>16</v>
      </c>
      <c r="B17">
        <f>A17/$A$102</f>
        <v>0.15841584158415842</v>
      </c>
      <c r="C17">
        <f t="shared" si="0"/>
        <v>0.17246926035094304</v>
      </c>
      <c r="D17" s="2">
        <v>0.1</v>
      </c>
    </row>
    <row r="18" spans="1:4">
      <c r="A18">
        <v>17</v>
      </c>
      <c r="B18">
        <f>A18/$A$102</f>
        <v>0.16831683168316833</v>
      </c>
      <c r="C18">
        <f t="shared" si="0"/>
        <v>0.18430371799794587</v>
      </c>
      <c r="D18" s="2">
        <v>0.1</v>
      </c>
    </row>
    <row r="19" spans="1:4">
      <c r="A19">
        <v>18</v>
      </c>
      <c r="B19">
        <f>A19/$A$102</f>
        <v>0.17821782178217821</v>
      </c>
      <c r="C19">
        <f t="shared" si="0"/>
        <v>0.19627990904466144</v>
      </c>
      <c r="D19" s="2">
        <v>0.11</v>
      </c>
    </row>
    <row r="20" spans="1:4">
      <c r="A20">
        <v>19</v>
      </c>
      <c r="B20">
        <f>A20/$A$102</f>
        <v>0.18811881188118812</v>
      </c>
      <c r="C20">
        <f t="shared" si="0"/>
        <v>0.20840126957700628</v>
      </c>
      <c r="D20" s="2">
        <v>0.11</v>
      </c>
    </row>
    <row r="21" spans="1:4">
      <c r="A21">
        <v>20</v>
      </c>
      <c r="B21">
        <f>A21/$A$102</f>
        <v>0.19801980198019803</v>
      </c>
      <c r="C21">
        <f t="shared" si="0"/>
        <v>0.22067136216882063</v>
      </c>
      <c r="D21" s="2">
        <v>0.12</v>
      </c>
    </row>
    <row r="22" spans="1:4">
      <c r="A22">
        <v>21</v>
      </c>
      <c r="B22">
        <f>A22/$A$102</f>
        <v>0.20792079207920791</v>
      </c>
      <c r="C22">
        <f t="shared" si="0"/>
        <v>0.23309388216737778</v>
      </c>
      <c r="D22" s="2">
        <v>0.13</v>
      </c>
    </row>
    <row r="23" spans="1:4">
      <c r="A23">
        <v>22</v>
      </c>
      <c r="B23">
        <f>A23/$A$102</f>
        <v>0.21782178217821782</v>
      </c>
      <c r="C23">
        <f t="shared" si="0"/>
        <v>0.24567266437423793</v>
      </c>
      <c r="D23" s="2">
        <v>0.18</v>
      </c>
    </row>
    <row r="24" spans="1:4">
      <c r="A24">
        <v>23</v>
      </c>
      <c r="B24">
        <f>A24/$A$102</f>
        <v>0.22772277227722773</v>
      </c>
      <c r="C24">
        <f t="shared" si="0"/>
        <v>0.25841169015166771</v>
      </c>
      <c r="D24" s="2">
        <v>0.19</v>
      </c>
    </row>
    <row r="25" spans="1:4">
      <c r="A25">
        <v>24</v>
      </c>
      <c r="B25">
        <f>A25/$A$102</f>
        <v>0.23762376237623761</v>
      </c>
      <c r="C25">
        <f t="shared" si="0"/>
        <v>0.27131509498757561</v>
      </c>
      <c r="D25" s="2">
        <v>0.2</v>
      </c>
    </row>
    <row r="26" spans="1:4">
      <c r="A26">
        <v>25</v>
      </c>
      <c r="B26">
        <f>A26/$A$102</f>
        <v>0.24752475247524752</v>
      </c>
      <c r="C26">
        <f t="shared" si="0"/>
        <v>0.28438717655492834</v>
      </c>
      <c r="D26" s="2">
        <v>0.23</v>
      </c>
    </row>
    <row r="27" spans="1:4">
      <c r="A27">
        <v>26</v>
      </c>
      <c r="B27">
        <f>A27/$A$102</f>
        <v>0.25742574257425743</v>
      </c>
      <c r="C27">
        <f t="shared" si="0"/>
        <v>0.297632403304949</v>
      </c>
      <c r="D27" s="2">
        <v>0.24</v>
      </c>
    </row>
    <row r="28" spans="1:4">
      <c r="A28">
        <v>27</v>
      </c>
      <c r="B28">
        <f>A28/$A$102</f>
        <v>0.26732673267326734</v>
      </c>
      <c r="C28">
        <f t="shared" si="0"/>
        <v>0.31105542363708971</v>
      </c>
      <c r="D28" s="2">
        <v>0.24</v>
      </c>
    </row>
    <row r="29" spans="1:4">
      <c r="A29">
        <v>28</v>
      </c>
      <c r="B29">
        <f>A29/$A$102</f>
        <v>0.27722772277227725</v>
      </c>
      <c r="C29">
        <f t="shared" si="0"/>
        <v>0.32466107569286834</v>
      </c>
      <c r="D29" s="2">
        <v>0.28999999999999998</v>
      </c>
    </row>
    <row r="30" spans="1:4">
      <c r="A30">
        <v>29</v>
      </c>
      <c r="B30">
        <f>A30/$A$102</f>
        <v>0.28712871287128711</v>
      </c>
      <c r="C30">
        <f t="shared" si="0"/>
        <v>0.3384543978252042</v>
      </c>
      <c r="D30" s="2">
        <v>0.34</v>
      </c>
    </row>
    <row r="31" spans="1:4">
      <c r="A31">
        <v>30</v>
      </c>
      <c r="B31">
        <f>A31/$A$102</f>
        <v>0.29702970297029702</v>
      </c>
      <c r="C31">
        <f t="shared" si="0"/>
        <v>0.35244063979994411</v>
      </c>
      <c r="D31" s="2">
        <v>0.35</v>
      </c>
    </row>
    <row r="32" spans="1:4">
      <c r="A32">
        <v>31</v>
      </c>
      <c r="B32">
        <f>A32/$A$102</f>
        <v>0.30693069306930693</v>
      </c>
      <c r="C32">
        <f t="shared" si="0"/>
        <v>0.36662527479190055</v>
      </c>
      <c r="D32" s="2">
        <v>0.36</v>
      </c>
    </row>
    <row r="33" spans="1:4">
      <c r="A33">
        <v>32</v>
      </c>
      <c r="B33">
        <f>A33/$A$102</f>
        <v>0.31683168316831684</v>
      </c>
      <c r="C33">
        <f t="shared" si="0"/>
        <v>0.38101401224400017</v>
      </c>
      <c r="D33" s="2">
        <v>0.38</v>
      </c>
    </row>
    <row r="34" spans="1:4">
      <c r="A34">
        <v>33</v>
      </c>
      <c r="B34">
        <f>A34/$A$102</f>
        <v>0.32673267326732675</v>
      </c>
      <c r="C34">
        <f t="shared" si="0"/>
        <v>0.39561281166515283</v>
      </c>
      <c r="D34" s="2">
        <v>0.4</v>
      </c>
    </row>
    <row r="35" spans="1:4">
      <c r="A35">
        <v>34</v>
      </c>
      <c r="B35">
        <f>A35/$A$102</f>
        <v>0.33663366336633666</v>
      </c>
      <c r="C35">
        <f t="shared" si="0"/>
        <v>0.41042789745029351</v>
      </c>
      <c r="D35" s="2">
        <v>0.42</v>
      </c>
    </row>
    <row r="36" spans="1:4">
      <c r="A36">
        <v>35</v>
      </c>
      <c r="B36">
        <f>A36/$A$102</f>
        <v>0.34653465346534651</v>
      </c>
      <c r="C36">
        <f t="shared" si="0"/>
        <v>0.42546577481483389</v>
      </c>
      <c r="D36" s="2">
        <v>0.43</v>
      </c>
    </row>
    <row r="37" spans="1:4">
      <c r="A37">
        <v>36</v>
      </c>
      <c r="B37">
        <f>A37/$A$102</f>
        <v>0.35643564356435642</v>
      </c>
      <c r="C37">
        <f t="shared" si="0"/>
        <v>0.44073324694562233</v>
      </c>
      <c r="D37" s="2">
        <v>0.52</v>
      </c>
    </row>
    <row r="38" spans="1:4">
      <c r="A38">
        <v>37</v>
      </c>
      <c r="B38">
        <f>A38/$A$102</f>
        <v>0.36633663366336633</v>
      </c>
      <c r="C38">
        <f t="shared" si="0"/>
        <v>0.45623743348158757</v>
      </c>
      <c r="D38" s="2">
        <v>0.54</v>
      </c>
    </row>
    <row r="39" spans="1:4">
      <c r="A39">
        <v>38</v>
      </c>
      <c r="B39">
        <f>A39/$A$102</f>
        <v>0.37623762376237624</v>
      </c>
      <c r="C39">
        <f t="shared" si="0"/>
        <v>0.47198579044972677</v>
      </c>
      <c r="D39" s="2">
        <v>0.56000000000000005</v>
      </c>
    </row>
    <row r="40" spans="1:4">
      <c r="A40">
        <v>39</v>
      </c>
      <c r="B40">
        <f>A40/$A$102</f>
        <v>0.38613861386138615</v>
      </c>
      <c r="C40">
        <f t="shared" si="0"/>
        <v>0.4879861317961679</v>
      </c>
      <c r="D40" s="2">
        <v>0.6</v>
      </c>
    </row>
    <row r="41" spans="1:4">
      <c r="A41">
        <v>40</v>
      </c>
      <c r="B41">
        <f>A41/$A$102</f>
        <v>0.39603960396039606</v>
      </c>
      <c r="C41">
        <f t="shared" si="0"/>
        <v>0.50424665266794821</v>
      </c>
      <c r="D41" s="2">
        <v>0.6</v>
      </c>
    </row>
    <row r="42" spans="1:4">
      <c r="A42">
        <v>41</v>
      </c>
      <c r="B42">
        <f>A42/$A$102</f>
        <v>0.40594059405940597</v>
      </c>
      <c r="C42">
        <f t="shared" si="0"/>
        <v>0.52077595461915882</v>
      </c>
      <c r="D42" s="2">
        <v>0.63</v>
      </c>
    </row>
    <row r="43" spans="1:4">
      <c r="A43">
        <v>42</v>
      </c>
      <c r="B43">
        <f>A43/$A$102</f>
        <v>0.41584158415841582</v>
      </c>
      <c r="C43">
        <f t="shared" si="0"/>
        <v>0.53758307293553986</v>
      </c>
      <c r="D43" s="2">
        <v>0.65</v>
      </c>
    </row>
    <row r="44" spans="1:4">
      <c r="A44">
        <v>43</v>
      </c>
      <c r="B44">
        <f>A44/$A$102</f>
        <v>0.42574257425742573</v>
      </c>
      <c r="C44">
        <f t="shared" si="0"/>
        <v>0.55467750629484003</v>
      </c>
      <c r="D44" s="2">
        <v>0.67</v>
      </c>
    </row>
    <row r="45" spans="1:4">
      <c r="A45">
        <v>44</v>
      </c>
      <c r="B45">
        <f>A45/$A$102</f>
        <v>0.43564356435643564</v>
      </c>
      <c r="C45">
        <f t="shared" si="0"/>
        <v>0.57206924900670919</v>
      </c>
      <c r="D45" s="2">
        <v>0.68</v>
      </c>
    </row>
    <row r="46" spans="1:4">
      <c r="A46">
        <v>45</v>
      </c>
      <c r="B46">
        <f>A46/$A$102</f>
        <v>0.44554455445544555</v>
      </c>
      <c r="C46">
        <f t="shared" si="0"/>
        <v>0.58976882610611014</v>
      </c>
      <c r="D46" s="2">
        <v>0.72</v>
      </c>
    </row>
    <row r="47" spans="1:4">
      <c r="A47">
        <v>46</v>
      </c>
      <c r="B47">
        <f>A47/$A$102</f>
        <v>0.45544554455445546</v>
      </c>
      <c r="C47">
        <f t="shared" si="0"/>
        <v>0.60778733160878851</v>
      </c>
      <c r="D47" s="2">
        <v>0.72</v>
      </c>
    </row>
    <row r="48" spans="1:4">
      <c r="A48">
        <v>47</v>
      </c>
      <c r="B48">
        <f>A48/$A$102</f>
        <v>0.46534653465346537</v>
      </c>
      <c r="C48">
        <f t="shared" si="0"/>
        <v>0.62613647027698505</v>
      </c>
      <c r="D48" s="2">
        <v>0.72</v>
      </c>
    </row>
    <row r="49" spans="1:4">
      <c r="A49">
        <v>48</v>
      </c>
      <c r="B49">
        <f>A49/$A$102</f>
        <v>0.47524752475247523</v>
      </c>
      <c r="C49">
        <f t="shared" si="0"/>
        <v>0.6448286032891376</v>
      </c>
      <c r="D49" s="2">
        <v>0.73</v>
      </c>
    </row>
    <row r="50" spans="1:4">
      <c r="A50">
        <v>49</v>
      </c>
      <c r="B50">
        <f>A50/$A$102</f>
        <v>0.48514851485148514</v>
      </c>
      <c r="C50">
        <f t="shared" si="0"/>
        <v>0.66387679825983203</v>
      </c>
      <c r="D50" s="2">
        <v>0.79</v>
      </c>
    </row>
    <row r="51" spans="1:4">
      <c r="A51">
        <v>50</v>
      </c>
      <c r="B51">
        <f>A51/$A$102</f>
        <v>0.49504950495049505</v>
      </c>
      <c r="C51">
        <f t="shared" si="0"/>
        <v>0.68329488411693362</v>
      </c>
      <c r="D51" s="2">
        <v>0.79</v>
      </c>
    </row>
    <row r="52" spans="1:4">
      <c r="A52">
        <v>51</v>
      </c>
      <c r="B52">
        <f>A52/$A$102</f>
        <v>0.50495049504950495</v>
      </c>
      <c r="C52">
        <f t="shared" si="0"/>
        <v>0.70309751141311339</v>
      </c>
      <c r="D52" s="2">
        <v>0.8</v>
      </c>
    </row>
    <row r="53" spans="1:4">
      <c r="A53">
        <v>52</v>
      </c>
      <c r="B53">
        <f>A53/$A$102</f>
        <v>0.51485148514851486</v>
      </c>
      <c r="C53">
        <f t="shared" si="0"/>
        <v>0.72330021873063288</v>
      </c>
      <c r="D53" s="2">
        <v>0.8</v>
      </c>
    </row>
    <row r="54" spans="1:4">
      <c r="A54">
        <v>53</v>
      </c>
      <c r="B54">
        <f>A54/$A$102</f>
        <v>0.52475247524752477</v>
      </c>
      <c r="C54">
        <f t="shared" si="0"/>
        <v>0.74391950593336853</v>
      </c>
      <c r="D54" s="2">
        <v>0.83</v>
      </c>
    </row>
    <row r="55" spans="1:4">
      <c r="A55">
        <v>54</v>
      </c>
      <c r="B55">
        <f>A55/$A$102</f>
        <v>0.53465346534653468</v>
      </c>
      <c r="C55">
        <f t="shared" si="0"/>
        <v>0.76497291513120091</v>
      </c>
      <c r="D55" s="2">
        <v>0.85</v>
      </c>
    </row>
    <row r="56" spans="1:4">
      <c r="A56">
        <v>55</v>
      </c>
      <c r="B56">
        <f>A56/$A$102</f>
        <v>0.54455445544554459</v>
      </c>
      <c r="C56">
        <f t="shared" si="0"/>
        <v>0.7864791203521645</v>
      </c>
      <c r="D56" s="2">
        <v>0.9</v>
      </c>
    </row>
    <row r="57" spans="1:4">
      <c r="A57">
        <v>56</v>
      </c>
      <c r="B57">
        <f>A57/$A$102</f>
        <v>0.5544554455445545</v>
      </c>
      <c r="C57">
        <f t="shared" si="0"/>
        <v>0.80845802707093983</v>
      </c>
      <c r="D57" s="2">
        <v>0.92</v>
      </c>
    </row>
    <row r="58" spans="1:4">
      <c r="A58">
        <v>57</v>
      </c>
      <c r="B58">
        <f>A58/$A$102</f>
        <v>0.5643564356435643</v>
      </c>
      <c r="C58">
        <f t="shared" si="0"/>
        <v>0.83093088292299822</v>
      </c>
      <c r="D58" s="2">
        <v>0.95</v>
      </c>
    </row>
    <row r="59" spans="1:4">
      <c r="A59">
        <v>58</v>
      </c>
      <c r="B59">
        <f>A59/$A$102</f>
        <v>0.57425742574257421</v>
      </c>
      <c r="C59">
        <f t="shared" si="0"/>
        <v>0.85392040114769696</v>
      </c>
      <c r="D59" s="2">
        <v>0.99</v>
      </c>
    </row>
    <row r="60" spans="1:4">
      <c r="A60">
        <v>59</v>
      </c>
      <c r="B60">
        <f>A60/$A$102</f>
        <v>0.58415841584158412</v>
      </c>
      <c r="C60">
        <f t="shared" si="0"/>
        <v>0.87745089855789105</v>
      </c>
      <c r="D60" s="2">
        <v>1</v>
      </c>
    </row>
    <row r="61" spans="1:4">
      <c r="A61">
        <v>60</v>
      </c>
      <c r="B61">
        <f>A61/$A$102</f>
        <v>0.59405940594059403</v>
      </c>
      <c r="C61">
        <f t="shared" si="0"/>
        <v>0.90154845013695162</v>
      </c>
      <c r="D61" s="2">
        <v>1.01</v>
      </c>
    </row>
    <row r="62" spans="1:4">
      <c r="A62">
        <v>61</v>
      </c>
      <c r="B62">
        <f>A62/$A$102</f>
        <v>0.60396039603960394</v>
      </c>
      <c r="C62">
        <f t="shared" si="0"/>
        <v>0.92624106272732309</v>
      </c>
      <c r="D62" s="2">
        <v>1.02</v>
      </c>
    </row>
    <row r="63" spans="1:4">
      <c r="A63">
        <v>62</v>
      </c>
      <c r="B63">
        <f>A63/$A$102</f>
        <v>0.61386138613861385</v>
      </c>
      <c r="C63">
        <f t="shared" si="0"/>
        <v>0.95155887071161305</v>
      </c>
      <c r="D63" s="2">
        <v>1.03</v>
      </c>
    </row>
    <row r="64" spans="1:4">
      <c r="A64">
        <v>63</v>
      </c>
      <c r="B64">
        <f>A64/$A$102</f>
        <v>0.62376237623762376</v>
      </c>
      <c r="C64">
        <f t="shared" si="0"/>
        <v>0.97753435711487369</v>
      </c>
      <c r="D64" s="2">
        <v>1.05</v>
      </c>
    </row>
    <row r="65" spans="1:4">
      <c r="A65">
        <v>64</v>
      </c>
      <c r="B65">
        <f>A65/$A$102</f>
        <v>0.63366336633663367</v>
      </c>
      <c r="C65">
        <f t="shared" si="0"/>
        <v>1.0042026041970351</v>
      </c>
      <c r="D65" s="2">
        <v>1.1000000000000001</v>
      </c>
    </row>
    <row r="66" spans="1:4">
      <c r="A66">
        <v>65</v>
      </c>
      <c r="B66">
        <f>A66/$A$102</f>
        <v>0.64356435643564358</v>
      </c>
      <c r="C66">
        <f t="shared" si="0"/>
        <v>1.0316015783851495</v>
      </c>
      <c r="D66" s="2">
        <v>1.1000000000000001</v>
      </c>
    </row>
    <row r="67" spans="1:4">
      <c r="A67">
        <v>66</v>
      </c>
      <c r="B67">
        <f>A67/$A$102</f>
        <v>0.65346534653465349</v>
      </c>
      <c r="C67">
        <f t="shared" ref="C67:C102" si="1" xml:space="preserve"> - LN(1-B67)</f>
        <v>1.0597724553518459</v>
      </c>
      <c r="D67" s="2">
        <v>1.1100000000000001</v>
      </c>
    </row>
    <row r="68" spans="1:4">
      <c r="A68">
        <v>67</v>
      </c>
      <c r="B68">
        <f>A68/$A$102</f>
        <v>0.6633663366336634</v>
      </c>
      <c r="C68">
        <f t="shared" si="1"/>
        <v>1.0887599922250981</v>
      </c>
      <c r="D68" s="2">
        <v>1.1499999999999999</v>
      </c>
    </row>
    <row r="69" spans="1:4">
      <c r="A69">
        <v>68</v>
      </c>
      <c r="B69">
        <f>A69/$A$102</f>
        <v>0.67326732673267331</v>
      </c>
      <c r="C69">
        <f t="shared" si="1"/>
        <v>1.1186129553747794</v>
      </c>
      <c r="D69" s="2">
        <v>1.18</v>
      </c>
    </row>
    <row r="70" spans="1:4">
      <c r="A70">
        <v>69</v>
      </c>
      <c r="B70">
        <f>A70/$A$102</f>
        <v>0.68316831683168322</v>
      </c>
      <c r="C70">
        <f t="shared" si="1"/>
        <v>1.1493846140415331</v>
      </c>
      <c r="D70" s="2">
        <v>1.2</v>
      </c>
    </row>
    <row r="71" spans="1:4">
      <c r="A71">
        <v>70</v>
      </c>
      <c r="B71">
        <f>A71/$A$102</f>
        <v>0.69306930693069302</v>
      </c>
      <c r="C71">
        <f t="shared" si="1"/>
        <v>1.181133312356113</v>
      </c>
      <c r="D71" s="2">
        <v>1.29</v>
      </c>
    </row>
    <row r="72" spans="1:4">
      <c r="A72">
        <v>71</v>
      </c>
      <c r="B72">
        <f>A72/$A$102</f>
        <v>0.70297029702970293</v>
      </c>
      <c r="C72">
        <f t="shared" si="1"/>
        <v>1.213923135179104</v>
      </c>
      <c r="D72" s="2">
        <v>1.31</v>
      </c>
    </row>
    <row r="73" spans="1:4">
      <c r="A73">
        <v>72</v>
      </c>
      <c r="B73">
        <f>A73/$A$102</f>
        <v>0.71287128712871284</v>
      </c>
      <c r="C73">
        <f t="shared" si="1"/>
        <v>1.2478246868547853</v>
      </c>
      <c r="D73" s="2">
        <v>1.33</v>
      </c>
    </row>
    <row r="74" spans="1:4">
      <c r="A74">
        <v>73</v>
      </c>
      <c r="B74">
        <f>A74/$A$102</f>
        <v>0.72277227722772275</v>
      </c>
      <c r="C74">
        <f t="shared" si="1"/>
        <v>1.2829160066660554</v>
      </c>
      <c r="D74" s="2">
        <v>1.34</v>
      </c>
    </row>
    <row r="75" spans="1:4">
      <c r="A75">
        <v>74</v>
      </c>
      <c r="B75">
        <f>A75/$A$102</f>
        <v>0.73267326732673266</v>
      </c>
      <c r="C75">
        <f t="shared" si="1"/>
        <v>1.3192836508369303</v>
      </c>
      <c r="D75" s="2">
        <v>1.4</v>
      </c>
    </row>
    <row r="76" spans="1:4">
      <c r="A76">
        <v>75</v>
      </c>
      <c r="B76">
        <f>A76/$A$102</f>
        <v>0.74257425742574257</v>
      </c>
      <c r="C76">
        <f t="shared" si="1"/>
        <v>1.3570239788197773</v>
      </c>
      <c r="D76" s="2">
        <v>1.43</v>
      </c>
    </row>
    <row r="77" spans="1:4">
      <c r="A77">
        <v>76</v>
      </c>
      <c r="B77">
        <f>A77/$A$102</f>
        <v>0.75247524752475248</v>
      </c>
      <c r="C77">
        <f t="shared" si="1"/>
        <v>1.3962446919730587</v>
      </c>
      <c r="D77" s="2">
        <v>1.45</v>
      </c>
    </row>
    <row r="78" spans="1:4">
      <c r="A78">
        <v>77</v>
      </c>
      <c r="B78">
        <f>A78/$A$102</f>
        <v>0.76237623762376239</v>
      </c>
      <c r="C78">
        <f t="shared" si="1"/>
        <v>1.4370666864933139</v>
      </c>
      <c r="D78" s="2">
        <v>1.5</v>
      </c>
    </row>
    <row r="79" spans="1:4">
      <c r="A79">
        <v>78</v>
      </c>
      <c r="B79">
        <f>A79/$A$102</f>
        <v>0.7722772277227723</v>
      </c>
      <c r="C79">
        <f t="shared" si="1"/>
        <v>1.4796263009121098</v>
      </c>
      <c r="D79" s="2">
        <v>1.51</v>
      </c>
    </row>
    <row r="80" spans="1:4">
      <c r="A80">
        <v>79</v>
      </c>
      <c r="B80">
        <f>A80/$A$102</f>
        <v>0.78217821782178221</v>
      </c>
      <c r="C80">
        <f t="shared" si="1"/>
        <v>1.5240780634829438</v>
      </c>
      <c r="D80" s="2">
        <v>1.52</v>
      </c>
    </row>
    <row r="81" spans="1:4">
      <c r="A81">
        <v>80</v>
      </c>
      <c r="B81">
        <f>A81/$A$102</f>
        <v>0.79207920792079212</v>
      </c>
      <c r="C81">
        <f t="shared" si="1"/>
        <v>1.5705980791178367</v>
      </c>
      <c r="D81" s="2">
        <v>1.53</v>
      </c>
    </row>
    <row r="82" spans="1:4">
      <c r="A82">
        <v>81</v>
      </c>
      <c r="B82">
        <f>A82/$A$102</f>
        <v>0.80198019801980203</v>
      </c>
      <c r="C82">
        <f t="shared" si="1"/>
        <v>1.6193882432872686</v>
      </c>
      <c r="D82" s="2">
        <v>1.54</v>
      </c>
    </row>
    <row r="83" spans="1:4">
      <c r="A83">
        <v>82</v>
      </c>
      <c r="B83">
        <f>A83/$A$102</f>
        <v>0.81188118811881194</v>
      </c>
      <c r="C83">
        <f t="shared" si="1"/>
        <v>1.6706815376748192</v>
      </c>
      <c r="D83" s="2">
        <v>1.54</v>
      </c>
    </row>
    <row r="84" spans="1:4">
      <c r="A84">
        <v>83</v>
      </c>
      <c r="B84">
        <f>A84/$A$102</f>
        <v>0.82178217821782173</v>
      </c>
      <c r="C84">
        <f t="shared" si="1"/>
        <v>1.7247487589450945</v>
      </c>
      <c r="D84" s="2">
        <v>1.55</v>
      </c>
    </row>
    <row r="85" spans="1:4">
      <c r="A85">
        <v>84</v>
      </c>
      <c r="B85">
        <f>A85/$A$102</f>
        <v>0.83168316831683164</v>
      </c>
      <c r="C85">
        <f t="shared" si="1"/>
        <v>1.7819071727850431</v>
      </c>
      <c r="D85" s="2">
        <v>1.58</v>
      </c>
    </row>
    <row r="86" spans="1:4">
      <c r="A86">
        <v>85</v>
      </c>
      <c r="B86">
        <f>A86/$A$102</f>
        <v>0.84158415841584155</v>
      </c>
      <c r="C86">
        <f t="shared" si="1"/>
        <v>1.8425317946014781</v>
      </c>
      <c r="D86" s="2">
        <v>1.6</v>
      </c>
    </row>
    <row r="87" spans="1:4">
      <c r="A87">
        <v>86</v>
      </c>
      <c r="B87">
        <f>A87/$A$102</f>
        <v>0.85148514851485146</v>
      </c>
      <c r="C87">
        <f t="shared" si="1"/>
        <v>1.9070703157390492</v>
      </c>
      <c r="D87" s="2">
        <v>1.63</v>
      </c>
    </row>
    <row r="88" spans="1:4">
      <c r="A88">
        <v>87</v>
      </c>
      <c r="B88">
        <f>A88/$A$102</f>
        <v>0.86138613861386137</v>
      </c>
      <c r="C88">
        <f t="shared" si="1"/>
        <v>1.9760631872260008</v>
      </c>
      <c r="D88" s="2">
        <v>1.64</v>
      </c>
    </row>
    <row r="89" spans="1:4">
      <c r="A89">
        <v>88</v>
      </c>
      <c r="B89">
        <f>A89/$A$102</f>
        <v>0.87128712871287128</v>
      </c>
      <c r="C89">
        <f t="shared" si="1"/>
        <v>2.0501711593797225</v>
      </c>
      <c r="D89" s="2">
        <v>1.8</v>
      </c>
    </row>
    <row r="90" spans="1:4">
      <c r="A90">
        <v>89</v>
      </c>
      <c r="B90">
        <f>A90/$A$102</f>
        <v>0.88118811881188119</v>
      </c>
      <c r="C90">
        <f t="shared" si="1"/>
        <v>2.1302138670532593</v>
      </c>
      <c r="D90" s="2">
        <v>1.8</v>
      </c>
    </row>
    <row r="91" spans="1:4">
      <c r="A91">
        <v>90</v>
      </c>
      <c r="B91">
        <f>A91/$A$102</f>
        <v>0.8910891089108911</v>
      </c>
      <c r="C91">
        <f t="shared" si="1"/>
        <v>2.217225244042889</v>
      </c>
      <c r="D91" s="2">
        <v>1.81</v>
      </c>
    </row>
    <row r="92" spans="1:4">
      <c r="A92">
        <v>91</v>
      </c>
      <c r="B92">
        <f>A92/$A$102</f>
        <v>0.90099009900990101</v>
      </c>
      <c r="C92">
        <f t="shared" si="1"/>
        <v>2.3125354238472142</v>
      </c>
      <c r="D92" s="2">
        <v>2.02</v>
      </c>
    </row>
    <row r="93" spans="1:4">
      <c r="A93">
        <v>92</v>
      </c>
      <c r="B93">
        <f>A93/$A$102</f>
        <v>0.91089108910891092</v>
      </c>
      <c r="C93">
        <f t="shared" si="1"/>
        <v>2.4178959395050406</v>
      </c>
      <c r="D93" s="2">
        <v>2.0499999999999998</v>
      </c>
    </row>
    <row r="94" spans="1:4">
      <c r="A94">
        <v>93</v>
      </c>
      <c r="B94">
        <f>A94/$A$102</f>
        <v>0.92079207920792083</v>
      </c>
      <c r="C94">
        <f t="shared" si="1"/>
        <v>2.5356789751614239</v>
      </c>
      <c r="D94" s="2">
        <v>2.14</v>
      </c>
    </row>
    <row r="95" spans="1:4">
      <c r="A95">
        <v>94</v>
      </c>
      <c r="B95">
        <f>A95/$A$102</f>
        <v>0.93069306930693074</v>
      </c>
      <c r="C95">
        <f t="shared" si="1"/>
        <v>2.6692103677859467</v>
      </c>
      <c r="D95" s="2">
        <v>2.17</v>
      </c>
    </row>
    <row r="96" spans="1:4">
      <c r="A96">
        <v>95</v>
      </c>
      <c r="B96">
        <f>A96/$A$102</f>
        <v>0.94059405940594054</v>
      </c>
      <c r="C96">
        <f t="shared" si="1"/>
        <v>2.8233610476132034</v>
      </c>
      <c r="D96" s="2">
        <v>2.33</v>
      </c>
    </row>
    <row r="97" spans="1:4">
      <c r="A97">
        <v>96</v>
      </c>
      <c r="B97">
        <f>A97/$A$102</f>
        <v>0.95049504950495045</v>
      </c>
      <c r="C97">
        <f t="shared" si="1"/>
        <v>3.0056826044071583</v>
      </c>
      <c r="D97" s="2">
        <v>3.03</v>
      </c>
    </row>
    <row r="98" spans="1:4">
      <c r="A98">
        <v>97</v>
      </c>
      <c r="B98">
        <f>A98/$A$102</f>
        <v>0.96039603960396036</v>
      </c>
      <c r="C98">
        <f t="shared" si="1"/>
        <v>3.228826155721368</v>
      </c>
      <c r="D98" s="2">
        <v>3.03</v>
      </c>
    </row>
    <row r="99" spans="1:4">
      <c r="A99">
        <v>98</v>
      </c>
      <c r="B99">
        <f>A99/$A$102</f>
        <v>0.97029702970297027</v>
      </c>
      <c r="C99">
        <f t="shared" si="1"/>
        <v>3.5165082281731488</v>
      </c>
      <c r="D99" s="2">
        <v>3.24</v>
      </c>
    </row>
    <row r="100" spans="1:4">
      <c r="A100">
        <v>99</v>
      </c>
      <c r="B100">
        <f>A100/$A$102</f>
        <v>0.98019801980198018</v>
      </c>
      <c r="C100">
        <f t="shared" si="1"/>
        <v>3.9219733362813134</v>
      </c>
      <c r="D100" s="2">
        <v>4.2</v>
      </c>
    </row>
    <row r="101" spans="1:4">
      <c r="A101">
        <v>100</v>
      </c>
      <c r="B101">
        <f>A101/$A$102</f>
        <v>0.99009900990099009</v>
      </c>
      <c r="C101">
        <f t="shared" si="1"/>
        <v>4.6151205168412588</v>
      </c>
      <c r="D101" s="2">
        <v>4.6900000000000004</v>
      </c>
    </row>
    <row r="102" spans="1:4">
      <c r="A102">
        <v>101</v>
      </c>
      <c r="B102">
        <f>A102/$A$102</f>
        <v>1</v>
      </c>
      <c r="C102" t="e">
        <f t="shared" si="1"/>
        <v>#NUM!</v>
      </c>
      <c r="D102" s="2">
        <v>7.89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5DAC-0F24-7744-A44E-010ADB788D4B}">
  <dimension ref="A1:J102"/>
  <sheetViews>
    <sheetView zoomScaleNormal="80" zoomScaleSheetLayoutView="100" workbookViewId="0">
      <selection activeCell="D2" sqref="D2"/>
    </sheetView>
  </sheetViews>
  <sheetFormatPr defaultRowHeight="12.75"/>
  <cols>
    <col min="2" max="2" width="7.2851562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37</v>
      </c>
    </row>
    <row r="2" spans="1:10">
      <c r="A2" s="2">
        <v>0.01</v>
      </c>
      <c r="B2">
        <v>1</v>
      </c>
      <c r="C2">
        <f>B2/$B$102</f>
        <v>9.9009900990099011E-3</v>
      </c>
      <c r="D2" s="2">
        <f>1-EXP(-0.976695*A2)</f>
        <v>9.7194082490449363E-3</v>
      </c>
      <c r="G2" t="s">
        <v>38</v>
      </c>
    </row>
    <row r="3" spans="1:10">
      <c r="A3" s="2">
        <v>0.01</v>
      </c>
      <c r="B3">
        <v>2</v>
      </c>
      <c r="C3">
        <f>B3/$B$102</f>
        <v>1.9801980198019802E-2</v>
      </c>
      <c r="D3" s="2">
        <f t="shared" ref="D3:D66" si="0">1-EXP(-0.976695*A3)</f>
        <v>9.7194082490449363E-3</v>
      </c>
    </row>
    <row r="4" spans="1:10">
      <c r="A4" s="2">
        <v>0.02</v>
      </c>
      <c r="B4">
        <v>3</v>
      </c>
      <c r="C4">
        <f>B4/$B$102</f>
        <v>2.9702970297029702E-2</v>
      </c>
      <c r="D4" s="2">
        <f t="shared" si="0"/>
        <v>1.9344349601378319E-2</v>
      </c>
      <c r="G4" t="s">
        <v>39</v>
      </c>
      <c r="J4" t="s">
        <v>40</v>
      </c>
    </row>
    <row r="5" spans="1:10">
      <c r="A5" s="2">
        <v>0.02</v>
      </c>
      <c r="B5">
        <v>4</v>
      </c>
      <c r="C5">
        <f>B5/$B$102</f>
        <v>3.9603960396039604E-2</v>
      </c>
      <c r="D5" s="2">
        <f t="shared" si="0"/>
        <v>1.9344349601378319E-2</v>
      </c>
      <c r="J5" t="s">
        <v>41</v>
      </c>
    </row>
    <row r="6" spans="1:10">
      <c r="A6" s="2">
        <v>0.02</v>
      </c>
      <c r="B6">
        <v>5</v>
      </c>
      <c r="C6">
        <f>B6/$B$102</f>
        <v>4.9504950495049507E-2</v>
      </c>
      <c r="D6" s="2">
        <f t="shared" si="0"/>
        <v>1.9344349601378319E-2</v>
      </c>
    </row>
    <row r="7" spans="1:10">
      <c r="A7" s="2">
        <v>0.03</v>
      </c>
      <c r="B7">
        <v>6</v>
      </c>
      <c r="C7">
        <f>B7/$B$102</f>
        <v>5.9405940594059403E-2</v>
      </c>
      <c r="D7" s="2">
        <f t="shared" si="0"/>
        <v>2.8875742219335199E-2</v>
      </c>
    </row>
    <row r="8" spans="1:10">
      <c r="A8" s="2">
        <v>0.03</v>
      </c>
      <c r="B8">
        <v>7</v>
      </c>
      <c r="C8">
        <f>B8/$B$102</f>
        <v>6.9306930693069313E-2</v>
      </c>
      <c r="D8" s="2">
        <f t="shared" si="0"/>
        <v>2.8875742219335199E-2</v>
      </c>
    </row>
    <row r="9" spans="1:10">
      <c r="A9" s="2">
        <v>0.04</v>
      </c>
      <c r="B9">
        <v>8</v>
      </c>
      <c r="C9">
        <f>B9/$B$102</f>
        <v>7.9207920792079209E-2</v>
      </c>
      <c r="D9" s="2">
        <f t="shared" si="0"/>
        <v>3.8314495341256305E-2</v>
      </c>
    </row>
    <row r="10" spans="1:10">
      <c r="A10" s="2">
        <v>0.05</v>
      </c>
      <c r="B10">
        <v>9</v>
      </c>
      <c r="C10">
        <f>B10/$B$102</f>
        <v>8.9108910891089105E-2</v>
      </c>
      <c r="D10" s="2">
        <f t="shared" si="0"/>
        <v>4.7661509368223443E-2</v>
      </c>
    </row>
    <row r="11" spans="1:10">
      <c r="A11" s="2">
        <v>0.06</v>
      </c>
      <c r="B11">
        <v>10</v>
      </c>
      <c r="C11">
        <f>B11/$B$102</f>
        <v>9.9009900990099015E-2</v>
      </c>
      <c r="D11" s="2">
        <f t="shared" si="0"/>
        <v>5.6917675949953006E-2</v>
      </c>
    </row>
    <row r="12" spans="1:10">
      <c r="A12" s="2">
        <v>7.0000000000000007E-2</v>
      </c>
      <c r="B12">
        <v>11</v>
      </c>
      <c r="C12">
        <f>B12/$B$102</f>
        <v>0.10891089108910891</v>
      </c>
      <c r="D12" s="2">
        <f t="shared" si="0"/>
        <v>6.6083878069853497E-2</v>
      </c>
    </row>
    <row r="13" spans="1:10">
      <c r="A13" s="2">
        <v>7.0000000000000007E-2</v>
      </c>
      <c r="B13">
        <v>12</v>
      </c>
      <c r="C13">
        <f>B13/$B$102</f>
        <v>0.11881188118811881</v>
      </c>
      <c r="D13" s="2">
        <f t="shared" si="0"/>
        <v>6.6083878069853497E-2</v>
      </c>
    </row>
    <row r="14" spans="1:10">
      <c r="A14" s="2">
        <v>0.08</v>
      </c>
      <c r="B14">
        <v>13</v>
      </c>
      <c r="C14">
        <f>B14/$B$102</f>
        <v>0.12871287128712872</v>
      </c>
      <c r="D14" s="2">
        <f t="shared" si="0"/>
        <v>7.5160990129257477E-2</v>
      </c>
    </row>
    <row r="15" spans="1:10">
      <c r="A15" s="2">
        <v>0.09</v>
      </c>
      <c r="B15">
        <v>14</v>
      </c>
      <c r="C15">
        <f>B15/$B$102</f>
        <v>0.13861386138613863</v>
      </c>
      <c r="D15" s="2">
        <f t="shared" si="0"/>
        <v>8.4149878030833736E-2</v>
      </c>
    </row>
    <row r="16" spans="1:10">
      <c r="A16" s="2">
        <v>0.09</v>
      </c>
      <c r="B16">
        <v>15</v>
      </c>
      <c r="C16">
        <f>B16/$B$102</f>
        <v>0.14851485148514851</v>
      </c>
      <c r="D16" s="2">
        <f t="shared" si="0"/>
        <v>8.4149878030833736E-2</v>
      </c>
    </row>
    <row r="17" spans="1:4">
      <c r="A17" s="2">
        <v>0.1</v>
      </c>
      <c r="B17">
        <v>16</v>
      </c>
      <c r="C17">
        <f>B17/$B$102</f>
        <v>0.15841584158415842</v>
      </c>
      <c r="D17" s="2">
        <f t="shared" si="0"/>
        <v>9.305139926118966E-2</v>
      </c>
    </row>
    <row r="18" spans="1:4">
      <c r="A18" s="2">
        <v>0.1</v>
      </c>
      <c r="B18">
        <v>17</v>
      </c>
      <c r="C18">
        <f>B18/$B$102</f>
        <v>0.16831683168316833</v>
      </c>
      <c r="D18" s="2">
        <f t="shared" si="0"/>
        <v>9.305139926118966E-2</v>
      </c>
    </row>
    <row r="19" spans="1:4">
      <c r="A19" s="2">
        <v>0.11</v>
      </c>
      <c r="B19">
        <v>18</v>
      </c>
      <c r="C19">
        <f>B19/$B$102</f>
        <v>0.17821782178217821</v>
      </c>
      <c r="D19" s="2">
        <f t="shared" si="0"/>
        <v>0.10186640297267024</v>
      </c>
    </row>
    <row r="20" spans="1:4">
      <c r="A20" s="2">
        <v>0.11</v>
      </c>
      <c r="B20">
        <v>19</v>
      </c>
      <c r="C20">
        <f>B20/$B$102</f>
        <v>0.18811881188118812</v>
      </c>
      <c r="D20" s="2">
        <f t="shared" si="0"/>
        <v>0.10186640297267024</v>
      </c>
    </row>
    <row r="21" spans="1:4">
      <c r="A21" s="2">
        <v>0.12</v>
      </c>
      <c r="B21">
        <v>20</v>
      </c>
      <c r="C21">
        <f>B21/$B$102</f>
        <v>0.19801980198019803</v>
      </c>
      <c r="D21" s="2">
        <f t="shared" si="0"/>
        <v>0.11059573006436207</v>
      </c>
    </row>
    <row r="22" spans="1:4">
      <c r="A22" s="2">
        <v>0.13</v>
      </c>
      <c r="B22">
        <v>21</v>
      </c>
      <c r="C22">
        <f>B22/$B$102</f>
        <v>0.20792079207920791</v>
      </c>
      <c r="D22" s="2">
        <f t="shared" si="0"/>
        <v>0.11924021326231038</v>
      </c>
    </row>
    <row r="23" spans="1:4">
      <c r="A23" s="2">
        <v>0.18</v>
      </c>
      <c r="B23">
        <v>22</v>
      </c>
      <c r="C23">
        <f>B23/$B$102</f>
        <v>0.21782178217821782</v>
      </c>
      <c r="D23" s="2">
        <f t="shared" si="0"/>
        <v>0.16121855408906316</v>
      </c>
    </row>
    <row r="24" spans="1:4">
      <c r="A24" s="2">
        <v>0.19</v>
      </c>
      <c r="B24">
        <v>23</v>
      </c>
      <c r="C24">
        <f>B24/$B$102</f>
        <v>0.22772277227722773</v>
      </c>
      <c r="D24" s="2">
        <f t="shared" si="0"/>
        <v>0.16937101339359584</v>
      </c>
    </row>
    <row r="25" spans="1:4">
      <c r="A25" s="2">
        <v>0.2</v>
      </c>
      <c r="B25">
        <v>24</v>
      </c>
      <c r="C25">
        <f>B25/$B$102</f>
        <v>0.23762376237623761</v>
      </c>
      <c r="D25" s="2">
        <f t="shared" si="0"/>
        <v>0.177444235617914</v>
      </c>
    </row>
    <row r="26" spans="1:4">
      <c r="A26" s="2">
        <v>0.23</v>
      </c>
      <c r="B26">
        <v>25</v>
      </c>
      <c r="C26">
        <f>B26/$B$102</f>
        <v>0.24752475247524752</v>
      </c>
      <c r="D26" s="2">
        <f t="shared" si="0"/>
        <v>0.20119614383123929</v>
      </c>
    </row>
    <row r="27" spans="1:4">
      <c r="A27" s="2">
        <v>0.24</v>
      </c>
      <c r="B27">
        <v>26</v>
      </c>
      <c r="C27">
        <f>B27/$B$102</f>
        <v>0.25742574257425743</v>
      </c>
      <c r="D27" s="2">
        <f t="shared" si="0"/>
        <v>0.20896004462025497</v>
      </c>
    </row>
    <row r="28" spans="1:4">
      <c r="A28" s="2">
        <v>0.24</v>
      </c>
      <c r="B28">
        <v>27</v>
      </c>
      <c r="C28">
        <f>B28/$B$102</f>
        <v>0.26732673267326734</v>
      </c>
      <c r="D28" s="2">
        <f t="shared" si="0"/>
        <v>0.20896004462025497</v>
      </c>
    </row>
    <row r="29" spans="1:4">
      <c r="A29" s="2">
        <v>0.28999999999999998</v>
      </c>
      <c r="B29">
        <v>28</v>
      </c>
      <c r="C29">
        <f>B29/$B$102</f>
        <v>0.27722772277227725</v>
      </c>
      <c r="D29" s="2">
        <f t="shared" si="0"/>
        <v>0.24666220286422569</v>
      </c>
    </row>
    <row r="30" spans="1:4">
      <c r="A30" s="2">
        <v>0.34</v>
      </c>
      <c r="B30">
        <v>29</v>
      </c>
      <c r="C30">
        <f>B30/$B$102</f>
        <v>0.28712871287128711</v>
      </c>
      <c r="D30" s="2">
        <f t="shared" si="0"/>
        <v>0.28256741933984919</v>
      </c>
    </row>
    <row r="31" spans="1:4">
      <c r="A31" s="2">
        <v>0.35</v>
      </c>
      <c r="B31">
        <v>30</v>
      </c>
      <c r="C31">
        <f>B31/$B$102</f>
        <v>0.29702970297029702</v>
      </c>
      <c r="D31" s="2">
        <f t="shared" si="0"/>
        <v>0.28954043948245112</v>
      </c>
    </row>
    <row r="32" spans="1:4">
      <c r="A32" s="2">
        <v>0.36</v>
      </c>
      <c r="B32">
        <v>31</v>
      </c>
      <c r="C32">
        <f>B32/$B$102</f>
        <v>0.30693069306930693</v>
      </c>
      <c r="D32" s="2">
        <f t="shared" si="0"/>
        <v>0.29644568599555821</v>
      </c>
    </row>
    <row r="33" spans="1:4">
      <c r="A33" s="2">
        <v>0.38</v>
      </c>
      <c r="B33">
        <v>32</v>
      </c>
      <c r="C33">
        <f>B33/$B$102</f>
        <v>0.31683168316831684</v>
      </c>
      <c r="D33" s="2">
        <f t="shared" si="0"/>
        <v>0.310055486609218</v>
      </c>
    </row>
    <row r="34" spans="1:4">
      <c r="A34" s="2">
        <v>0.4</v>
      </c>
      <c r="B34">
        <v>33</v>
      </c>
      <c r="C34">
        <f>B34/$B$102</f>
        <v>0.32673267326732675</v>
      </c>
      <c r="D34" s="2">
        <f t="shared" si="0"/>
        <v>0.32340201448180217</v>
      </c>
    </row>
    <row r="35" spans="1:4">
      <c r="A35" s="2">
        <v>0.42</v>
      </c>
      <c r="B35">
        <v>34</v>
      </c>
      <c r="C35">
        <f>B35/$B$102</f>
        <v>0.33663366336633666</v>
      </c>
      <c r="D35" s="2">
        <f t="shared" si="0"/>
        <v>0.33649036245325448</v>
      </c>
    </row>
    <row r="36" spans="1:4">
      <c r="A36" s="2">
        <v>0.43</v>
      </c>
      <c r="B36">
        <v>35</v>
      </c>
      <c r="C36">
        <f>B36/$B$102</f>
        <v>0.34653465346534651</v>
      </c>
      <c r="D36" s="2">
        <f t="shared" si="0"/>
        <v>0.34293928349774716</v>
      </c>
    </row>
    <row r="37" spans="1:4">
      <c r="A37" s="2">
        <v>0.52</v>
      </c>
      <c r="B37">
        <v>36</v>
      </c>
      <c r="C37">
        <f>B37/$B$102</f>
        <v>0.35643564356435642</v>
      </c>
      <c r="D37" s="2">
        <f t="shared" si="0"/>
        <v>0.39823086265026397</v>
      </c>
    </row>
    <row r="38" spans="1:4">
      <c r="A38" s="2">
        <v>0.54</v>
      </c>
      <c r="B38">
        <v>37</v>
      </c>
      <c r="C38">
        <f>B38/$B$102</f>
        <v>0.36633663366336633</v>
      </c>
      <c r="D38" s="2">
        <f t="shared" si="0"/>
        <v>0.40987169522247713</v>
      </c>
    </row>
    <row r="39" spans="1:4">
      <c r="A39" s="2">
        <v>0.56000000000000005</v>
      </c>
      <c r="B39">
        <v>38</v>
      </c>
      <c r="C39">
        <f>B39/$B$102</f>
        <v>0.37623762376237624</v>
      </c>
      <c r="D39" s="2">
        <f t="shared" si="0"/>
        <v>0.42128734345976226</v>
      </c>
    </row>
    <row r="40" spans="1:4">
      <c r="A40" s="2">
        <v>0.6</v>
      </c>
      <c r="B40">
        <v>39</v>
      </c>
      <c r="C40">
        <f>B40/$B$102</f>
        <v>0.38613861386138615</v>
      </c>
      <c r="D40" s="2">
        <f t="shared" si="0"/>
        <v>0.44346042684269926</v>
      </c>
    </row>
    <row r="41" spans="1:4">
      <c r="A41" s="2">
        <v>0.6</v>
      </c>
      <c r="B41">
        <v>40</v>
      </c>
      <c r="C41">
        <f>B41/$B$102</f>
        <v>0.39603960396039606</v>
      </c>
      <c r="D41" s="2">
        <f t="shared" si="0"/>
        <v>0.44346042684269926</v>
      </c>
    </row>
    <row r="42" spans="1:4">
      <c r="A42" s="2">
        <v>0.63</v>
      </c>
      <c r="B42">
        <v>41</v>
      </c>
      <c r="C42">
        <f>B42/$B$102</f>
        <v>0.40594059405940597</v>
      </c>
      <c r="D42" s="2">
        <f t="shared" si="0"/>
        <v>0.45953092009204832</v>
      </c>
    </row>
    <row r="43" spans="1:4">
      <c r="A43" s="2">
        <v>0.65</v>
      </c>
      <c r="B43">
        <v>42</v>
      </c>
      <c r="C43">
        <f>B43/$B$102</f>
        <v>0.41584158415841582</v>
      </c>
      <c r="D43" s="2">
        <f t="shared" si="0"/>
        <v>0.46998594292252305</v>
      </c>
    </row>
    <row r="44" spans="1:4">
      <c r="A44" s="2">
        <v>0.67</v>
      </c>
      <c r="B44">
        <v>43</v>
      </c>
      <c r="C44">
        <f>B44/$B$102</f>
        <v>0.42574257425742573</v>
      </c>
      <c r="D44" s="2">
        <f t="shared" si="0"/>
        <v>0.48023872013627467</v>
      </c>
    </row>
    <row r="45" spans="1:4">
      <c r="A45" s="2">
        <v>0.68</v>
      </c>
      <c r="B45">
        <v>44</v>
      </c>
      <c r="C45">
        <f>B45/$B$102</f>
        <v>0.43564356435643564</v>
      </c>
      <c r="D45" s="2">
        <f t="shared" si="0"/>
        <v>0.48529049220731624</v>
      </c>
    </row>
    <row r="46" spans="1:4">
      <c r="A46" s="2">
        <v>0.72</v>
      </c>
      <c r="B46">
        <v>45</v>
      </c>
      <c r="C46">
        <f>B46/$B$102</f>
        <v>0.44554455445544555</v>
      </c>
      <c r="D46" s="2">
        <f t="shared" si="0"/>
        <v>0.50501132724573927</v>
      </c>
    </row>
    <row r="47" spans="1:4">
      <c r="A47" s="2">
        <v>0.72</v>
      </c>
      <c r="B47">
        <v>46</v>
      </c>
      <c r="C47">
        <f>B47/$B$102</f>
        <v>0.45544554455445546</v>
      </c>
      <c r="D47" s="2">
        <f t="shared" si="0"/>
        <v>0.50501132724573927</v>
      </c>
    </row>
    <row r="48" spans="1:4">
      <c r="A48" s="2">
        <v>0.72</v>
      </c>
      <c r="B48">
        <v>47</v>
      </c>
      <c r="C48">
        <f>B48/$B$102</f>
        <v>0.46534653465346537</v>
      </c>
      <c r="D48" s="2">
        <f t="shared" si="0"/>
        <v>0.50501132724573927</v>
      </c>
    </row>
    <row r="49" spans="1:4">
      <c r="A49" s="2">
        <v>0.73</v>
      </c>
      <c r="B49">
        <v>48</v>
      </c>
      <c r="C49">
        <f>B49/$B$102</f>
        <v>0.47524752475247523</v>
      </c>
      <c r="D49" s="2">
        <f t="shared" si="0"/>
        <v>0.50982232423489093</v>
      </c>
    </row>
    <row r="50" spans="1:4">
      <c r="A50" s="2">
        <v>0.79</v>
      </c>
      <c r="B50">
        <v>49</v>
      </c>
      <c r="C50">
        <f>B50/$B$102</f>
        <v>0.48514851485148514</v>
      </c>
      <c r="D50" s="2">
        <f t="shared" si="0"/>
        <v>0.53772209834199058</v>
      </c>
    </row>
    <row r="51" spans="1:4">
      <c r="A51" s="2">
        <v>0.79</v>
      </c>
      <c r="B51">
        <v>50</v>
      </c>
      <c r="C51">
        <f>B51/$B$102</f>
        <v>0.49504950495049505</v>
      </c>
      <c r="D51" s="2">
        <f t="shared" si="0"/>
        <v>0.53772209834199058</v>
      </c>
    </row>
    <row r="52" spans="1:4">
      <c r="A52" s="2">
        <v>0.8</v>
      </c>
      <c r="B52">
        <v>51</v>
      </c>
      <c r="C52">
        <f>B52/$B$102</f>
        <v>0.50495049504950495</v>
      </c>
      <c r="D52" s="2">
        <f t="shared" si="0"/>
        <v>0.54221516599271657</v>
      </c>
    </row>
    <row r="53" spans="1:4">
      <c r="A53" s="2">
        <v>0.8</v>
      </c>
      <c r="B53">
        <v>52</v>
      </c>
      <c r="C53">
        <f>B53/$B$102</f>
        <v>0.51485148514851486</v>
      </c>
      <c r="D53" s="2">
        <f t="shared" si="0"/>
        <v>0.54221516599271657</v>
      </c>
    </row>
    <row r="54" spans="1:4">
      <c r="A54" s="2">
        <v>0.83</v>
      </c>
      <c r="B54">
        <v>53</v>
      </c>
      <c r="C54">
        <f>B54/$B$102</f>
        <v>0.52475247524752477</v>
      </c>
      <c r="D54" s="2">
        <f t="shared" si="0"/>
        <v>0.55543404285143205</v>
      </c>
    </row>
    <row r="55" spans="1:4">
      <c r="A55" s="2">
        <v>0.85</v>
      </c>
      <c r="B55">
        <v>54</v>
      </c>
      <c r="C55">
        <f>B55/$B$102</f>
        <v>0.53465346534653468</v>
      </c>
      <c r="D55" s="2">
        <f t="shared" si="0"/>
        <v>0.56403388214738537</v>
      </c>
    </row>
    <row r="56" spans="1:4">
      <c r="A56" s="2">
        <v>0.9</v>
      </c>
      <c r="B56">
        <v>55</v>
      </c>
      <c r="C56">
        <f>B56/$B$102</f>
        <v>0.54455445544554459</v>
      </c>
      <c r="D56" s="2">
        <f t="shared" si="0"/>
        <v>0.58481268535764575</v>
      </c>
    </row>
    <row r="57" spans="1:4">
      <c r="A57" s="2">
        <v>0.92</v>
      </c>
      <c r="B57">
        <v>56</v>
      </c>
      <c r="C57">
        <f>B57/$B$102</f>
        <v>0.5544554455445545</v>
      </c>
      <c r="D57" s="2">
        <f t="shared" si="0"/>
        <v>0.59284421392214492</v>
      </c>
    </row>
    <row r="58" spans="1:4">
      <c r="A58" s="2">
        <v>0.95</v>
      </c>
      <c r="B58">
        <v>57</v>
      </c>
      <c r="C58">
        <f>B58/$B$102</f>
        <v>0.5643564356435643</v>
      </c>
      <c r="D58" s="2">
        <f t="shared" si="0"/>
        <v>0.60460113944403981</v>
      </c>
    </row>
    <row r="59" spans="1:4">
      <c r="A59" s="2">
        <v>0.99</v>
      </c>
      <c r="B59">
        <v>58</v>
      </c>
      <c r="C59">
        <f>B59/$B$102</f>
        <v>0.57425742574257421</v>
      </c>
      <c r="D59" s="2">
        <f t="shared" si="0"/>
        <v>0.61975064724474915</v>
      </c>
    </row>
    <row r="60" spans="1:4">
      <c r="A60" s="2">
        <v>1</v>
      </c>
      <c r="B60">
        <v>59</v>
      </c>
      <c r="C60">
        <f>B60/$B$102</f>
        <v>0.58415841584158412</v>
      </c>
      <c r="D60" s="2">
        <f t="shared" si="0"/>
        <v>0.6234464459406126</v>
      </c>
    </row>
    <row r="61" spans="1:4">
      <c r="A61" s="2">
        <v>1.01</v>
      </c>
      <c r="B61">
        <v>60</v>
      </c>
      <c r="C61">
        <f>B61/$B$102</f>
        <v>0.59405940594059403</v>
      </c>
      <c r="D61" s="2">
        <f t="shared" si="0"/>
        <v>0.62710632366014463</v>
      </c>
    </row>
    <row r="62" spans="1:4">
      <c r="A62" s="2">
        <v>1.02</v>
      </c>
      <c r="B62">
        <v>61</v>
      </c>
      <c r="C62">
        <f>B62/$B$102</f>
        <v>0.60396039603960394</v>
      </c>
      <c r="D62" s="2">
        <f t="shared" si="0"/>
        <v>0.63073062953397896</v>
      </c>
    </row>
    <row r="63" spans="1:4">
      <c r="A63" s="2">
        <v>1.03</v>
      </c>
      <c r="B63">
        <v>62</v>
      </c>
      <c r="C63">
        <f>B63/$B$102</f>
        <v>0.61386138613861385</v>
      </c>
      <c r="D63" s="2">
        <f t="shared" si="0"/>
        <v>0.63431970929940595</v>
      </c>
    </row>
    <row r="64" spans="1:4">
      <c r="A64" s="2">
        <v>1.05</v>
      </c>
      <c r="B64">
        <v>63</v>
      </c>
      <c r="C64">
        <f>B64/$B$102</f>
        <v>0.62376237623762376</v>
      </c>
      <c r="D64" s="2">
        <f t="shared" si="0"/>
        <v>0.64139355668505194</v>
      </c>
    </row>
    <row r="65" spans="1:4">
      <c r="A65" s="2">
        <v>1.1000000000000001</v>
      </c>
      <c r="B65">
        <v>64</v>
      </c>
      <c r="C65">
        <f>B65/$B$102</f>
        <v>0.63366336633663367</v>
      </c>
      <c r="D65" s="2">
        <f t="shared" si="0"/>
        <v>0.65848528104261272</v>
      </c>
    </row>
    <row r="66" spans="1:4">
      <c r="A66" s="2">
        <v>1.1000000000000001</v>
      </c>
      <c r="B66">
        <v>65</v>
      </c>
      <c r="C66">
        <f>B66/$B$102</f>
        <v>0.64356435643564358</v>
      </c>
      <c r="D66" s="2">
        <f t="shared" si="0"/>
        <v>0.65848528104261272</v>
      </c>
    </row>
    <row r="67" spans="1:4">
      <c r="A67" s="2">
        <v>1.1100000000000001</v>
      </c>
      <c r="B67">
        <v>66</v>
      </c>
      <c r="C67">
        <f>B67/$B$102</f>
        <v>0.65346534653465349</v>
      </c>
      <c r="D67" s="2">
        <f t="shared" ref="D67:D102" si="1">1-EXP(-0.976695*A67)</f>
        <v>0.66180460201921743</v>
      </c>
    </row>
    <row r="68" spans="1:4">
      <c r="A68" s="2">
        <v>1.1499999999999999</v>
      </c>
      <c r="B68">
        <v>67</v>
      </c>
      <c r="C68">
        <f>B68/$B$102</f>
        <v>0.6633663366336634</v>
      </c>
      <c r="D68" s="2">
        <f t="shared" si="1"/>
        <v>0.67476238801958632</v>
      </c>
    </row>
    <row r="69" spans="1:4">
      <c r="A69" s="2">
        <v>1.18</v>
      </c>
      <c r="B69">
        <v>68</v>
      </c>
      <c r="C69">
        <f>B69/$B$102</f>
        <v>0.67326732673267331</v>
      </c>
      <c r="D69" s="2">
        <f t="shared" si="1"/>
        <v>0.68415386546316492</v>
      </c>
    </row>
    <row r="70" spans="1:4">
      <c r="A70" s="2">
        <v>1.2</v>
      </c>
      <c r="B70">
        <v>69</v>
      </c>
      <c r="C70">
        <f>B70/$B$102</f>
        <v>0.68316831683168322</v>
      </c>
      <c r="D70" s="2">
        <f t="shared" si="1"/>
        <v>0.69026370350988953</v>
      </c>
    </row>
    <row r="71" spans="1:4">
      <c r="A71" s="2">
        <v>1.29</v>
      </c>
      <c r="B71">
        <v>70</v>
      </c>
      <c r="C71">
        <f>B71/$B$102</f>
        <v>0.69306930693069302</v>
      </c>
      <c r="D71" s="2">
        <f t="shared" si="1"/>
        <v>0.71632797508125434</v>
      </c>
    </row>
    <row r="72" spans="1:4">
      <c r="A72" s="2">
        <v>1.31</v>
      </c>
      <c r="B72">
        <v>71</v>
      </c>
      <c r="C72">
        <f>B72/$B$102</f>
        <v>0.70297029702970293</v>
      </c>
      <c r="D72" s="2">
        <f t="shared" si="1"/>
        <v>0.72181542590341352</v>
      </c>
    </row>
    <row r="73" spans="1:4">
      <c r="A73" s="2">
        <v>1.33</v>
      </c>
      <c r="B73">
        <v>72</v>
      </c>
      <c r="C73">
        <f>B73/$B$102</f>
        <v>0.71287128712871284</v>
      </c>
      <c r="D73" s="2">
        <f t="shared" si="1"/>
        <v>0.72719672555844839</v>
      </c>
    </row>
    <row r="74" spans="1:4">
      <c r="A74" s="2">
        <v>1.34</v>
      </c>
      <c r="B74">
        <v>73</v>
      </c>
      <c r="C74">
        <f>B74/$B$102</f>
        <v>0.72277227722772275</v>
      </c>
      <c r="D74" s="2">
        <f t="shared" si="1"/>
        <v>0.72984821195442207</v>
      </c>
    </row>
    <row r="75" spans="1:4">
      <c r="A75" s="2">
        <v>1.4</v>
      </c>
      <c r="B75">
        <v>74</v>
      </c>
      <c r="C75">
        <f>B75/$B$102</f>
        <v>0.73267326732673266</v>
      </c>
      <c r="D75" s="2">
        <f t="shared" si="1"/>
        <v>0.7452246238837007</v>
      </c>
    </row>
    <row r="76" spans="1:4">
      <c r="A76" s="2">
        <v>1.43</v>
      </c>
      <c r="B76">
        <v>75</v>
      </c>
      <c r="C76">
        <f>B76/$B$102</f>
        <v>0.74257425742574257</v>
      </c>
      <c r="D76" s="2">
        <f t="shared" si="1"/>
        <v>0.7525814519682692</v>
      </c>
    </row>
    <row r="77" spans="1:4">
      <c r="A77" s="2">
        <v>1.45</v>
      </c>
      <c r="B77">
        <v>76</v>
      </c>
      <c r="C77">
        <f>B77/$B$102</f>
        <v>0.75247524752475248</v>
      </c>
      <c r="D77" s="2">
        <f t="shared" si="1"/>
        <v>0.7573676028592603</v>
      </c>
    </row>
    <row r="78" spans="1:4">
      <c r="A78" s="2">
        <v>1.5</v>
      </c>
      <c r="B78">
        <v>77</v>
      </c>
      <c r="C78">
        <f>B78/$B$102</f>
        <v>0.76237623762376239</v>
      </c>
      <c r="D78" s="2">
        <f t="shared" si="1"/>
        <v>0.76893182912861824</v>
      </c>
    </row>
    <row r="79" spans="1:4">
      <c r="A79" s="2">
        <v>1.51</v>
      </c>
      <c r="B79">
        <v>78</v>
      </c>
      <c r="C79">
        <f>B79/$B$102</f>
        <v>0.7722772277227723</v>
      </c>
      <c r="D79" s="2">
        <f t="shared" si="1"/>
        <v>0.77117767501467727</v>
      </c>
    </row>
    <row r="80" spans="1:4">
      <c r="A80" s="2">
        <v>1.52</v>
      </c>
      <c r="B80">
        <v>79</v>
      </c>
      <c r="C80">
        <f>B80/$B$102</f>
        <v>0.78217821782178221</v>
      </c>
      <c r="D80" s="2">
        <f t="shared" si="1"/>
        <v>0.77340169260770519</v>
      </c>
    </row>
    <row r="81" spans="1:4">
      <c r="A81" s="2">
        <v>1.53</v>
      </c>
      <c r="B81">
        <v>80</v>
      </c>
      <c r="C81">
        <f>B81/$B$102</f>
        <v>0.79207920792079212</v>
      </c>
      <c r="D81" s="2">
        <f t="shared" si="1"/>
        <v>0.77560409406579356</v>
      </c>
    </row>
    <row r="82" spans="1:4">
      <c r="A82" s="2">
        <v>1.54</v>
      </c>
      <c r="B82">
        <v>81</v>
      </c>
      <c r="C82">
        <f>B82/$B$102</f>
        <v>0.80198019801980203</v>
      </c>
      <c r="D82" s="2">
        <f t="shared" si="1"/>
        <v>0.77778508948498237</v>
      </c>
    </row>
    <row r="83" spans="1:4">
      <c r="A83" s="2">
        <v>1.54</v>
      </c>
      <c r="B83">
        <v>82</v>
      </c>
      <c r="C83">
        <f>B83/$B$102</f>
        <v>0.81188118811881194</v>
      </c>
      <c r="D83" s="2">
        <f t="shared" si="1"/>
        <v>0.77778508948498237</v>
      </c>
    </row>
    <row r="84" spans="1:4">
      <c r="A84" s="2">
        <v>1.55</v>
      </c>
      <c r="B84">
        <v>83</v>
      </c>
      <c r="C84">
        <f>B84/$B$102</f>
        <v>0.82178217821782173</v>
      </c>
      <c r="D84" s="2">
        <f t="shared" si="1"/>
        <v>0.77994488691930286</v>
      </c>
    </row>
    <row r="85" spans="1:4">
      <c r="A85" s="2">
        <v>1.58</v>
      </c>
      <c r="B85">
        <v>84</v>
      </c>
      <c r="C85">
        <f>B85/$B$102</f>
        <v>0.83168316831683164</v>
      </c>
      <c r="D85" s="2">
        <f t="shared" si="1"/>
        <v>0.78629914163866776</v>
      </c>
    </row>
    <row r="86" spans="1:4">
      <c r="A86" s="2">
        <v>1.6</v>
      </c>
      <c r="B86">
        <v>85</v>
      </c>
      <c r="C86">
        <f>B86/$B$102</f>
        <v>0.84158415841584155</v>
      </c>
      <c r="D86" s="2">
        <f t="shared" si="1"/>
        <v>0.79043304575292406</v>
      </c>
    </row>
    <row r="87" spans="1:4">
      <c r="A87" s="2">
        <v>1.63</v>
      </c>
      <c r="B87">
        <v>86</v>
      </c>
      <c r="C87">
        <f>B87/$B$102</f>
        <v>0.85148514851485146</v>
      </c>
      <c r="D87" s="2">
        <f t="shared" si="1"/>
        <v>0.79648444710145372</v>
      </c>
    </row>
    <row r="88" spans="1:4">
      <c r="A88" s="2">
        <v>1.64</v>
      </c>
      <c r="B88">
        <v>87</v>
      </c>
      <c r="C88">
        <f>B88/$B$102</f>
        <v>0.86138613861386137</v>
      </c>
      <c r="D88" s="2">
        <f t="shared" si="1"/>
        <v>0.79846249784510481</v>
      </c>
    </row>
    <row r="89" spans="1:4">
      <c r="A89" s="2">
        <v>1.8</v>
      </c>
      <c r="B89">
        <v>88</v>
      </c>
      <c r="C89">
        <f>B89/$B$102</f>
        <v>0.87128712871287128</v>
      </c>
      <c r="D89" s="2">
        <f t="shared" si="1"/>
        <v>0.82761949376007071</v>
      </c>
    </row>
    <row r="90" spans="1:4">
      <c r="A90" s="2">
        <v>1.8</v>
      </c>
      <c r="B90">
        <v>89</v>
      </c>
      <c r="C90">
        <f>B90/$B$102</f>
        <v>0.88118811881188119</v>
      </c>
      <c r="D90" s="2">
        <f t="shared" si="1"/>
        <v>0.82761949376007071</v>
      </c>
    </row>
    <row r="91" spans="1:4">
      <c r="A91" s="2">
        <v>1.81</v>
      </c>
      <c r="B91">
        <v>90</v>
      </c>
      <c r="C91">
        <f>B91/$B$102</f>
        <v>0.8910891089108911</v>
      </c>
      <c r="D91" s="2">
        <f t="shared" si="1"/>
        <v>0.8292949302743936</v>
      </c>
    </row>
    <row r="92" spans="1:4">
      <c r="A92" s="2">
        <v>2.02</v>
      </c>
      <c r="B92">
        <v>91</v>
      </c>
      <c r="C92">
        <f>B92/$B$102</f>
        <v>0.90099009900990101</v>
      </c>
      <c r="D92" s="2">
        <f t="shared" si="1"/>
        <v>0.86095030614574719</v>
      </c>
    </row>
    <row r="93" spans="1:4">
      <c r="A93" s="2">
        <v>2.0499999999999998</v>
      </c>
      <c r="B93">
        <v>92</v>
      </c>
      <c r="C93">
        <f>B93/$B$102</f>
        <v>0.91089108910891092</v>
      </c>
      <c r="D93" s="2">
        <f t="shared" si="1"/>
        <v>0.86496546926116002</v>
      </c>
    </row>
    <row r="94" spans="1:4">
      <c r="A94" s="2">
        <v>2.14</v>
      </c>
      <c r="B94">
        <v>93</v>
      </c>
      <c r="C94">
        <f>B94/$B$102</f>
        <v>0.92079207920792083</v>
      </c>
      <c r="D94" s="2">
        <f t="shared" si="1"/>
        <v>0.87632860855278438</v>
      </c>
    </row>
    <row r="95" spans="1:4">
      <c r="A95" s="2">
        <v>2.17</v>
      </c>
      <c r="B95">
        <v>94</v>
      </c>
      <c r="C95">
        <f>B95/$B$102</f>
        <v>0.93069306930693074</v>
      </c>
      <c r="D95" s="2">
        <f t="shared" si="1"/>
        <v>0.87989971177212067</v>
      </c>
    </row>
    <row r="96" spans="1:4">
      <c r="A96" s="2">
        <v>2.33</v>
      </c>
      <c r="B96">
        <v>95</v>
      </c>
      <c r="C96">
        <f>B96/$B$102</f>
        <v>0.94059405940594054</v>
      </c>
      <c r="D96" s="2">
        <f t="shared" si="1"/>
        <v>0.8972749574499953</v>
      </c>
    </row>
    <row r="97" spans="1:4">
      <c r="A97" s="2">
        <v>3.03</v>
      </c>
      <c r="B97">
        <v>96</v>
      </c>
      <c r="C97">
        <f>B97/$B$102</f>
        <v>0.95049504950495045</v>
      </c>
      <c r="D97" s="2">
        <f t="shared" si="1"/>
        <v>0.94814924846475623</v>
      </c>
    </row>
    <row r="98" spans="1:4">
      <c r="A98" s="2">
        <v>3.03</v>
      </c>
      <c r="B98">
        <v>97</v>
      </c>
      <c r="C98">
        <f>B98/$B$102</f>
        <v>0.96039603960396036</v>
      </c>
      <c r="D98" s="2">
        <f t="shared" si="1"/>
        <v>0.94814924846475623</v>
      </c>
    </row>
    <row r="99" spans="1:4">
      <c r="A99" s="2">
        <v>3.24</v>
      </c>
      <c r="B99">
        <v>98</v>
      </c>
      <c r="C99">
        <f>B99/$B$102</f>
        <v>0.97029702970297027</v>
      </c>
      <c r="D99" s="2">
        <f t="shared" si="1"/>
        <v>0.95776439950683512</v>
      </c>
    </row>
    <row r="100" spans="1:4">
      <c r="A100" s="2">
        <v>4.2</v>
      </c>
      <c r="B100">
        <v>99</v>
      </c>
      <c r="C100">
        <f>B100/$B$102</f>
        <v>0.98019801980198018</v>
      </c>
      <c r="D100" s="2">
        <f t="shared" si="1"/>
        <v>0.98346240491669135</v>
      </c>
    </row>
    <row r="101" spans="1:4">
      <c r="A101" s="2">
        <v>4.6900000000000004</v>
      </c>
      <c r="B101">
        <v>100</v>
      </c>
      <c r="C101">
        <f>B101/$B$102</f>
        <v>0.99009900990099009</v>
      </c>
      <c r="D101" s="2">
        <f t="shared" si="1"/>
        <v>0.98975227500766483</v>
      </c>
    </row>
    <row r="102" spans="1:4">
      <c r="A102" s="2">
        <v>7.89</v>
      </c>
      <c r="B102">
        <v>101</v>
      </c>
      <c r="C102">
        <f>B102/$B$102</f>
        <v>1</v>
      </c>
      <c r="D102" s="2">
        <f t="shared" si="1"/>
        <v>0.99954993725428598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Lucija Fekonja</dc:creator>
  <cp:keywords/>
  <dc:description/>
  <cp:lastModifiedBy/>
  <cp:revision/>
  <dcterms:created xsi:type="dcterms:W3CDTF">2023-07-10T14:29:28Z</dcterms:created>
  <dcterms:modified xsi:type="dcterms:W3CDTF">2023-08-09T10:31:56Z</dcterms:modified>
  <cp:category/>
  <cp:contentStatus/>
</cp:coreProperties>
</file>