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9040" windowHeight="15840"/>
  </bookViews>
  <sheets>
    <sheet name="DPR" sheetId="1" r:id="rId1"/>
    <sheet name="RB Perjadin" sheetId="2" r:id="rId2"/>
    <sheet name="Sheet1" sheetId="3" r:id="rId3"/>
  </sheets>
  <definedNames>
    <definedName name="_xlnm._FilterDatabase" localSheetId="2" hidden="1">Sheet1!$C$3:$AB$7</definedName>
    <definedName name="_xlnm.Print_Area" localSheetId="0">DPR!$A$1:$H$35</definedName>
    <definedName name="_xlnm.Print_Area" localSheetId="1">'RB Perjadin'!$A$1:$G$60</definedName>
  </definedNames>
  <calcPr calcId="144525"/>
</workbook>
</file>

<file path=xl/calcChain.xml><?xml version="1.0" encoding="utf-8"?>
<calcChain xmlns="http://schemas.openxmlformats.org/spreadsheetml/2006/main">
  <c r="C24" i="2" l="1"/>
  <c r="AB11" i="3"/>
  <c r="D24" i="2"/>
  <c r="F18" i="1"/>
  <c r="C18" i="1"/>
  <c r="F16" i="1"/>
  <c r="C16" i="1"/>
  <c r="E7" i="1"/>
  <c r="AB10" i="3"/>
  <c r="AB9" i="3"/>
  <c r="AB8" i="3"/>
  <c r="C14" i="2" l="1"/>
  <c r="C28" i="2"/>
  <c r="AB6" i="3" l="1"/>
  <c r="E28" i="2" l="1"/>
  <c r="D25" i="2"/>
  <c r="C25" i="2"/>
  <c r="E21" i="2"/>
  <c r="F21" i="2" s="1"/>
  <c r="E20" i="2"/>
  <c r="F20" i="2" s="1"/>
  <c r="E18" i="2"/>
  <c r="F18" i="2" s="1"/>
  <c r="E16" i="2"/>
  <c r="F16" i="2" s="1"/>
  <c r="D14" i="2"/>
  <c r="F14" i="2" s="1"/>
  <c r="D13" i="2"/>
  <c r="F13" i="2" s="1"/>
  <c r="C13" i="2"/>
  <c r="E10" i="2"/>
  <c r="C10" i="2"/>
  <c r="F24" i="2"/>
  <c r="F26" i="2"/>
  <c r="C14" i="1"/>
  <c r="AB7" i="3"/>
  <c r="AB5" i="3"/>
  <c r="AB4" i="3"/>
  <c r="E42" i="2"/>
  <c r="D5" i="2"/>
  <c r="D4" i="2"/>
  <c r="F33" i="1"/>
  <c r="F14" i="1"/>
  <c r="B8" i="1"/>
  <c r="E23" i="2" l="1"/>
  <c r="E12" i="2"/>
  <c r="F12" i="2" s="1"/>
  <c r="F20" i="1"/>
  <c r="E30" i="2" l="1"/>
  <c r="B31" i="2" l="1"/>
  <c r="E34" i="2"/>
  <c r="D49" i="2" s="1"/>
  <c r="C34" i="2"/>
  <c r="D48" i="2" s="1"/>
  <c r="D50" i="2" l="1"/>
</calcChain>
</file>

<file path=xl/sharedStrings.xml><?xml version="1.0" encoding="utf-8"?>
<sst xmlns="http://schemas.openxmlformats.org/spreadsheetml/2006/main" count="129" uniqueCount="96">
  <si>
    <t>DAFTAR PENGELUARAN RIIL</t>
  </si>
  <si>
    <t>Yang bertanda tangan dibawah ini :</t>
  </si>
  <si>
    <t>Nama</t>
  </si>
  <si>
    <t xml:space="preserve">Jabatan </t>
  </si>
  <si>
    <t>1.</t>
  </si>
  <si>
    <t>Biaya-biaya bawah ini tidak dapat diperoleh bukti-bukti pengeluarannya :</t>
  </si>
  <si>
    <t>No.</t>
  </si>
  <si>
    <t>Uraian</t>
  </si>
  <si>
    <t>Jumlah</t>
  </si>
  <si>
    <t>Jumlah uang tersebut pada angka 1 diatas benar-benar dikeluarkan untuk pelaksanaan perjalanan dinas dimaksud dan apabila dikemudian hari terdapat kelebihan atau pembayaran, kami bersedia untuk menyetorkan kelebihan tersebut ke Kas Negara</t>
  </si>
  <si>
    <t>Demikian pernyataan ini kami buat dengan sebenarnya, untuk dipergunakan sebagaimana mestinya</t>
  </si>
  <si>
    <t>Mengetahui/Menyetujui</t>
  </si>
  <si>
    <t xml:space="preserve">Pejabat Negara/Pegawai Negeri </t>
  </si>
  <si>
    <t>Pejabat Pembuat Komitmen,</t>
  </si>
  <si>
    <t>Yang Melakukan Perjalanan Dinas</t>
  </si>
  <si>
    <t>JOKO MARTANTO, S.E., M.Si.</t>
  </si>
  <si>
    <t>NIP. 19720305 199903 1 007</t>
  </si>
  <si>
    <t>RINCIAN BIAYA PERJALANAN DINAS</t>
  </si>
  <si>
    <t>Lampiran SPD Nomor</t>
  </si>
  <si>
    <t>Tanggal :</t>
  </si>
  <si>
    <t>PERINCIAN BIAYA</t>
  </si>
  <si>
    <t>JUMLAH</t>
  </si>
  <si>
    <t>KETERANGAN</t>
  </si>
  <si>
    <t>Uang Harian</t>
  </si>
  <si>
    <t>Tidak ada bukti</t>
  </si>
  <si>
    <t>Transport Udara</t>
  </si>
  <si>
    <t>Transport Darat</t>
  </si>
  <si>
    <t xml:space="preserve">Kereta </t>
  </si>
  <si>
    <t>Taksi Jakarta</t>
  </si>
  <si>
    <t>Taksi Provinsi</t>
  </si>
  <si>
    <t>Hotel</t>
  </si>
  <si>
    <t>Representatif</t>
  </si>
  <si>
    <t>Telah dibayar sejumlah :</t>
  </si>
  <si>
    <t xml:space="preserve">Telah menerima jumlah uang sebesar : </t>
  </si>
  <si>
    <t>Bendahara Pengeluaran</t>
  </si>
  <si>
    <t>Yang Menerima,</t>
  </si>
  <si>
    <t>EMMANIA NOVADA SUDARNO, A.Md.</t>
  </si>
  <si>
    <t xml:space="preserve"> </t>
  </si>
  <si>
    <t>Perhitungan SPPD Rampung</t>
  </si>
  <si>
    <t>Ditetapkan sejumlah</t>
  </si>
  <si>
    <t>Yang telah dibayar semula</t>
  </si>
  <si>
    <t>Sisa Lebih</t>
  </si>
  <si>
    <t>Pesawat</t>
  </si>
  <si>
    <t>Berangkat</t>
  </si>
  <si>
    <t>Pulang</t>
  </si>
  <si>
    <t>No</t>
  </si>
  <si>
    <t>NIP</t>
  </si>
  <si>
    <t>Jabatan</t>
  </si>
  <si>
    <t>SPD</t>
  </si>
  <si>
    <t>tgl SPD</t>
  </si>
  <si>
    <t>Hari</t>
  </si>
  <si>
    <t>UH</t>
  </si>
  <si>
    <t>Darat</t>
  </si>
  <si>
    <t>Taksi Jkt</t>
  </si>
  <si>
    <t>Taksi Prov</t>
  </si>
  <si>
    <t>Rute</t>
  </si>
  <si>
    <t>Biaya</t>
  </si>
  <si>
    <t>Kereta</t>
  </si>
  <si>
    <t>Harga</t>
  </si>
  <si>
    <t>Kwitansi</t>
  </si>
  <si>
    <t>AMAN AGUNG KURNIAWAN</t>
  </si>
  <si>
    <t>19801111 200501 1 001</t>
  </si>
  <si>
    <t>NIP. 19901120 201503 2 004</t>
  </si>
  <si>
    <t>ACHMAD NURSEHA</t>
  </si>
  <si>
    <t>PPNPN</t>
  </si>
  <si>
    <t>DRIVER</t>
  </si>
  <si>
    <t>:</t>
  </si>
  <si>
    <t>KASUBBAG TU PIMPINAN DAN PROTOKOL</t>
  </si>
  <si>
    <t>FAHMI YUSUF</t>
  </si>
  <si>
    <t>19921021 201712 1 001</t>
  </si>
  <si>
    <t>AUDITOR AHLI PERTAMA</t>
  </si>
  <si>
    <t>SETIO UTOMO PRIONO</t>
  </si>
  <si>
    <t>19960512 201901 1 001</t>
  </si>
  <si>
    <t>YOGA DWI PUTRA PERMANA</t>
  </si>
  <si>
    <t>PENGOLAH DATA KERJA SAMA</t>
  </si>
  <si>
    <t>SEKRETARIS PIMPINAN</t>
  </si>
  <si>
    <t>19940719 201212 1 002</t>
  </si>
  <si>
    <t>19900318 201712 1 001</t>
  </si>
  <si>
    <t>NURSYAFIQ</t>
  </si>
  <si>
    <t>RIFAN WAHYU PERMANA</t>
  </si>
  <si>
    <t>SIMON HALOMOAN</t>
  </si>
  <si>
    <t>ANALIS PERENCANAAN, EVALUASI DAN PELAPORAN</t>
  </si>
  <si>
    <t>19850330 201012 1 002</t>
  </si>
  <si>
    <t>PENYUSUN BAHAN KERJASAMA</t>
  </si>
  <si>
    <t>ITJ.1.UM.07.01-3590</t>
  </si>
  <si>
    <t>ITJ.1.UM.07.01-3591</t>
  </si>
  <si>
    <t>ITJ.1.UM.07.01-3592</t>
  </si>
  <si>
    <t>ITJ.1.UM.07.01-3593</t>
  </si>
  <si>
    <t>ITJ.1.UM.07.01-3594</t>
  </si>
  <si>
    <t>ITJ.1.UM.07.01-3595</t>
  </si>
  <si>
    <t>ITJ.1.UM.07.01-3596</t>
  </si>
  <si>
    <t>ITJ.1.UM.07.01-3597</t>
  </si>
  <si>
    <t>Royal Tulip Bogor</t>
  </si>
  <si>
    <t>Jakarta, 06 September 2021</t>
  </si>
  <si>
    <t>NIP.19850330 201012 1 002</t>
  </si>
  <si>
    <t>NIP. 19850330 201012 1 002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</si>
</sst>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-&quot;Rp&quot;* #,##0_-;\-&quot;Rp&quot;* #,##0_-;_-&quot;Rp&quot;* &quot;-&quot;_-;_-@_-"/>
    <numFmt numFmtId="164" formatCode="[$-421]dd\ mmmm\ yyyy;@"/>
    <numFmt numFmtId="165" formatCode="_([$Rp-421]* #,##0_);_([$Rp-421]* \(#,##0\);_([$Rp-421]* &quot;-&quot;??_);_(@_)"/>
    <numFmt numFmtId="166" formatCode="dd/mm/yyyy;@"/>
    <numFmt numFmtId="167" formatCode="_-[$Rp-421]* #,##0_-;\-[$Rp-421]* #,##0_-;_-[$Rp-421]* &quot;-&quot;_-;_-@_-"/>
    <numFmt numFmtId="168" formatCode="_-[$Rp-421]* #,##0_ ;_-[$Rp-421]* \-#,##0\ ;_-[$Rp-421]* &quot;-&quot;_ ;_-@_ "/>
    <numFmt numFmtId="169" formatCode="&quot;Rp&quot;#,##0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b/>
      <sz val="16"/>
      <color theme="1"/>
      <name val="Arial Narrow"/>
      <family val="2"/>
    </font>
    <font>
      <sz val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164" fontId="8" fillId="0" borderId="0" xfId="0" applyNumberFormat="1" applyFont="1" applyAlignment="1">
      <alignment horizontal="left"/>
    </xf>
    <xf numFmtId="166" fontId="8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left"/>
    </xf>
    <xf numFmtId="0" fontId="8" fillId="0" borderId="0" xfId="0" applyFont="1"/>
    <xf numFmtId="0" fontId="7" fillId="2" borderId="1" xfId="0" applyFont="1" applyFill="1" applyBorder="1" applyAlignment="1">
      <alignment vertical="top"/>
    </xf>
    <xf numFmtId="0" fontId="7" fillId="2" borderId="3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167" fontId="5" fillId="0" borderId="5" xfId="0" applyNumberFormat="1" applyFont="1" applyBorder="1" applyAlignment="1">
      <alignment horizontal="justify" vertical="top" wrapText="1"/>
    </xf>
    <xf numFmtId="0" fontId="5" fillId="0" borderId="8" xfId="0" applyFont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0" fontId="5" fillId="0" borderId="0" xfId="0" applyFont="1" applyBorder="1" applyAlignment="1">
      <alignment vertical="top"/>
    </xf>
    <xf numFmtId="168" fontId="7" fillId="0" borderId="11" xfId="0" applyNumberFormat="1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/>
    <xf numFmtId="168" fontId="7" fillId="0" borderId="0" xfId="0" applyNumberFormat="1" applyFont="1"/>
    <xf numFmtId="0" fontId="5" fillId="0" borderId="13" xfId="0" applyFont="1" applyBorder="1"/>
    <xf numFmtId="168" fontId="5" fillId="0" borderId="0" xfId="0" applyNumberFormat="1" applyFont="1"/>
    <xf numFmtId="168" fontId="5" fillId="0" borderId="13" xfId="0" applyNumberFormat="1" applyFont="1" applyBorder="1"/>
    <xf numFmtId="0" fontId="5" fillId="0" borderId="0" xfId="0" applyFont="1" applyAlignment="1">
      <alignment horizontal="left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justify" vertical="top" wrapText="1"/>
    </xf>
    <xf numFmtId="0" fontId="5" fillId="0" borderId="11" xfId="0" applyFont="1" applyBorder="1" applyAlignment="1">
      <alignment horizontal="justify" vertical="top" wrapText="1"/>
    </xf>
    <xf numFmtId="3" fontId="5" fillId="0" borderId="14" xfId="0" applyNumberFormat="1" applyFont="1" applyBorder="1" applyAlignment="1">
      <alignment vertical="top"/>
    </xf>
    <xf numFmtId="0" fontId="5" fillId="0" borderId="15" xfId="0" applyFont="1" applyBorder="1" applyAlignment="1">
      <alignment vertical="top"/>
    </xf>
    <xf numFmtId="0" fontId="5" fillId="0" borderId="3" xfId="0" applyFont="1" applyBorder="1"/>
    <xf numFmtId="165" fontId="5" fillId="0" borderId="1" xfId="0" applyNumberFormat="1" applyFont="1" applyBorder="1" applyAlignment="1">
      <alignment horizontal="justify" vertical="top" wrapText="1"/>
    </xf>
    <xf numFmtId="0" fontId="5" fillId="0" borderId="0" xfId="0" applyFont="1" applyAlignment="1">
      <alignment horizontal="center" vertical="top"/>
    </xf>
    <xf numFmtId="0" fontId="5" fillId="0" borderId="0" xfId="0" applyFont="1" applyAlignment="1"/>
    <xf numFmtId="0" fontId="5" fillId="0" borderId="0" xfId="0" applyFont="1" applyAlignment="1">
      <alignment vertical="center"/>
    </xf>
    <xf numFmtId="9" fontId="0" fillId="0" borderId="0" xfId="0" applyNumberFormat="1"/>
    <xf numFmtId="169" fontId="5" fillId="0" borderId="0" xfId="0" applyNumberFormat="1" applyFont="1"/>
    <xf numFmtId="0" fontId="0" fillId="0" borderId="0" xfId="0" applyAlignment="1">
      <alignment horizontal="left"/>
    </xf>
    <xf numFmtId="3" fontId="0" fillId="0" borderId="0" xfId="0" applyNumberFormat="1"/>
    <xf numFmtId="0" fontId="5" fillId="0" borderId="3" xfId="0" applyFont="1" applyBorder="1" applyAlignment="1">
      <alignment horizontal="center" vertical="top" wrapText="1"/>
    </xf>
    <xf numFmtId="3" fontId="5" fillId="0" borderId="0" xfId="0" applyNumberFormat="1" applyFont="1" applyBorder="1" applyAlignment="1">
      <alignment vertical="top"/>
    </xf>
    <xf numFmtId="0" fontId="4" fillId="0" borderId="0" xfId="0" applyFont="1"/>
    <xf numFmtId="0" fontId="4" fillId="0" borderId="0" xfId="0" applyFont="1" applyAlignment="1">
      <alignment horizontal="left"/>
    </xf>
    <xf numFmtId="42" fontId="5" fillId="0" borderId="0" xfId="0" applyNumberFormat="1" applyFont="1" applyAlignment="1">
      <alignment vertical="top"/>
    </xf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/>
    <xf numFmtId="0" fontId="3" fillId="0" borderId="0" xfId="0" applyFont="1"/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3" fontId="0" fillId="0" borderId="0" xfId="0" applyNumberFormat="1"/>
    <xf numFmtId="0" fontId="2" fillId="0" borderId="0" xfId="0" applyFont="1"/>
    <xf numFmtId="0" fontId="1" fillId="0" borderId="0" xfId="0" applyFont="1"/>
    <xf numFmtId="0" fontId="5" fillId="0" borderId="0" xfId="0" applyFont="1" applyAlignment="1">
      <alignment horizontal="left"/>
    </xf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center" wrapText="1"/>
    </xf>
    <xf numFmtId="0" fontId="10" fillId="0" borderId="0" xfId="0" applyNumberFormat="1" applyFont="1" applyAlignment="1">
      <alignment horizontal="left" wrapText="1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G38"/>
  <sheetViews>
    <sheetView tabSelected="1" view="pageBreakPreview" zoomScaleNormal="100" zoomScaleSheetLayoutView="100" workbookViewId="0">
      <selection activeCell="G19" sqref="G19"/>
    </sheetView>
  </sheetViews>
  <sheetFormatPr defaultColWidth="9" defaultRowHeight="15"/>
  <cols>
    <col min="1" max="1" width="5.85546875" customWidth="1"/>
    <col min="2" max="2" width="4.28515625" customWidth="1"/>
    <col min="3" max="3" width="5" customWidth="1"/>
    <col min="4" max="4" width="1.42578125" customWidth="1"/>
    <col min="5" max="5" width="42.7109375" customWidth="1"/>
    <col min="6" max="6" width="12.7109375" customWidth="1"/>
    <col min="7" max="7" width="26.28515625" customWidth="1"/>
  </cols>
  <sheetData>
    <row r="1" spans="1:7" ht="20.25">
      <c r="A1" s="2"/>
      <c r="B1" s="69" t="s">
        <v>0</v>
      </c>
      <c r="C1" s="69"/>
      <c r="D1" s="69"/>
      <c r="E1" s="69"/>
      <c r="F1" s="69"/>
      <c r="G1" s="69"/>
    </row>
    <row r="2" spans="1:7" ht="15.75">
      <c r="A2" s="2"/>
      <c r="B2" s="2"/>
      <c r="C2" s="2"/>
      <c r="D2" s="2"/>
      <c r="E2" s="2"/>
      <c r="F2" s="2"/>
      <c r="G2" s="2"/>
    </row>
    <row r="3" spans="1:7" ht="15.75">
      <c r="A3" s="2"/>
      <c r="B3" s="70" t="s">
        <v>1</v>
      </c>
      <c r="C3" s="70"/>
      <c r="D3" s="70"/>
      <c r="E3" s="70"/>
      <c r="F3" s="2"/>
      <c r="G3" s="2"/>
    </row>
    <row r="4" spans="1:7" ht="15.75">
      <c r="A4" s="2"/>
      <c r="B4" s="2"/>
      <c r="C4" s="2"/>
      <c r="D4" s="2"/>
      <c r="E4" s="2"/>
      <c r="F4" s="2"/>
      <c r="G4" s="2"/>
    </row>
    <row r="5" spans="1:7" ht="15.75">
      <c r="A5" s="2"/>
      <c r="B5" s="2" t="s">
        <v>2</v>
      </c>
      <c r="C5" s="2"/>
      <c r="D5" s="2" t="s">
        <v>66</v>
      </c>
      <c r="E5" s="31" t="s">
        <v>80</v>
      </c>
      <c r="F5" s="31"/>
      <c r="G5" s="31"/>
    </row>
    <row r="6" spans="1:7" ht="15.75">
      <c r="A6" s="2"/>
      <c r="B6" s="2" t="s">
        <v>46</v>
      </c>
      <c r="C6" s="2"/>
      <c r="D6" s="2" t="s">
        <v>66</v>
      </c>
      <c r="E6" s="63" t="s">
        <v>82</v>
      </c>
      <c r="F6" s="31"/>
      <c r="G6" s="31"/>
    </row>
    <row r="7" spans="1:7" ht="15.75">
      <c r="A7" s="2"/>
      <c r="B7" s="32" t="s">
        <v>3</v>
      </c>
      <c r="C7" s="2"/>
      <c r="D7" s="2" t="s">
        <v>66</v>
      </c>
      <c r="E7" s="71" t="str">
        <f>VLOOKUP($E$5,Sheet1!$C$4:$AB$11,3,0)</f>
        <v>PENYUSUN BAHAN KERJASAMA</v>
      </c>
      <c r="F7" s="71"/>
      <c r="G7" s="71"/>
    </row>
    <row r="8" spans="1:7" ht="15.75" customHeight="1">
      <c r="A8" s="2"/>
      <c r="B8" s="68" t="str">
        <f>CONCATENATE("Berdasarkan Surat Perintah Perjalanan Dinas (SPPD) Nomor: ",VLOOKUP($E$5,Sheet1!$C$4:$AB$11,4,1)," tanggal ",TEXT(VLOOKUP($E$5,Sheet1!$C$4:$AB$11,5,1),"DD MMMM YYYY"),", dengan ini kami menyatakan dengan sesungguhnya bahwa :")</f>
        <v>Berdasarkan Surat Perintah Perjalanan Dinas (SPPD) Nomor: ITJ.1.UM.07.01-3595 tanggal 27 August 2021, dengan ini kami menyatakan dengan sesungguhnya bahwa :</v>
      </c>
      <c r="C8" s="68"/>
      <c r="D8" s="68"/>
      <c r="E8" s="68"/>
      <c r="F8" s="68"/>
      <c r="G8" s="68"/>
    </row>
    <row r="9" spans="1:7" ht="15.75">
      <c r="A9" s="2"/>
      <c r="B9" s="68"/>
      <c r="C9" s="68"/>
      <c r="D9" s="68"/>
      <c r="E9" s="68"/>
      <c r="F9" s="68"/>
      <c r="G9" s="68"/>
    </row>
    <row r="10" spans="1:7" ht="15.75">
      <c r="A10" s="2"/>
      <c r="B10" s="33" t="s">
        <v>4</v>
      </c>
      <c r="C10" s="67" t="s">
        <v>5</v>
      </c>
      <c r="D10" s="67"/>
      <c r="E10" s="67"/>
      <c r="F10" s="67"/>
      <c r="G10" s="67"/>
    </row>
    <row r="11" spans="1:7" ht="15.75">
      <c r="A11" s="2"/>
      <c r="B11" s="2"/>
      <c r="C11" s="2"/>
      <c r="D11" s="2"/>
      <c r="E11" s="2"/>
      <c r="F11" s="2"/>
      <c r="G11" s="2"/>
    </row>
    <row r="12" spans="1:7" ht="15.75">
      <c r="A12" s="2"/>
      <c r="B12" s="34" t="s">
        <v>6</v>
      </c>
      <c r="C12" s="72" t="s">
        <v>7</v>
      </c>
      <c r="D12" s="73"/>
      <c r="E12" s="74"/>
      <c r="F12" s="34" t="s">
        <v>8</v>
      </c>
      <c r="G12" s="2"/>
    </row>
    <row r="13" spans="1:7" ht="15.75">
      <c r="A13" s="2"/>
      <c r="B13" s="13"/>
      <c r="C13" s="35"/>
      <c r="D13" s="35"/>
      <c r="E13" s="2"/>
      <c r="F13" s="36"/>
      <c r="G13" s="2"/>
    </row>
    <row r="14" spans="1:7" ht="15.75" customHeight="1">
      <c r="A14" s="2"/>
      <c r="B14" s="13">
        <v>1</v>
      </c>
      <c r="C14" s="37" t="str">
        <f>CONCATENATE("Uang Harian sebesar Rp. ",VLOOKUP($E$5,Sheet1!$C$4:$AB$9,7,1)," x ",VLOOKUP($E$5,Sheet1!$C$4:$AB$9,6,1)," hari")</f>
        <v>Uang Harian sebesar Rp. 430000 x 3 hari</v>
      </c>
      <c r="D14" s="49"/>
      <c r="E14" s="38"/>
      <c r="F14" s="16">
        <f>VLOOKUP(E5,Sheet1!$C$4:$AB$11,6,1)*VLOOKUP(E5,Sheet1!$C$4:$AB$11,7,1)</f>
        <v>1290000</v>
      </c>
      <c r="G14" s="2"/>
    </row>
    <row r="15" spans="1:7" ht="15.75" customHeight="1">
      <c r="A15" s="2"/>
      <c r="B15" s="13"/>
      <c r="C15" s="20"/>
      <c r="D15" s="20"/>
      <c r="E15" s="20"/>
      <c r="F15" s="16"/>
      <c r="G15" s="2"/>
    </row>
    <row r="16" spans="1:7" ht="15.75" customHeight="1">
      <c r="A16" s="2"/>
      <c r="B16" s="13">
        <v>2</v>
      </c>
      <c r="C16" s="20" t="str">
        <f>CONCATENATE("Hotel ","30% ",VLOOKUP(DPR!$E$5,Sheet1!$C$4:$AB$9,20,1)," x ",VLOOKUP(DPR!$E$5,Sheet1!$C$4:$AB$9,19,1)," hari @Rp. ",VLOOKUP(DPR!$E$5,Sheet1!$C$4:$AB$9,21,1))</f>
        <v>Hotel 30%  x 0 hari @Rp. 0</v>
      </c>
      <c r="D16" s="20"/>
      <c r="E16" s="20"/>
      <c r="F16" s="16">
        <f>VLOOKUP(DPR!$E$5,Sheet1!$C$4:$AB$9,21,1)*VLOOKUP(DPR!$E$5,Sheet1!$C$4:$AB$9,19,1)</f>
        <v>0</v>
      </c>
      <c r="G16" s="2"/>
    </row>
    <row r="17" spans="1:7" ht="15.75" customHeight="1">
      <c r="A17" s="2"/>
      <c r="B17" s="13"/>
      <c r="C17" s="20"/>
      <c r="D17" s="20"/>
      <c r="E17" s="20"/>
      <c r="F17" s="16"/>
      <c r="G17" s="2"/>
    </row>
    <row r="18" spans="1:7" ht="15.75" customHeight="1">
      <c r="A18" s="2"/>
      <c r="B18" s="13">
        <v>3</v>
      </c>
      <c r="C18" s="20" t="str">
        <f>CONCATENATE("Representatif sebesar Rp. ",VLOOKUP($E$5,Sheet1!$C$4:$AB$11,25,1)," x ",VLOOKUP(DPR!$E$5,Sheet1!$C$4:$AB$11,6,1)," hari")</f>
        <v>Representatif sebesar Rp. 0 x 3 hari</v>
      </c>
      <c r="D18" s="20"/>
      <c r="E18" s="20"/>
      <c r="F18" s="16">
        <f>VLOOKUP(DPR!$E$5,Sheet1!$C$4:$AB$11,25,1)*VLOOKUP(DPR!$E$5,Sheet1!$C$4:$AB$11,6,1)</f>
        <v>0</v>
      </c>
      <c r="G18" s="2"/>
    </row>
    <row r="19" spans="1:7" ht="15.75" customHeight="1">
      <c r="A19" s="2"/>
      <c r="B19" s="13"/>
      <c r="C19" s="20"/>
      <c r="D19" s="20"/>
      <c r="E19" s="20"/>
      <c r="F19" s="16"/>
      <c r="G19" s="2"/>
    </row>
    <row r="20" spans="1:7" ht="16.5" customHeight="1">
      <c r="A20" s="2"/>
      <c r="B20" s="64" t="s">
        <v>8</v>
      </c>
      <c r="C20" s="65"/>
      <c r="D20" s="48"/>
      <c r="E20" s="39"/>
      <c r="F20" s="40">
        <f>SUM(F13:F19)</f>
        <v>1290000</v>
      </c>
      <c r="G20" s="2"/>
    </row>
    <row r="21" spans="1:7" ht="15.75">
      <c r="A21" s="2"/>
      <c r="B21" s="2"/>
      <c r="C21" s="2"/>
      <c r="D21" s="2"/>
      <c r="E21" s="2"/>
      <c r="F21" s="2"/>
      <c r="G21" s="2"/>
    </row>
    <row r="22" spans="1:7" ht="51" customHeight="1">
      <c r="A22" s="2"/>
      <c r="B22" s="41">
        <v>2</v>
      </c>
      <c r="C22" s="66" t="s">
        <v>9</v>
      </c>
      <c r="D22" s="66"/>
      <c r="E22" s="66"/>
      <c r="F22" s="66"/>
      <c r="G22" s="66"/>
    </row>
    <row r="23" spans="1:7" ht="15.75">
      <c r="A23" s="2"/>
      <c r="B23" s="2"/>
      <c r="C23" s="2"/>
      <c r="D23" s="2"/>
      <c r="E23" s="2"/>
      <c r="F23" s="2"/>
      <c r="G23" s="2"/>
    </row>
    <row r="24" spans="1:7" ht="15.75">
      <c r="A24" s="2"/>
      <c r="B24" s="67" t="s">
        <v>10</v>
      </c>
      <c r="C24" s="67"/>
      <c r="D24" s="67"/>
      <c r="E24" s="67"/>
      <c r="F24" s="67"/>
      <c r="G24" s="67"/>
    </row>
    <row r="25" spans="1:7" ht="15.75">
      <c r="A25" s="2"/>
      <c r="B25" s="2"/>
      <c r="C25" s="2"/>
      <c r="D25" s="2"/>
      <c r="E25" s="2"/>
      <c r="F25" s="2"/>
      <c r="G25" s="2"/>
    </row>
    <row r="26" spans="1:7" ht="15.75">
      <c r="A26" s="2"/>
      <c r="B26" s="2"/>
      <c r="C26" s="2"/>
      <c r="D26" s="2"/>
      <c r="E26" s="2"/>
      <c r="F26" s="2" t="s">
        <v>93</v>
      </c>
      <c r="G26" s="42"/>
    </row>
    <row r="27" spans="1:7" ht="5.25" customHeight="1">
      <c r="A27" s="2"/>
      <c r="B27" s="2"/>
      <c r="C27" s="2"/>
      <c r="D27" s="2"/>
      <c r="E27" s="2"/>
      <c r="F27" s="2"/>
      <c r="G27" s="2"/>
    </row>
    <row r="28" spans="1:7" ht="15.75">
      <c r="A28" s="2"/>
      <c r="B28" s="42" t="s">
        <v>11</v>
      </c>
      <c r="C28" s="42"/>
      <c r="D28" s="42"/>
      <c r="E28" s="2"/>
      <c r="F28" s="42" t="s">
        <v>12</v>
      </c>
      <c r="G28" s="42"/>
    </row>
    <row r="29" spans="1:7" ht="15.75">
      <c r="A29" s="2"/>
      <c r="B29" s="43" t="s">
        <v>13</v>
      </c>
      <c r="C29" s="43"/>
      <c r="D29" s="43"/>
      <c r="E29" s="2"/>
      <c r="F29" s="43" t="s">
        <v>14</v>
      </c>
      <c r="G29" s="43"/>
    </row>
    <row r="30" spans="1:7" ht="15.75">
      <c r="A30" s="2"/>
      <c r="B30" s="2"/>
      <c r="C30" s="2"/>
      <c r="D30" s="2"/>
      <c r="E30" s="2"/>
      <c r="F30" s="2"/>
      <c r="G30" s="2"/>
    </row>
    <row r="31" spans="1:7" ht="15.75">
      <c r="A31" s="2"/>
      <c r="B31" s="2"/>
      <c r="C31" s="2"/>
      <c r="D31" s="2"/>
      <c r="E31" s="2"/>
      <c r="F31" s="2"/>
      <c r="G31" s="2"/>
    </row>
    <row r="32" spans="1:7" ht="15.75">
      <c r="A32" s="2"/>
      <c r="B32" s="2"/>
      <c r="C32" s="2"/>
      <c r="D32" s="2"/>
      <c r="E32" s="2"/>
      <c r="F32" s="2"/>
      <c r="G32" s="2"/>
    </row>
    <row r="33" spans="1:7" ht="15.75">
      <c r="A33" s="2"/>
      <c r="B33" s="42" t="s">
        <v>15</v>
      </c>
      <c r="C33" s="42"/>
      <c r="D33" s="42"/>
      <c r="E33" s="2"/>
      <c r="F33" s="42" t="str">
        <f>E5</f>
        <v>SIMON HALOMOAN</v>
      </c>
      <c r="G33" s="42"/>
    </row>
    <row r="34" spans="1:7" ht="15.75">
      <c r="A34" s="2"/>
      <c r="B34" s="42" t="s">
        <v>16</v>
      </c>
      <c r="C34" s="2"/>
      <c r="D34" s="2"/>
      <c r="E34" s="2"/>
      <c r="F34" s="63" t="s">
        <v>94</v>
      </c>
      <c r="G34" s="42"/>
    </row>
    <row r="35" spans="1:7" ht="15.75">
      <c r="A35" s="2"/>
      <c r="B35" s="42"/>
      <c r="C35" s="2"/>
      <c r="D35" s="2"/>
      <c r="E35" s="2"/>
      <c r="F35" s="2"/>
      <c r="G35" s="2"/>
    </row>
    <row r="36" spans="1:7" ht="15.75">
      <c r="A36" s="2"/>
      <c r="B36" s="2"/>
      <c r="C36" s="2"/>
      <c r="D36" s="2"/>
      <c r="E36" s="2"/>
      <c r="F36" s="2"/>
      <c r="G36" s="2"/>
    </row>
    <row r="37" spans="1:7" ht="15.75">
      <c r="A37" s="2"/>
      <c r="B37" s="2"/>
      <c r="C37" s="2"/>
      <c r="D37" s="2"/>
      <c r="E37" s="2"/>
      <c r="F37" s="2"/>
      <c r="G37" s="2"/>
    </row>
    <row r="38" spans="1:7" ht="15.75">
      <c r="A38" s="2"/>
      <c r="B38" s="2"/>
      <c r="C38" s="2"/>
      <c r="D38" s="2"/>
      <c r="E38" s="2"/>
      <c r="F38" s="7"/>
      <c r="G38" s="7"/>
    </row>
  </sheetData>
  <mergeCells count="9">
    <mergeCell ref="B20:C20"/>
    <mergeCell ref="C22:G22"/>
    <mergeCell ref="B24:G24"/>
    <mergeCell ref="B8:G9"/>
    <mergeCell ref="B1:G1"/>
    <mergeCell ref="B3:E3"/>
    <mergeCell ref="E7:G7"/>
    <mergeCell ref="C10:G10"/>
    <mergeCell ref="C12:E12"/>
  </mergeCells>
  <pageMargins left="0.25" right="0.25" top="0.75" bottom="0.75" header="0.3" footer="0.3"/>
  <pageSetup paperSize="9" scale="92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Sheet1!$C$4:$C$11</xm:f>
          </x14:formula1>
          <xm:sqref>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F60"/>
  <sheetViews>
    <sheetView view="pageBreakPreview" topLeftCell="A19" zoomScaleNormal="100" zoomScaleSheetLayoutView="100" workbookViewId="0">
      <selection activeCell="D41" sqref="D41"/>
    </sheetView>
  </sheetViews>
  <sheetFormatPr defaultColWidth="9" defaultRowHeight="15"/>
  <cols>
    <col min="1" max="1" width="5.85546875" customWidth="1"/>
    <col min="2" max="2" width="6" customWidth="1"/>
    <col min="3" max="3" width="39.42578125" bestFit="1" customWidth="1"/>
    <col min="4" max="4" width="21.42578125" customWidth="1"/>
    <col min="5" max="5" width="20.85546875" customWidth="1"/>
    <col min="6" max="6" width="26.28515625" customWidth="1"/>
  </cols>
  <sheetData>
    <row r="1" spans="1:6" ht="15.75">
      <c r="A1" s="45"/>
      <c r="B1" s="2"/>
      <c r="C1" s="2"/>
      <c r="D1" s="2"/>
      <c r="E1" s="2"/>
      <c r="F1" s="2"/>
    </row>
    <row r="2" spans="1:6" ht="18">
      <c r="A2" s="2"/>
      <c r="B2" s="75" t="s">
        <v>17</v>
      </c>
      <c r="C2" s="75"/>
      <c r="D2" s="75"/>
      <c r="E2" s="75"/>
      <c r="F2" s="75"/>
    </row>
    <row r="3" spans="1:6" ht="18">
      <c r="A3" s="2"/>
      <c r="B3" s="3"/>
      <c r="C3" s="3"/>
      <c r="D3" s="3"/>
      <c r="E3" s="3"/>
      <c r="F3" s="3"/>
    </row>
    <row r="4" spans="1:6" ht="18">
      <c r="A4" s="2"/>
      <c r="B4" s="76" t="s">
        <v>18</v>
      </c>
      <c r="C4" s="76"/>
      <c r="D4" s="4" t="str">
        <f>CONCATENATE(": ",VLOOKUP(DPR!E5,Sheet1!$C$4:$I$7,4,1))</f>
        <v>: ITJ.1.UM.07.01-3597</v>
      </c>
      <c r="E4" s="3"/>
      <c r="F4" s="3"/>
    </row>
    <row r="5" spans="1:6" ht="15.75">
      <c r="A5" s="2"/>
      <c r="B5" s="76" t="s">
        <v>19</v>
      </c>
      <c r="C5" s="76"/>
      <c r="D5" s="5" t="str">
        <f>CONCATENATE(": ",TEXT(VLOOKUP(DPR!E5,Sheet1!$C$4:$I$7,5,1),"DD MMMM YYYY"))</f>
        <v>: 30 August 2021</v>
      </c>
      <c r="E5" s="2"/>
      <c r="F5" s="6"/>
    </row>
    <row r="6" spans="1:6" ht="15.75">
      <c r="A6" s="7"/>
      <c r="B6" s="8"/>
      <c r="C6" s="8"/>
      <c r="D6" s="9"/>
      <c r="E6" s="2"/>
      <c r="F6" s="2"/>
    </row>
    <row r="7" spans="1:6" ht="15.75">
      <c r="A7" s="2"/>
      <c r="B7" s="10" t="s">
        <v>6</v>
      </c>
      <c r="C7" s="72" t="s">
        <v>20</v>
      </c>
      <c r="D7" s="73"/>
      <c r="E7" s="11" t="s">
        <v>21</v>
      </c>
      <c r="F7" s="12" t="s">
        <v>22</v>
      </c>
    </row>
    <row r="8" spans="1:6" ht="15.75" customHeight="1">
      <c r="A8" s="2"/>
      <c r="B8" s="13"/>
      <c r="C8" s="14"/>
      <c r="D8" s="15"/>
      <c r="E8" s="16"/>
      <c r="F8" s="17"/>
    </row>
    <row r="9" spans="1:6" ht="15.75">
      <c r="A9" s="2"/>
      <c r="B9" s="13">
        <v>1</v>
      </c>
      <c r="C9" s="77" t="s">
        <v>23</v>
      </c>
      <c r="D9" s="78"/>
      <c r="E9" s="16"/>
      <c r="F9" s="17"/>
    </row>
    <row r="10" spans="1:6" ht="15.75" customHeight="1">
      <c r="A10" s="2"/>
      <c r="B10" s="13"/>
      <c r="C10" s="18" t="str">
        <f>CONCATENATE("Selama ",VLOOKUP(DPR!E5,Sheet1!$C$4:$I$7,6,1)," hari  @ Rp ",VLOOKUP(DPR!E5,Sheet1!$C$4:$I$7,7,1))</f>
        <v>Selama 3 hari  @ Rp 430000</v>
      </c>
      <c r="D10" s="19"/>
      <c r="E10" s="16">
        <f>VLOOKUP(DPR!E5,Sheet1!$C$4:$I$7,6,1)*VLOOKUP(DPR!E5,Sheet1!$C$4:$I$7,7,1)</f>
        <v>1290000</v>
      </c>
      <c r="F10" s="17" t="s">
        <v>24</v>
      </c>
    </row>
    <row r="11" spans="1:6" ht="15.75" customHeight="1">
      <c r="A11" s="2"/>
      <c r="B11" s="13"/>
      <c r="C11" s="18"/>
      <c r="D11" s="2"/>
      <c r="E11" s="16"/>
      <c r="F11" s="17"/>
    </row>
    <row r="12" spans="1:6" ht="15.75" customHeight="1">
      <c r="A12" s="2"/>
      <c r="B12" s="13">
        <v>2</v>
      </c>
      <c r="C12" s="32" t="s">
        <v>25</v>
      </c>
      <c r="D12" s="32"/>
      <c r="E12" s="16">
        <f>D13+D14</f>
        <v>0</v>
      </c>
      <c r="F12" s="17" t="str">
        <f>IF(E12&lt;&gt;0,"Bukti Terlampir","Tidak ada bukti")</f>
        <v>Tidak ada bukti</v>
      </c>
    </row>
    <row r="13" spans="1:6" ht="15.75" customHeight="1">
      <c r="A13" s="2"/>
      <c r="B13" s="13"/>
      <c r="C13" s="32">
        <f>VLOOKUP(DPR!E5,Sheet1!$C$4:$AB$9,11,1)</f>
        <v>0</v>
      </c>
      <c r="D13" s="52">
        <f>VLOOKUP(DPR!$E$5,Sheet1!$C$4:$AB$9,12,1)</f>
        <v>0</v>
      </c>
      <c r="E13" s="16"/>
      <c r="F13" s="17" t="str">
        <f t="shared" ref="F13:F14" si="0">IF(D13&lt;&gt;0,"Bukti Terlampir","")</f>
        <v/>
      </c>
    </row>
    <row r="14" spans="1:6" ht="15.75" customHeight="1">
      <c r="A14" s="2"/>
      <c r="B14" s="13"/>
      <c r="C14" s="32">
        <f>VLOOKUP(DPR!E5,Sheet1!$C$4:$AB$9,11,1)</f>
        <v>0</v>
      </c>
      <c r="D14" s="52">
        <f>VLOOKUP(DPR!$E$5,Sheet1!$C$4:$AB$9,14,1)</f>
        <v>0</v>
      </c>
      <c r="E14" s="16"/>
      <c r="F14" s="17" t="str">
        <f t="shared" si="0"/>
        <v/>
      </c>
    </row>
    <row r="15" spans="1:6" ht="15.75" customHeight="1">
      <c r="A15" s="2"/>
      <c r="B15" s="13"/>
      <c r="C15" s="32"/>
      <c r="D15" s="52"/>
      <c r="E15" s="16"/>
      <c r="F15" s="17"/>
    </row>
    <row r="16" spans="1:6" ht="15.75" customHeight="1">
      <c r="A16" s="2"/>
      <c r="B16" s="13">
        <v>3</v>
      </c>
      <c r="C16" s="32" t="s">
        <v>26</v>
      </c>
      <c r="D16" s="32"/>
      <c r="E16" s="16">
        <f>VLOOKUP(DPR!$E$5,Sheet1!$C$4:$AB$9,8,1)</f>
        <v>0</v>
      </c>
      <c r="F16" s="17" t="str">
        <f>IF(E16&lt;&gt;0,"Bukti Terlampir","Tidak ada bukti")</f>
        <v>Tidak ada bukti</v>
      </c>
    </row>
    <row r="17" spans="1:6" ht="15.75" customHeight="1">
      <c r="A17" s="2"/>
      <c r="B17" s="13"/>
      <c r="C17" s="32"/>
      <c r="D17" s="32"/>
      <c r="E17" s="16"/>
      <c r="F17" s="17"/>
    </row>
    <row r="18" spans="1:6" ht="15.75" customHeight="1">
      <c r="A18" s="2"/>
      <c r="B18" s="13">
        <v>4</v>
      </c>
      <c r="C18" s="32" t="s">
        <v>27</v>
      </c>
      <c r="D18" s="32"/>
      <c r="E18" s="16">
        <f>VLOOKUP(DPR!$E$5,Sheet1!$C$4:$AB$9,15,1)</f>
        <v>0</v>
      </c>
      <c r="F18" s="17" t="str">
        <f>IF(E18&lt;&gt;0,"Bukti Terlampir","Tidak ada bukti")</f>
        <v>Tidak ada bukti</v>
      </c>
    </row>
    <row r="19" spans="1:6" ht="15.75" customHeight="1">
      <c r="A19" s="2"/>
      <c r="B19" s="13"/>
      <c r="C19" s="32"/>
      <c r="D19" s="32"/>
      <c r="E19" s="16"/>
      <c r="F19" s="17"/>
    </row>
    <row r="20" spans="1:6" ht="15.75" customHeight="1">
      <c r="A20" s="2"/>
      <c r="B20" s="13"/>
      <c r="C20" s="32" t="s">
        <v>28</v>
      </c>
      <c r="D20" s="32"/>
      <c r="E20" s="16">
        <f>VLOOKUP(DPR!$E$5,Sheet1!$C$4:$AB$9,9,1)</f>
        <v>0</v>
      </c>
      <c r="F20" s="17" t="str">
        <f>IF(E20&lt;&gt;0,"Bukti Terlampir","Tidak ada bukti")</f>
        <v>Tidak ada bukti</v>
      </c>
    </row>
    <row r="21" spans="1:6" ht="15.75" customHeight="1">
      <c r="A21" s="2"/>
      <c r="B21" s="13"/>
      <c r="C21" s="32" t="s">
        <v>29</v>
      </c>
      <c r="D21" s="32"/>
      <c r="E21" s="16">
        <f>VLOOKUP(DPR!$E$5,Sheet1!$C$4:$AB$9,10,1)</f>
        <v>0</v>
      </c>
      <c r="F21" s="17" t="str">
        <f>IF(E21&lt;&gt;0,"Bukti Terlampir","Tidak ada bukti")</f>
        <v>Tidak ada bukti</v>
      </c>
    </row>
    <row r="22" spans="1:6" ht="15.75" customHeight="1">
      <c r="A22" s="2"/>
      <c r="B22" s="13"/>
      <c r="C22" s="32"/>
      <c r="D22" s="32"/>
      <c r="E22" s="16"/>
      <c r="F22" s="17"/>
    </row>
    <row r="23" spans="1:6" ht="15.75">
      <c r="A23" s="2"/>
      <c r="B23" s="13">
        <v>5</v>
      </c>
      <c r="C23" s="32" t="s">
        <v>30</v>
      </c>
      <c r="E23" s="16">
        <f>D24+D25+D26</f>
        <v>1110000</v>
      </c>
      <c r="F23" s="17"/>
    </row>
    <row r="24" spans="1:6" ht="15.75">
      <c r="A24" s="2"/>
      <c r="B24" s="13"/>
      <c r="C24" s="32" t="str">
        <f>CONCATENATE("Hotel ",VLOOKUP(DPR!$E$5,Sheet1!$C$4:$AB$9,17,1)," ",VLOOKUP(DPR!$E$5,Sheet1!$C$4:$AB$9,16,1)," hari @Rp. ",VLOOKUP(DPR!$E$5,Sheet1!$C$4:$AB$9,18,1))</f>
        <v>Hotel Royal Tulip Bogor 2 hari @Rp. 555000</v>
      </c>
      <c r="D24" s="52">
        <f>VLOOKUP(DPR!$E$5,Sheet1!$C$4:$AB$9,18,1)*VLOOKUP(DPR!$E$5,Sheet1!$C$4:$AB$9,16,1)</f>
        <v>1110000</v>
      </c>
      <c r="E24" s="16"/>
      <c r="F24" s="17" t="str">
        <f>IF(D24&lt;&gt;0,"Bukti Terlampir","")</f>
        <v>Bukti Terlampir</v>
      </c>
    </row>
    <row r="25" spans="1:6" ht="15.75">
      <c r="A25" s="2"/>
      <c r="B25" s="13"/>
      <c r="C25" s="32" t="str">
        <f>CONCATENATE("30% ",VLOOKUP(DPR!$E$5,Sheet1!$C$4:$AB$9,20,1)," x ",VLOOKUP(DPR!$E$5,Sheet1!$C$4:$AB$9,19,1)," hari @Rp. ",VLOOKUP(DPR!$E$5,Sheet1!$C$4:$AB$9,21,1))</f>
        <v>30%  x 0 hari @Rp. 0</v>
      </c>
      <c r="D25" s="52">
        <f>VLOOKUP(DPR!$E$5,Sheet1!$C$4:$AB$9,21,1)*VLOOKUP(DPR!$E$5,Sheet1!$C$4:$AB$9,19,1)</f>
        <v>0</v>
      </c>
      <c r="E25" s="16"/>
      <c r="F25" s="17" t="s">
        <v>24</v>
      </c>
    </row>
    <row r="26" spans="1:6" ht="15.75">
      <c r="A26" s="2"/>
      <c r="B26" s="13"/>
      <c r="C26" s="32"/>
      <c r="D26" s="52"/>
      <c r="E26" s="16"/>
      <c r="F26" s="17" t="str">
        <f>IF(D26&lt;&gt;0,"Tidak ada bukti","")</f>
        <v/>
      </c>
    </row>
    <row r="27" spans="1:6" ht="15.75">
      <c r="A27" s="2"/>
      <c r="B27" s="13">
        <v>6</v>
      </c>
      <c r="C27" s="32" t="s">
        <v>31</v>
      </c>
      <c r="D27" s="32"/>
      <c r="E27" s="16"/>
      <c r="F27" s="17"/>
    </row>
    <row r="28" spans="1:6" ht="15.75">
      <c r="A28" s="2"/>
      <c r="B28" s="13"/>
      <c r="C28" s="32" t="str">
        <f>CONCATENATE(VLOOKUP(DPR!$E$5,Sheet1!$C$4:$AB$7,6,1), " hari x @Rp.200.000")</f>
        <v>3 hari x @Rp.200.000</v>
      </c>
      <c r="E28" s="16">
        <f>VLOOKUP(DPR!$E$5,Sheet1!$C$4:$AB$9,25,1)*VLOOKUP(DPR!$E$5,Sheet1!$C$4:$AB$11,6,1)</f>
        <v>0</v>
      </c>
      <c r="F28" s="17" t="s">
        <v>24</v>
      </c>
    </row>
    <row r="29" spans="1:6" ht="15.75">
      <c r="A29" s="2"/>
      <c r="B29" s="13"/>
      <c r="C29" s="20"/>
      <c r="D29" s="20"/>
      <c r="E29" s="16"/>
      <c r="F29" s="17"/>
    </row>
    <row r="30" spans="1:6" ht="15.75">
      <c r="A30" s="2"/>
      <c r="B30" s="79" t="s">
        <v>21</v>
      </c>
      <c r="C30" s="80"/>
      <c r="D30" s="80"/>
      <c r="E30" s="21">
        <f>SUM(E8:E29)</f>
        <v>2400000</v>
      </c>
      <c r="F30" s="22"/>
    </row>
    <row r="31" spans="1:6" ht="15.75">
      <c r="A31" s="2"/>
      <c r="B31" s="81" t="str">
        <f>IF(E30=0,"Nol",IF(E30&lt;0,"Minus ","")&amp; 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 IF(--MID(TEXT(ABS(E30),"000000000000000"),1,3)=0,"",MID(TEXT(ABS(E30),"000000000000000"),1,1)&amp;" Ratus "&amp;MID(TEXT(ABS(E30),"000000000000000"),2,1)&amp;" Puluh "&amp;MID(TEXT(ABS(E30),"000000000000000"),3,1)&amp;" Trilyun ")&amp; IF(--MID(TEXT(ABS(E30),"000000000000000"),4,3)=0,"",MID(TEXT(ABS(E30),"000000000000000"),4,1)&amp;" Ratus "&amp;MID(TEXT(ABS(E30),"000000000000000"),5,1)&amp;" Puluh "&amp;MID(TEXT(ABS(E30),"000000000000000"),6,1)&amp;" Milyar ")&amp; IF(--MID(TEXT(ABS(E30),"000000000000000"),7,3)=0,"",MID(TEXT(ABS(E30),"000000000000000"),7,1)&amp;" Ratus "&amp;MID(TEXT(ABS(E30),"000000000000000"),8,1)&amp;" Puluh "&amp;MID(TEXT(ABS(E30),"000000000000000"),9,1)&amp;" Juta ")&amp; IF(--MID(TEXT(ABS(E30),"000000000000000"),10,3)=0,"",IF(--MID(TEXT(ABS(E30),"000000000000000"),10,3)=1,"*",MID(TEXT(ABS(E30),"000000000000000"),10,1)&amp;" Ratus "&amp;MID(TEXT(ABS(E30),"000000000000000"),11,1)&amp;" Puluh ")&amp;MID(TEXT(ABS(E30),"000000000000000"),12,1)&amp;" Ribu ")&amp; IF(--MID(TEXT(ABS(E30),"000000000000000"),13,3)=0,"",MID(TEXT(ABS(E30),"000000000000000"),13,1)&amp;" Ratus "&amp;MID(TEXT(ABS(E30),"000000000000000"),14,1)&amp;" Puluh "&amp;MID(TEXT(ABS(E30),"000000000000000"),15,1)),1,"Satu"),2,"Dua"),3,"Tiga"),4,"Empat"),5,"Lima"),6,"Enam"),7,"Tujuh"),8,"Delapan"),9,"Sembilan"),"0 Ratus",""),"0 Puluh",""),"Satu Puluh 0","Sepuluh"),"Satu Puluh Satu","Sebelas"),"Satu Puluh Dua","Dua Belas"),"Satu Puluh Tiga","Tiga Belas"),"Satu Puluh Empat","Empat Belas"),"Satu Puluh Lima","Lima Belas"),"Satu Puluh Enam","Enam Belas"),"Satu Puluh Tujuh","Tujuh Belas"),"Satu Puluh Delapan","Delapan Belas"),"Satu Puluh Sembilan","Sembilan Belas"),"Satu Ratus","Seratus"),"*Satu Ribu","Seribu"),0,""))," "," "))</f>
        <v>Dua Juta Empat Ratus Ribu</v>
      </c>
      <c r="C31" s="82"/>
      <c r="D31" s="82"/>
      <c r="E31" s="82"/>
      <c r="F31" s="83"/>
    </row>
    <row r="32" spans="1:6" ht="15.75">
      <c r="A32" s="2"/>
      <c r="B32" s="23"/>
      <c r="C32" s="23"/>
      <c r="D32" s="23"/>
      <c r="E32" s="24"/>
      <c r="F32" s="25"/>
    </row>
    <row r="33" spans="1:6" ht="15.75">
      <c r="A33" s="2"/>
      <c r="B33" s="2" t="s">
        <v>32</v>
      </c>
      <c r="C33" s="2"/>
      <c r="D33" s="84" t="s">
        <v>33</v>
      </c>
      <c r="E33" s="84"/>
      <c r="F33" s="84"/>
    </row>
    <row r="34" spans="1:6" ht="15.75">
      <c r="A34" s="2"/>
      <c r="B34" s="26"/>
      <c r="C34" s="27">
        <f>E30</f>
        <v>2400000</v>
      </c>
      <c r="D34" s="2"/>
      <c r="E34" s="27">
        <f>E30</f>
        <v>2400000</v>
      </c>
      <c r="F34" s="2"/>
    </row>
    <row r="35" spans="1:6" ht="15.75">
      <c r="A35" s="2"/>
      <c r="B35" s="26"/>
      <c r="C35" s="27"/>
      <c r="D35" s="2"/>
      <c r="E35" s="2" t="s">
        <v>37</v>
      </c>
      <c r="F35" s="2"/>
    </row>
    <row r="36" spans="1:6" ht="15.75">
      <c r="A36" s="2"/>
      <c r="B36" s="2"/>
      <c r="C36" s="2"/>
      <c r="D36" s="2"/>
      <c r="E36" s="2"/>
      <c r="F36" s="2"/>
    </row>
    <row r="37" spans="1:6" ht="15.75">
      <c r="A37" s="2"/>
      <c r="B37" s="84" t="s">
        <v>34</v>
      </c>
      <c r="C37" s="84"/>
      <c r="D37" s="2"/>
      <c r="E37" s="84" t="s">
        <v>35</v>
      </c>
      <c r="F37" s="84"/>
    </row>
    <row r="38" spans="1:6" ht="15.75">
      <c r="A38" s="2"/>
      <c r="B38" s="2"/>
      <c r="C38" s="2"/>
      <c r="D38" s="2"/>
      <c r="E38" s="2"/>
      <c r="F38" s="2"/>
    </row>
    <row r="39" spans="1:6" ht="15.75">
      <c r="A39" s="2"/>
      <c r="B39" s="2"/>
      <c r="C39" s="2"/>
      <c r="D39" s="2"/>
      <c r="E39" s="2"/>
      <c r="F39" s="2"/>
    </row>
    <row r="40" spans="1:6" ht="15.75">
      <c r="A40" s="2"/>
      <c r="B40" s="2"/>
      <c r="C40" s="2"/>
      <c r="D40" s="2"/>
      <c r="E40" s="2"/>
      <c r="F40" s="2"/>
    </row>
    <row r="41" spans="1:6" ht="15.75">
      <c r="B41" s="2"/>
      <c r="C41" s="2"/>
      <c r="D41" s="2"/>
      <c r="E41" s="2"/>
      <c r="F41" s="2"/>
    </row>
    <row r="42" spans="1:6" ht="15.75">
      <c r="B42" s="84" t="s">
        <v>36</v>
      </c>
      <c r="C42" s="84"/>
      <c r="D42" s="7" t="s">
        <v>37</v>
      </c>
      <c r="E42" s="84" t="str">
        <f>DPR!E5</f>
        <v>SIMON HALOMOAN</v>
      </c>
      <c r="F42" s="84"/>
    </row>
    <row r="43" spans="1:6" ht="15.75">
      <c r="B43" s="84" t="s">
        <v>62</v>
      </c>
      <c r="C43" s="84"/>
      <c r="D43" s="7"/>
      <c r="E43" s="84" t="s">
        <v>95</v>
      </c>
      <c r="F43" s="84"/>
    </row>
    <row r="44" spans="1:6" ht="7.5" customHeight="1">
      <c r="B44" s="28"/>
      <c r="C44" s="28"/>
      <c r="D44" s="28"/>
      <c r="E44" s="28"/>
      <c r="F44" s="28"/>
    </row>
    <row r="45" spans="1:6" ht="15.75">
      <c r="B45" s="2"/>
      <c r="C45" s="2"/>
      <c r="D45" s="2"/>
      <c r="E45" s="2"/>
      <c r="F45" s="2"/>
    </row>
    <row r="46" spans="1:6" ht="15.75">
      <c r="B46" s="85" t="s">
        <v>38</v>
      </c>
      <c r="C46" s="85"/>
      <c r="D46" s="85"/>
      <c r="E46" s="85"/>
      <c r="F46" s="85"/>
    </row>
    <row r="47" spans="1:6" ht="15.75">
      <c r="B47" s="84"/>
      <c r="C47" s="84"/>
      <c r="D47" s="84"/>
      <c r="E47" s="84"/>
      <c r="F47" s="2"/>
    </row>
    <row r="48" spans="1:6" ht="15.75">
      <c r="B48" s="2" t="s">
        <v>39</v>
      </c>
      <c r="C48" s="2"/>
      <c r="D48" s="29">
        <f>C34</f>
        <v>2400000</v>
      </c>
      <c r="E48" s="2"/>
      <c r="F48" s="2"/>
    </row>
    <row r="49" spans="2:6" ht="15.75">
      <c r="B49" s="2" t="s">
        <v>40</v>
      </c>
      <c r="C49" s="2"/>
      <c r="D49" s="30">
        <f>E34</f>
        <v>2400000</v>
      </c>
      <c r="E49" s="2"/>
      <c r="F49" s="2"/>
    </row>
    <row r="50" spans="2:6" ht="15.75">
      <c r="B50" s="26" t="s">
        <v>41</v>
      </c>
      <c r="C50" s="2"/>
      <c r="D50" s="27">
        <f>D48-D49</f>
        <v>0</v>
      </c>
      <c r="E50" s="2"/>
      <c r="F50" s="2"/>
    </row>
    <row r="51" spans="2:6" ht="15.75">
      <c r="B51" s="2"/>
      <c r="C51" s="2"/>
      <c r="D51" s="2"/>
      <c r="E51" s="2"/>
      <c r="F51" s="2"/>
    </row>
    <row r="52" spans="2:6" ht="15.75">
      <c r="B52" s="2"/>
      <c r="C52" s="2"/>
      <c r="D52" s="2"/>
      <c r="E52" s="84" t="s">
        <v>13</v>
      </c>
      <c r="F52" s="84"/>
    </row>
    <row r="53" spans="2:6" ht="15.75">
      <c r="B53" s="2"/>
      <c r="C53" s="2"/>
      <c r="D53" s="2"/>
      <c r="E53" s="2"/>
      <c r="F53" s="2"/>
    </row>
    <row r="54" spans="2:6" ht="15.75">
      <c r="B54" s="2"/>
      <c r="C54" s="2"/>
      <c r="D54" s="2"/>
      <c r="E54" s="2"/>
      <c r="F54" s="2"/>
    </row>
    <row r="55" spans="2:6" ht="15.75">
      <c r="B55" s="2"/>
      <c r="C55" s="2"/>
      <c r="D55" s="2"/>
      <c r="E55" s="2"/>
      <c r="F55" s="2"/>
    </row>
    <row r="56" spans="2:6" ht="15.75">
      <c r="B56" s="2"/>
      <c r="C56" s="2"/>
      <c r="D56" s="2"/>
      <c r="E56" s="2"/>
      <c r="F56" s="2"/>
    </row>
    <row r="57" spans="2:6" ht="15.75">
      <c r="B57" s="2"/>
      <c r="C57" s="2"/>
      <c r="D57" s="2"/>
      <c r="E57" s="2"/>
      <c r="F57" s="2"/>
    </row>
    <row r="58" spans="2:6" ht="15.75">
      <c r="B58" s="2"/>
      <c r="C58" s="2"/>
      <c r="D58" s="2"/>
      <c r="E58" s="84" t="s">
        <v>15</v>
      </c>
      <c r="F58" s="84"/>
    </row>
    <row r="59" spans="2:6" ht="15.75">
      <c r="B59" s="2"/>
      <c r="C59" s="2"/>
      <c r="D59" s="2"/>
      <c r="E59" s="84" t="s">
        <v>16</v>
      </c>
      <c r="F59" s="84"/>
    </row>
    <row r="60" spans="2:6" ht="15.75">
      <c r="B60" s="2"/>
      <c r="C60" s="2"/>
      <c r="D60" s="2"/>
      <c r="E60" s="7"/>
      <c r="F60" s="7"/>
    </row>
  </sheetData>
  <mergeCells count="19">
    <mergeCell ref="B47:E47"/>
    <mergeCell ref="E52:F52"/>
    <mergeCell ref="E58:F58"/>
    <mergeCell ref="E59:F59"/>
    <mergeCell ref="B42:C42"/>
    <mergeCell ref="E42:F42"/>
    <mergeCell ref="B43:C43"/>
    <mergeCell ref="E43:F43"/>
    <mergeCell ref="B46:F46"/>
    <mergeCell ref="B30:D30"/>
    <mergeCell ref="B31:F31"/>
    <mergeCell ref="D33:F33"/>
    <mergeCell ref="B37:C37"/>
    <mergeCell ref="E37:F37"/>
    <mergeCell ref="B2:F2"/>
    <mergeCell ref="B4:C4"/>
    <mergeCell ref="B5:C5"/>
    <mergeCell ref="C7:D7"/>
    <mergeCell ref="C9:D9"/>
  </mergeCells>
  <pageMargins left="0.25" right="0.25" top="0.75" bottom="0.75" header="0.3" footer="0.3"/>
  <pageSetup paperSize="9" scale="7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C11"/>
  <sheetViews>
    <sheetView workbookViewId="0">
      <pane xSplit="3" topLeftCell="D1" activePane="topRight" state="frozen"/>
      <selection pane="topRight" activeCell="D10" sqref="D10"/>
    </sheetView>
  </sheetViews>
  <sheetFormatPr defaultColWidth="9" defaultRowHeight="15"/>
  <cols>
    <col min="2" max="2" width="5.85546875" customWidth="1"/>
    <col min="3" max="3" width="30" customWidth="1"/>
    <col min="4" max="4" width="20.5703125" customWidth="1"/>
    <col min="5" max="5" width="72" customWidth="1"/>
    <col min="6" max="6" width="18.5703125" customWidth="1"/>
    <col min="7" max="7" width="17.5703125" customWidth="1"/>
    <col min="8" max="8" width="6.85546875" customWidth="1"/>
    <col min="9" max="9" width="9.28515625" customWidth="1"/>
    <col min="10" max="10" width="9.140625" bestFit="1" customWidth="1"/>
    <col min="11" max="11" width="7.5703125" customWidth="1"/>
    <col min="12" max="12" width="10" customWidth="1"/>
    <col min="13" max="13" width="16.85546875" customWidth="1"/>
    <col min="14" max="14" width="9.85546875" customWidth="1"/>
    <col min="15" max="15" width="16.85546875" customWidth="1"/>
    <col min="16" max="16" width="9.140625" customWidth="1"/>
    <col min="17" max="17" width="8" customWidth="1"/>
    <col min="18" max="18" width="4.5703125" customWidth="1"/>
    <col min="19" max="19" width="13.7109375" customWidth="1"/>
    <col min="20" max="20" width="9.140625" bestFit="1" customWidth="1"/>
    <col min="21" max="21" width="7" customWidth="1"/>
    <col min="22" max="22" width="6.28515625" customWidth="1"/>
    <col min="23" max="24" width="7.5703125" customWidth="1"/>
    <col min="25" max="25" width="8" customWidth="1"/>
    <col min="26" max="26" width="7.5703125" customWidth="1"/>
    <col min="27" max="27" width="13.28515625" customWidth="1"/>
    <col min="28" max="28" width="10.85546875" customWidth="1"/>
    <col min="29" max="29" width="17.42578125" customWidth="1"/>
  </cols>
  <sheetData>
    <row r="1" spans="2:29">
      <c r="M1" s="86" t="s">
        <v>42</v>
      </c>
      <c r="N1" s="86"/>
      <c r="O1" s="86"/>
      <c r="P1" s="1"/>
      <c r="R1" s="86" t="s">
        <v>30</v>
      </c>
      <c r="S1" s="86"/>
      <c r="T1" s="86"/>
      <c r="U1" s="86"/>
      <c r="V1" s="86"/>
      <c r="W1" s="86"/>
      <c r="X1" s="1"/>
      <c r="Y1" s="1"/>
      <c r="Z1" s="1"/>
    </row>
    <row r="2" spans="2:29">
      <c r="M2" s="86" t="s">
        <v>43</v>
      </c>
      <c r="N2" s="86"/>
      <c r="O2" s="86" t="s">
        <v>44</v>
      </c>
      <c r="P2" s="86"/>
      <c r="Q2" s="1"/>
      <c r="S2" s="86">
        <v>1</v>
      </c>
      <c r="T2" s="86"/>
      <c r="U2" s="1"/>
      <c r="V2" s="86">
        <v>2</v>
      </c>
      <c r="W2" s="86"/>
      <c r="X2" s="1"/>
      <c r="Y2" s="1"/>
      <c r="Z2" s="1"/>
    </row>
    <row r="3" spans="2:29">
      <c r="B3" t="s">
        <v>45</v>
      </c>
      <c r="C3" t="s">
        <v>2</v>
      </c>
      <c r="D3" t="s">
        <v>46</v>
      </c>
      <c r="E3" t="s">
        <v>47</v>
      </c>
      <c r="F3" t="s">
        <v>48</v>
      </c>
      <c r="G3" t="s">
        <v>49</v>
      </c>
      <c r="H3" t="s">
        <v>50</v>
      </c>
      <c r="I3" t="s">
        <v>51</v>
      </c>
      <c r="J3" t="s">
        <v>52</v>
      </c>
      <c r="K3" t="s">
        <v>53</v>
      </c>
      <c r="L3" t="s">
        <v>54</v>
      </c>
      <c r="M3" t="s">
        <v>55</v>
      </c>
      <c r="N3" t="s">
        <v>56</v>
      </c>
      <c r="O3" t="s">
        <v>55</v>
      </c>
      <c r="P3" t="s">
        <v>56</v>
      </c>
      <c r="Q3" s="1" t="s">
        <v>57</v>
      </c>
      <c r="R3" t="s">
        <v>50</v>
      </c>
      <c r="S3" t="s">
        <v>30</v>
      </c>
      <c r="T3" t="s">
        <v>58</v>
      </c>
      <c r="U3" t="s">
        <v>50</v>
      </c>
      <c r="V3" t="s">
        <v>30</v>
      </c>
      <c r="W3" t="s">
        <v>58</v>
      </c>
      <c r="AA3" t="s">
        <v>31</v>
      </c>
      <c r="AB3" t="s">
        <v>59</v>
      </c>
    </row>
    <row r="4" spans="2:29">
      <c r="C4" t="s">
        <v>63</v>
      </c>
      <c r="D4" s="46" t="s">
        <v>64</v>
      </c>
      <c r="E4" s="50" t="s">
        <v>65</v>
      </c>
      <c r="F4" s="62" t="s">
        <v>90</v>
      </c>
      <c r="G4" s="59">
        <v>44438</v>
      </c>
      <c r="H4" s="57">
        <v>3</v>
      </c>
      <c r="I4" s="47">
        <v>430000</v>
      </c>
      <c r="J4" s="47">
        <v>0</v>
      </c>
      <c r="K4" s="47">
        <v>0</v>
      </c>
      <c r="L4" s="47">
        <v>0</v>
      </c>
      <c r="N4" s="47"/>
      <c r="P4" s="47"/>
      <c r="Q4" s="47"/>
      <c r="R4">
        <v>2</v>
      </c>
      <c r="S4" s="47" t="s">
        <v>92</v>
      </c>
      <c r="T4" s="60">
        <v>555000</v>
      </c>
      <c r="U4" s="60">
        <v>0</v>
      </c>
      <c r="V4" s="44"/>
      <c r="W4" s="60">
        <v>0</v>
      </c>
      <c r="X4" s="47"/>
      <c r="Y4" s="47"/>
      <c r="Z4" s="47"/>
      <c r="AA4" s="47">
        <v>0</v>
      </c>
      <c r="AB4" s="47">
        <f t="shared" ref="AB4:AB7" si="0">(H4*I4)+J4+K4+L4+N4+P4+Q4+((R4*T4)+(U4*W4))+AA4*H4</f>
        <v>2400000</v>
      </c>
      <c r="AC4" t="e">
        <v>#NAME?</v>
      </c>
    </row>
    <row r="5" spans="2:29">
      <c r="C5" t="s">
        <v>60</v>
      </c>
      <c r="D5" s="51" t="s">
        <v>61</v>
      </c>
      <c r="E5" s="50" t="s">
        <v>67</v>
      </c>
      <c r="F5" s="62" t="s">
        <v>84</v>
      </c>
      <c r="G5" s="59">
        <v>44435</v>
      </c>
      <c r="H5" s="57">
        <v>3</v>
      </c>
      <c r="I5" s="55">
        <v>430000</v>
      </c>
      <c r="J5" s="47">
        <v>384630</v>
      </c>
      <c r="K5" s="47">
        <v>0</v>
      </c>
      <c r="L5" s="47">
        <v>0</v>
      </c>
      <c r="N5" s="47"/>
      <c r="P5" s="47"/>
      <c r="R5">
        <v>2</v>
      </c>
      <c r="S5" s="60" t="s">
        <v>92</v>
      </c>
      <c r="T5" s="60">
        <v>555000</v>
      </c>
      <c r="U5" s="47">
        <v>0</v>
      </c>
      <c r="W5" s="55">
        <v>0</v>
      </c>
      <c r="AA5" s="47">
        <v>0</v>
      </c>
      <c r="AB5" s="47">
        <f t="shared" si="0"/>
        <v>2784630</v>
      </c>
      <c r="AC5" t="e">
        <v>#NAME?</v>
      </c>
    </row>
    <row r="6" spans="2:29" s="53" customFormat="1">
      <c r="C6" s="56" t="s">
        <v>68</v>
      </c>
      <c r="D6" s="54" t="s">
        <v>69</v>
      </c>
      <c r="E6" s="53" t="s">
        <v>70</v>
      </c>
      <c r="F6" s="62" t="s">
        <v>87</v>
      </c>
      <c r="G6" s="59">
        <v>44435</v>
      </c>
      <c r="H6" s="57">
        <v>3</v>
      </c>
      <c r="I6" s="55">
        <v>430000</v>
      </c>
      <c r="J6" s="55">
        <v>0</v>
      </c>
      <c r="K6" s="55">
        <v>0</v>
      </c>
      <c r="L6" s="55">
        <v>0</v>
      </c>
      <c r="N6" s="55"/>
      <c r="P6" s="55"/>
      <c r="R6" s="57">
        <v>2</v>
      </c>
      <c r="S6" s="60" t="s">
        <v>92</v>
      </c>
      <c r="T6" s="60">
        <v>555000</v>
      </c>
      <c r="U6" s="60">
        <v>0</v>
      </c>
      <c r="W6" s="60">
        <v>0</v>
      </c>
      <c r="AA6" s="55">
        <v>0</v>
      </c>
      <c r="AB6" s="55">
        <f t="shared" ref="AB6" si="1">(H6*I6)+J6+K6+L6+N6+P6+Q6+((R6*T6)+(U6*W6))+AA6*H6</f>
        <v>2400000</v>
      </c>
      <c r="AC6" s="53" t="e">
        <v>#NAME?</v>
      </c>
    </row>
    <row r="7" spans="2:29">
      <c r="C7" s="57" t="s">
        <v>78</v>
      </c>
      <c r="D7" s="58" t="s">
        <v>64</v>
      </c>
      <c r="E7" s="57" t="s">
        <v>65</v>
      </c>
      <c r="F7" s="62" t="s">
        <v>91</v>
      </c>
      <c r="G7" s="59">
        <v>44438</v>
      </c>
      <c r="H7" s="57">
        <v>3</v>
      </c>
      <c r="I7" s="55">
        <v>430000</v>
      </c>
      <c r="J7" s="47">
        <v>0</v>
      </c>
      <c r="K7" s="47">
        <v>0</v>
      </c>
      <c r="L7" s="47">
        <v>0</v>
      </c>
      <c r="N7" s="47"/>
      <c r="P7" s="47"/>
      <c r="Q7" s="47"/>
      <c r="R7" s="57">
        <v>2</v>
      </c>
      <c r="S7" s="60" t="s">
        <v>92</v>
      </c>
      <c r="T7" s="60">
        <v>555000</v>
      </c>
      <c r="U7" s="60">
        <v>0</v>
      </c>
      <c r="V7" s="44"/>
      <c r="W7" s="60">
        <v>0</v>
      </c>
      <c r="X7" s="47"/>
      <c r="Y7" s="47"/>
      <c r="Z7" s="47"/>
      <c r="AA7" s="47">
        <v>0</v>
      </c>
      <c r="AB7" s="47">
        <f t="shared" si="0"/>
        <v>2400000</v>
      </c>
      <c r="AC7" t="e">
        <v>#NAME?</v>
      </c>
    </row>
    <row r="8" spans="2:29">
      <c r="C8" s="57" t="s">
        <v>79</v>
      </c>
      <c r="D8" s="58" t="s">
        <v>77</v>
      </c>
      <c r="E8" s="62" t="s">
        <v>81</v>
      </c>
      <c r="F8" s="62" t="s">
        <v>88</v>
      </c>
      <c r="G8" s="59">
        <v>44435</v>
      </c>
      <c r="H8" s="57">
        <v>3</v>
      </c>
      <c r="I8" s="60">
        <v>430000</v>
      </c>
      <c r="J8" s="60">
        <v>0</v>
      </c>
      <c r="K8" s="60">
        <v>0</v>
      </c>
      <c r="L8" s="60">
        <v>0</v>
      </c>
      <c r="M8" s="57"/>
      <c r="N8" s="60"/>
      <c r="O8" s="57"/>
      <c r="P8" s="60"/>
      <c r="Q8" s="60"/>
      <c r="R8" s="57">
        <v>2</v>
      </c>
      <c r="S8" s="60" t="s">
        <v>92</v>
      </c>
      <c r="T8" s="60">
        <v>555000</v>
      </c>
      <c r="U8" s="60">
        <v>0</v>
      </c>
      <c r="V8" s="44"/>
      <c r="W8" s="60">
        <v>0</v>
      </c>
      <c r="X8" s="60"/>
      <c r="Y8" s="60"/>
      <c r="Z8" s="60"/>
      <c r="AA8" s="60">
        <v>0</v>
      </c>
      <c r="AB8" s="60">
        <f t="shared" ref="AB8:AB11" si="2">(H8*I8)+J8+K8+L8+N8+P8+Q8+((R8*T8)+(U8*W8))+AA8*H8</f>
        <v>2400000</v>
      </c>
      <c r="AC8" s="57" t="e">
        <v>#NAME?</v>
      </c>
    </row>
    <row r="9" spans="2:29">
      <c r="C9" s="57" t="s">
        <v>71</v>
      </c>
      <c r="D9" s="58" t="s">
        <v>72</v>
      </c>
      <c r="E9" s="61" t="s">
        <v>74</v>
      </c>
      <c r="F9" s="62" t="s">
        <v>86</v>
      </c>
      <c r="G9" s="59">
        <v>44435</v>
      </c>
      <c r="H9" s="57">
        <v>3</v>
      </c>
      <c r="I9" s="60">
        <v>430000</v>
      </c>
      <c r="J9" s="60">
        <v>0</v>
      </c>
      <c r="K9" s="60">
        <v>0</v>
      </c>
      <c r="L9" s="60">
        <v>0</v>
      </c>
      <c r="M9" s="57"/>
      <c r="N9" s="60"/>
      <c r="O9" s="57"/>
      <c r="P9" s="60"/>
      <c r="Q9" s="57"/>
      <c r="R9" s="57">
        <v>2</v>
      </c>
      <c r="S9" s="60" t="s">
        <v>92</v>
      </c>
      <c r="T9" s="60">
        <v>555000</v>
      </c>
      <c r="U9" s="60">
        <v>0</v>
      </c>
      <c r="V9" s="57"/>
      <c r="W9" s="60">
        <v>0</v>
      </c>
      <c r="X9" s="57"/>
      <c r="Y9" s="57"/>
      <c r="Z9" s="57"/>
      <c r="AA9" s="60">
        <v>0</v>
      </c>
      <c r="AB9" s="60">
        <f t="shared" si="2"/>
        <v>2400000</v>
      </c>
      <c r="AC9" s="57" t="e">
        <v>#NAME?</v>
      </c>
    </row>
    <row r="10" spans="2:29">
      <c r="C10" s="57" t="s">
        <v>80</v>
      </c>
      <c r="D10" s="58" t="s">
        <v>82</v>
      </c>
      <c r="E10" s="62" t="s">
        <v>83</v>
      </c>
      <c r="F10" s="62" t="s">
        <v>89</v>
      </c>
      <c r="G10" s="59">
        <v>44435</v>
      </c>
      <c r="H10" s="57">
        <v>3</v>
      </c>
      <c r="I10" s="60">
        <v>430000</v>
      </c>
      <c r="J10" s="60">
        <v>0</v>
      </c>
      <c r="K10" s="60">
        <v>0</v>
      </c>
      <c r="L10" s="60">
        <v>0</v>
      </c>
      <c r="M10" s="57"/>
      <c r="N10" s="60"/>
      <c r="O10" s="57"/>
      <c r="P10" s="60"/>
      <c r="Q10" s="57"/>
      <c r="R10" s="57">
        <v>2</v>
      </c>
      <c r="S10" s="60" t="s">
        <v>92</v>
      </c>
      <c r="T10" s="60">
        <v>555000</v>
      </c>
      <c r="U10" s="60">
        <v>0</v>
      </c>
      <c r="V10" s="57"/>
      <c r="W10" s="60">
        <v>0</v>
      </c>
      <c r="X10" s="57"/>
      <c r="Y10" s="57"/>
      <c r="Z10" s="57"/>
      <c r="AA10" s="60">
        <v>0</v>
      </c>
      <c r="AB10" s="60">
        <f t="shared" si="2"/>
        <v>2400000</v>
      </c>
      <c r="AC10" s="57" t="e">
        <v>#NAME?</v>
      </c>
    </row>
    <row r="11" spans="2:29">
      <c r="C11" s="57" t="s">
        <v>73</v>
      </c>
      <c r="D11" s="58" t="s">
        <v>76</v>
      </c>
      <c r="E11" s="57" t="s">
        <v>75</v>
      </c>
      <c r="F11" s="62" t="s">
        <v>85</v>
      </c>
      <c r="G11" s="59">
        <v>44435</v>
      </c>
      <c r="H11" s="57">
        <v>3</v>
      </c>
      <c r="I11" s="60">
        <v>430000</v>
      </c>
      <c r="J11" s="60">
        <v>596010</v>
      </c>
      <c r="K11" s="60">
        <v>0</v>
      </c>
      <c r="L11" s="60">
        <v>0</v>
      </c>
      <c r="M11" s="57"/>
      <c r="N11" s="60"/>
      <c r="O11" s="57"/>
      <c r="P11" s="60"/>
      <c r="Q11" s="60"/>
      <c r="R11" s="57">
        <v>2</v>
      </c>
      <c r="S11" s="60" t="s">
        <v>92</v>
      </c>
      <c r="T11" s="60">
        <v>555000</v>
      </c>
      <c r="U11" s="60">
        <v>0</v>
      </c>
      <c r="V11" s="57"/>
      <c r="W11" s="60">
        <v>0</v>
      </c>
      <c r="X11" s="60"/>
      <c r="Y11" s="60"/>
      <c r="Z11" s="60"/>
      <c r="AA11" s="60">
        <v>0</v>
      </c>
      <c r="AB11" s="60">
        <f t="shared" si="2"/>
        <v>2996010</v>
      </c>
      <c r="AC11" s="57" t="e">
        <v>#NAME?</v>
      </c>
    </row>
  </sheetData>
  <autoFilter ref="C3:AB7">
    <sortState ref="C4:AB9">
      <sortCondition ref="C3:C7"/>
    </sortState>
  </autoFilter>
  <mergeCells count="6">
    <mergeCell ref="M1:O1"/>
    <mergeCell ref="R1:W1"/>
    <mergeCell ref="M2:N2"/>
    <mergeCell ref="O2:P2"/>
    <mergeCell ref="S2:T2"/>
    <mergeCell ref="V2:W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DPR</vt:lpstr>
      <vt:lpstr>RB Perjadin</vt:lpstr>
      <vt:lpstr>Sheet1</vt:lpstr>
      <vt:lpstr>DPR!Print_Area</vt:lpstr>
      <vt:lpstr>'RB Perjadin'!Print_Area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TUIRJEN01</cp:lastModifiedBy>
  <cp:lastPrinted>2021-09-27T05:59:56Z</cp:lastPrinted>
  <dcterms:created xsi:type="dcterms:W3CDTF">2019-11-01T09:56:00Z</dcterms:created>
  <dcterms:modified xsi:type="dcterms:W3CDTF">2021-09-27T06:00:23Z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