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YR 1\I2A_CW_Himmat\"/>
    </mc:Choice>
  </mc:AlternateContent>
  <xr:revisionPtr revIDLastSave="0" documentId="8_{439F431E-2EBD-4090-8104-D388DEB6A343}" xr6:coauthVersionLast="47" xr6:coauthVersionMax="47" xr10:uidLastSave="{00000000-0000-0000-0000-000000000000}"/>
  <bookViews>
    <workbookView xWindow="1896" yWindow="2808" windowWidth="17280" windowHeight="8880" activeTab="1" xr2:uid="{148F2902-0D18-4C5F-BB54-91F8A37FDF39}"/>
  </bookViews>
  <sheets>
    <sheet name="Flight Sim Test" sheetId="1" r:id="rId1"/>
    <sheet name="Wind Tunnel Te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W13" i="1"/>
  <c r="W8" i="1"/>
  <c r="W3" i="1"/>
  <c r="AZ3" i="1"/>
  <c r="AZ4" i="2"/>
  <c r="K27" i="1"/>
  <c r="L27" i="1"/>
  <c r="J27" i="1"/>
  <c r="K25" i="1"/>
  <c r="L25" i="1"/>
  <c r="J25" i="1"/>
  <c r="T6" i="1"/>
  <c r="T12" i="1"/>
  <c r="T18" i="1"/>
  <c r="U18" i="1" s="1"/>
  <c r="R18" i="1"/>
  <c r="P18" i="1"/>
  <c r="Q18" i="1" s="1"/>
  <c r="T14" i="1"/>
  <c r="U14" i="1" s="1"/>
  <c r="P14" i="1"/>
  <c r="R14" i="1" s="1"/>
  <c r="AY5" i="1"/>
  <c r="AY4" i="1"/>
  <c r="AY3" i="1"/>
  <c r="AY6" i="1"/>
  <c r="AY7" i="1"/>
  <c r="AY8" i="1"/>
  <c r="AY9" i="1"/>
  <c r="AY10" i="1"/>
  <c r="AY11" i="1"/>
  <c r="AY12" i="1"/>
  <c r="AZ4" i="1"/>
  <c r="AP4" i="1"/>
  <c r="AP5" i="1"/>
  <c r="AP6" i="1"/>
  <c r="AP7" i="1"/>
  <c r="AP8" i="1"/>
  <c r="AP9" i="1"/>
  <c r="AP10" i="1"/>
  <c r="AP11" i="1"/>
  <c r="AP12" i="1"/>
  <c r="AP13" i="1"/>
  <c r="AP14" i="1"/>
  <c r="AP3" i="1"/>
  <c r="T3" i="1"/>
  <c r="B25" i="2"/>
  <c r="P3" i="1"/>
  <c r="R3" i="1" s="1"/>
  <c r="AA3" i="1"/>
  <c r="T24" i="2"/>
  <c r="T5" i="2"/>
  <c r="J58" i="2"/>
  <c r="K58" i="2" s="1"/>
  <c r="L58" i="2" s="1"/>
  <c r="BA58" i="2" s="1"/>
  <c r="J59" i="2"/>
  <c r="K59" i="2" s="1"/>
  <c r="L59" i="2" s="1"/>
  <c r="AY59" i="2" s="1"/>
  <c r="J60" i="2"/>
  <c r="K60" i="2" s="1"/>
  <c r="L60" i="2" s="1"/>
  <c r="BA60" i="2" s="1"/>
  <c r="J61" i="2"/>
  <c r="K61" i="2" s="1"/>
  <c r="L61" i="2" s="1"/>
  <c r="BA61" i="2" s="1"/>
  <c r="J62" i="2"/>
  <c r="K62" i="2" s="1"/>
  <c r="L62" i="2" s="1"/>
  <c r="BA62" i="2" s="1"/>
  <c r="J63" i="2"/>
  <c r="K63" i="2" s="1"/>
  <c r="L63" i="2" s="1"/>
  <c r="AY63" i="2" s="1"/>
  <c r="J64" i="2"/>
  <c r="K64" i="2" s="1"/>
  <c r="L64" i="2" s="1"/>
  <c r="BA64" i="2" s="1"/>
  <c r="J65" i="2"/>
  <c r="K65" i="2" s="1"/>
  <c r="L65" i="2" s="1"/>
  <c r="BA65" i="2" s="1"/>
  <c r="J66" i="2"/>
  <c r="K66" i="2" s="1"/>
  <c r="L66" i="2" s="1"/>
  <c r="BA66" i="2" s="1"/>
  <c r="J67" i="2"/>
  <c r="K67" i="2" s="1"/>
  <c r="L67" i="2" s="1"/>
  <c r="AY67" i="2" s="1"/>
  <c r="J68" i="2"/>
  <c r="K68" i="2" s="1"/>
  <c r="L68" i="2" s="1"/>
  <c r="BA68" i="2" s="1"/>
  <c r="J69" i="2"/>
  <c r="K69" i="2" s="1"/>
  <c r="L69" i="2" s="1"/>
  <c r="BA69" i="2" s="1"/>
  <c r="J70" i="2"/>
  <c r="K70" i="2" s="1"/>
  <c r="L70" i="2" s="1"/>
  <c r="BA70" i="2" s="1"/>
  <c r="J71" i="2"/>
  <c r="K71" i="2" s="1"/>
  <c r="L71" i="2" s="1"/>
  <c r="AY71" i="2" s="1"/>
  <c r="J42" i="2"/>
  <c r="K42" i="2" s="1"/>
  <c r="L42" i="2" s="1"/>
  <c r="BA42" i="2" s="1"/>
  <c r="J43" i="2"/>
  <c r="K43" i="2" s="1"/>
  <c r="L43" i="2" s="1"/>
  <c r="AY43" i="2" s="1"/>
  <c r="J44" i="2"/>
  <c r="K44" i="2" s="1"/>
  <c r="L44" i="2" s="1"/>
  <c r="BA44" i="2" s="1"/>
  <c r="J45" i="2"/>
  <c r="K45" i="2" s="1"/>
  <c r="L45" i="2" s="1"/>
  <c r="BA45" i="2" s="1"/>
  <c r="J46" i="2"/>
  <c r="K46" i="2" s="1"/>
  <c r="L46" i="2" s="1"/>
  <c r="BA46" i="2" s="1"/>
  <c r="J47" i="2"/>
  <c r="K47" i="2" s="1"/>
  <c r="L47" i="2" s="1"/>
  <c r="AY47" i="2" s="1"/>
  <c r="J48" i="2"/>
  <c r="K48" i="2" s="1"/>
  <c r="L48" i="2" s="1"/>
  <c r="BA48" i="2" s="1"/>
  <c r="J49" i="2"/>
  <c r="K49" i="2" s="1"/>
  <c r="L49" i="2" s="1"/>
  <c r="BA49" i="2" s="1"/>
  <c r="J50" i="2"/>
  <c r="K50" i="2" s="1"/>
  <c r="L50" i="2" s="1"/>
  <c r="BA50" i="2" s="1"/>
  <c r="J51" i="2"/>
  <c r="K51" i="2" s="1"/>
  <c r="L51" i="2" s="1"/>
  <c r="AY51" i="2" s="1"/>
  <c r="J52" i="2"/>
  <c r="K52" i="2" s="1"/>
  <c r="L52" i="2" s="1"/>
  <c r="BA52" i="2" s="1"/>
  <c r="J53" i="2"/>
  <c r="K53" i="2" s="1"/>
  <c r="L53" i="2" s="1"/>
  <c r="BA53" i="2" s="1"/>
  <c r="J54" i="2"/>
  <c r="K54" i="2" s="1"/>
  <c r="L54" i="2" s="1"/>
  <c r="BA54" i="2" s="1"/>
  <c r="J55" i="2"/>
  <c r="K55" i="2" s="1"/>
  <c r="L55" i="2" s="1"/>
  <c r="AY55" i="2" s="1"/>
  <c r="J56" i="2"/>
  <c r="K56" i="2" s="1"/>
  <c r="L56" i="2" s="1"/>
  <c r="BA56" i="2" s="1"/>
  <c r="J57" i="2"/>
  <c r="K57" i="2" s="1"/>
  <c r="L57" i="2" s="1"/>
  <c r="BA57" i="2" s="1"/>
  <c r="T8" i="1"/>
  <c r="T4" i="1"/>
  <c r="T5" i="1"/>
  <c r="T7" i="1"/>
  <c r="T9" i="1"/>
  <c r="T10" i="1"/>
  <c r="T11" i="1"/>
  <c r="T13" i="1"/>
  <c r="T15" i="1"/>
  <c r="T16" i="1"/>
  <c r="T17" i="1"/>
  <c r="U5" i="2"/>
  <c r="P4" i="1"/>
  <c r="P5" i="1"/>
  <c r="P6" i="1"/>
  <c r="P7" i="1"/>
  <c r="P8" i="1"/>
  <c r="P9" i="1"/>
  <c r="P10" i="1"/>
  <c r="P11" i="1"/>
  <c r="P12" i="1"/>
  <c r="R12" i="1" s="1"/>
  <c r="P13" i="1"/>
  <c r="R13" i="1" s="1"/>
  <c r="P15" i="1"/>
  <c r="P16" i="1"/>
  <c r="P17" i="1"/>
  <c r="AX7" i="1"/>
  <c r="AX8" i="1"/>
  <c r="AX9" i="1"/>
  <c r="AX10" i="1"/>
  <c r="AX11" i="1"/>
  <c r="AX12" i="1"/>
  <c r="AV12" i="1"/>
  <c r="AV11" i="1"/>
  <c r="AV10" i="1"/>
  <c r="AV9" i="1"/>
  <c r="AV8" i="1"/>
  <c r="AV7" i="1"/>
  <c r="AX3" i="1"/>
  <c r="AX4" i="1"/>
  <c r="AX5" i="1"/>
  <c r="AX6" i="1"/>
  <c r="AV3" i="1"/>
  <c r="AV4" i="1"/>
  <c r="AV5" i="1"/>
  <c r="AV6" i="1"/>
  <c r="D19" i="1"/>
  <c r="AC10" i="1"/>
  <c r="AA8" i="1"/>
  <c r="AA14" i="1"/>
  <c r="AC14" i="1"/>
  <c r="AC4" i="1"/>
  <c r="AC5" i="1"/>
  <c r="AC6" i="1"/>
  <c r="AC7" i="1"/>
  <c r="AC8" i="1"/>
  <c r="AC9" i="1"/>
  <c r="AC11" i="1"/>
  <c r="AC12" i="1"/>
  <c r="AC13" i="1"/>
  <c r="AA4" i="1"/>
  <c r="AA5" i="1"/>
  <c r="AA6" i="1"/>
  <c r="AA7" i="1"/>
  <c r="AA9" i="1"/>
  <c r="AA10" i="1"/>
  <c r="AA11" i="1"/>
  <c r="AA12" i="1"/>
  <c r="AA13" i="1"/>
  <c r="X3" i="1"/>
  <c r="X4" i="1" s="1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T57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Y57" i="2" s="1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J24" i="2"/>
  <c r="K24" i="2" s="1"/>
  <c r="L24" i="2" s="1"/>
  <c r="AY24" i="2" s="1"/>
  <c r="J25" i="2"/>
  <c r="K25" i="2" s="1"/>
  <c r="L25" i="2" s="1"/>
  <c r="BA25" i="2" s="1"/>
  <c r="J26" i="2"/>
  <c r="K26" i="2" s="1"/>
  <c r="L26" i="2" s="1"/>
  <c r="BA26" i="2" s="1"/>
  <c r="J27" i="2"/>
  <c r="K27" i="2" s="1"/>
  <c r="L27" i="2" s="1"/>
  <c r="BA27" i="2" s="1"/>
  <c r="J28" i="2"/>
  <c r="K28" i="2" s="1"/>
  <c r="L28" i="2" s="1"/>
  <c r="AY28" i="2" s="1"/>
  <c r="J29" i="2"/>
  <c r="K29" i="2" s="1"/>
  <c r="L29" i="2" s="1"/>
  <c r="BA29" i="2" s="1"/>
  <c r="J30" i="2"/>
  <c r="K30" i="2" s="1"/>
  <c r="L30" i="2" s="1"/>
  <c r="BA30" i="2" s="1"/>
  <c r="J31" i="2"/>
  <c r="K31" i="2" s="1"/>
  <c r="L31" i="2" s="1"/>
  <c r="BA31" i="2" s="1"/>
  <c r="J32" i="2"/>
  <c r="K32" i="2" s="1"/>
  <c r="L32" i="2" s="1"/>
  <c r="AY32" i="2" s="1"/>
  <c r="J33" i="2"/>
  <c r="K33" i="2" s="1"/>
  <c r="L33" i="2" s="1"/>
  <c r="BA33" i="2" s="1"/>
  <c r="J34" i="2"/>
  <c r="K34" i="2" s="1"/>
  <c r="L34" i="2" s="1"/>
  <c r="BA34" i="2" s="1"/>
  <c r="J35" i="2"/>
  <c r="K35" i="2" s="1"/>
  <c r="L35" i="2" s="1"/>
  <c r="BA35" i="2" s="1"/>
  <c r="J36" i="2"/>
  <c r="K36" i="2" s="1"/>
  <c r="L36" i="2" s="1"/>
  <c r="AY36" i="2" s="1"/>
  <c r="J37" i="2"/>
  <c r="K37" i="2" s="1"/>
  <c r="L37" i="2" s="1"/>
  <c r="BA37" i="2" s="1"/>
  <c r="J38" i="2"/>
  <c r="K38" i="2" s="1"/>
  <c r="L38" i="2" s="1"/>
  <c r="BA38" i="2" s="1"/>
  <c r="J23" i="2"/>
  <c r="K23" i="2" s="1"/>
  <c r="L23" i="2" s="1"/>
  <c r="BA23" i="2" s="1"/>
  <c r="Q13" i="2"/>
  <c r="U13" i="2" s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U6" i="2"/>
  <c r="U7" i="2"/>
  <c r="U8" i="2"/>
  <c r="U9" i="2"/>
  <c r="U10" i="2"/>
  <c r="U11" i="2"/>
  <c r="U12" i="2"/>
  <c r="U14" i="2"/>
  <c r="U15" i="2"/>
  <c r="U16" i="2"/>
  <c r="U17" i="2"/>
  <c r="U18" i="2"/>
  <c r="U19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J5" i="2"/>
  <c r="K5" i="2" s="1"/>
  <c r="L5" i="2" s="1"/>
  <c r="BA5" i="2" s="1"/>
  <c r="J6" i="2"/>
  <c r="K6" i="2" s="1"/>
  <c r="L6" i="2" s="1"/>
  <c r="AY6" i="2" s="1"/>
  <c r="J7" i="2"/>
  <c r="K7" i="2" s="1"/>
  <c r="L7" i="2" s="1"/>
  <c r="AY7" i="2" s="1"/>
  <c r="J8" i="2"/>
  <c r="K8" i="2" s="1"/>
  <c r="L8" i="2" s="1"/>
  <c r="AY8" i="2" s="1"/>
  <c r="J9" i="2"/>
  <c r="K9" i="2" s="1"/>
  <c r="L9" i="2" s="1"/>
  <c r="AZ9" i="2" s="1"/>
  <c r="J10" i="2"/>
  <c r="K10" i="2" s="1"/>
  <c r="L10" i="2" s="1"/>
  <c r="AZ10" i="2" s="1"/>
  <c r="J11" i="2"/>
  <c r="K11" i="2" s="1"/>
  <c r="L11" i="2" s="1"/>
  <c r="AZ11" i="2" s="1"/>
  <c r="J12" i="2"/>
  <c r="K12" i="2" s="1"/>
  <c r="L12" i="2" s="1"/>
  <c r="BA12" i="2" s="1"/>
  <c r="J13" i="2"/>
  <c r="K13" i="2" s="1"/>
  <c r="L13" i="2" s="1"/>
  <c r="J14" i="2"/>
  <c r="K14" i="2" s="1"/>
  <c r="L14" i="2" s="1"/>
  <c r="BA14" i="2" s="1"/>
  <c r="J15" i="2"/>
  <c r="K15" i="2" s="1"/>
  <c r="L15" i="2" s="1"/>
  <c r="BA15" i="2" s="1"/>
  <c r="J16" i="2"/>
  <c r="K16" i="2" s="1"/>
  <c r="L16" i="2" s="1"/>
  <c r="BA16" i="2" s="1"/>
  <c r="J17" i="2"/>
  <c r="K17" i="2" s="1"/>
  <c r="L17" i="2" s="1"/>
  <c r="BA17" i="2" s="1"/>
  <c r="J18" i="2"/>
  <c r="K18" i="2" s="1"/>
  <c r="L18" i="2" s="1"/>
  <c r="AY18" i="2" s="1"/>
  <c r="J19" i="2"/>
  <c r="K19" i="2" s="1"/>
  <c r="L19" i="2" s="1"/>
  <c r="AY19" i="2" s="1"/>
  <c r="J4" i="2"/>
  <c r="K4" i="2" s="1"/>
  <c r="L4" i="2" s="1"/>
  <c r="AY4" i="2" s="1"/>
  <c r="V42" i="2"/>
  <c r="U42" i="2"/>
  <c r="T42" i="2"/>
  <c r="V23" i="2"/>
  <c r="U23" i="2"/>
  <c r="T23" i="2"/>
  <c r="AF42" i="2"/>
  <c r="N42" i="2"/>
  <c r="AF23" i="2"/>
  <c r="N23" i="2"/>
  <c r="AF4" i="2"/>
  <c r="V4" i="2"/>
  <c r="U4" i="2"/>
  <c r="T4" i="2"/>
  <c r="N4" i="2"/>
  <c r="AC3" i="1"/>
  <c r="D16" i="1"/>
  <c r="D15" i="1"/>
  <c r="D14" i="1"/>
  <c r="F14" i="1" s="1"/>
  <c r="B4" i="1"/>
  <c r="B3" i="1"/>
  <c r="B2" i="1"/>
  <c r="Q10" i="1" s="1"/>
  <c r="Q14" i="1" l="1"/>
  <c r="Y24" i="2"/>
  <c r="Z25" i="2"/>
  <c r="AD25" i="2" s="1"/>
  <c r="Z68" i="2"/>
  <c r="Z67" i="2"/>
  <c r="BA4" i="2"/>
  <c r="AY17" i="2"/>
  <c r="AY5" i="2"/>
  <c r="AZ8" i="2"/>
  <c r="BA11" i="2"/>
  <c r="AZ24" i="2"/>
  <c r="AZ28" i="2"/>
  <c r="AZ32" i="2"/>
  <c r="AZ36" i="2"/>
  <c r="AZ43" i="2"/>
  <c r="AZ47" i="2"/>
  <c r="AZ51" i="2"/>
  <c r="AZ55" i="2"/>
  <c r="AZ59" i="2"/>
  <c r="AZ63" i="2"/>
  <c r="AZ67" i="2"/>
  <c r="AZ71" i="2"/>
  <c r="AY16" i="2"/>
  <c r="AZ19" i="2"/>
  <c r="AZ7" i="2"/>
  <c r="BA10" i="2"/>
  <c r="BA24" i="2"/>
  <c r="BA28" i="2"/>
  <c r="BA32" i="2"/>
  <c r="BA36" i="2"/>
  <c r="BA43" i="2"/>
  <c r="BA47" i="2"/>
  <c r="BA51" i="2"/>
  <c r="BA55" i="2"/>
  <c r="BA59" i="2"/>
  <c r="BA63" i="2"/>
  <c r="BA67" i="2"/>
  <c r="BA71" i="2"/>
  <c r="AY15" i="2"/>
  <c r="AZ18" i="2"/>
  <c r="AZ6" i="2"/>
  <c r="BA9" i="2"/>
  <c r="AY25" i="2"/>
  <c r="AY29" i="2"/>
  <c r="AY33" i="2"/>
  <c r="AY37" i="2"/>
  <c r="AY44" i="2"/>
  <c r="AY48" i="2"/>
  <c r="AY52" i="2"/>
  <c r="AY56" i="2"/>
  <c r="AY60" i="2"/>
  <c r="AY64" i="2"/>
  <c r="AY68" i="2"/>
  <c r="AY14" i="2"/>
  <c r="AZ17" i="2"/>
  <c r="AZ5" i="2"/>
  <c r="BA8" i="2"/>
  <c r="AZ25" i="2"/>
  <c r="AZ29" i="2"/>
  <c r="AZ33" i="2"/>
  <c r="AZ37" i="2"/>
  <c r="AZ44" i="2"/>
  <c r="AZ48" i="2"/>
  <c r="AZ52" i="2"/>
  <c r="AZ56" i="2"/>
  <c r="AZ60" i="2"/>
  <c r="AZ64" i="2"/>
  <c r="AZ68" i="2"/>
  <c r="AY13" i="2"/>
  <c r="AZ16" i="2"/>
  <c r="BA19" i="2"/>
  <c r="BA7" i="2"/>
  <c r="AY12" i="2"/>
  <c r="AZ15" i="2"/>
  <c r="BA18" i="2"/>
  <c r="BA6" i="2"/>
  <c r="AY26" i="2"/>
  <c r="AY30" i="2"/>
  <c r="AY34" i="2"/>
  <c r="AY38" i="2"/>
  <c r="AY45" i="2"/>
  <c r="AY49" i="2"/>
  <c r="AY53" i="2"/>
  <c r="AY57" i="2"/>
  <c r="AY61" i="2"/>
  <c r="AY65" i="2"/>
  <c r="AY69" i="2"/>
  <c r="AY11" i="2"/>
  <c r="AZ14" i="2"/>
  <c r="AZ26" i="2"/>
  <c r="AZ30" i="2"/>
  <c r="AZ34" i="2"/>
  <c r="AZ38" i="2"/>
  <c r="AZ45" i="2"/>
  <c r="AZ49" i="2"/>
  <c r="AZ53" i="2"/>
  <c r="AZ57" i="2"/>
  <c r="AZ61" i="2"/>
  <c r="AZ65" i="2"/>
  <c r="AZ69" i="2"/>
  <c r="AY10" i="2"/>
  <c r="AZ13" i="2"/>
  <c r="AY9" i="2"/>
  <c r="AZ12" i="2"/>
  <c r="AY23" i="2"/>
  <c r="AY27" i="2"/>
  <c r="AY31" i="2"/>
  <c r="AY35" i="2"/>
  <c r="AY42" i="2"/>
  <c r="AY46" i="2"/>
  <c r="AY50" i="2"/>
  <c r="AY54" i="2"/>
  <c r="AY58" i="2"/>
  <c r="AY62" i="2"/>
  <c r="AY66" i="2"/>
  <c r="AY70" i="2"/>
  <c r="AZ23" i="2"/>
  <c r="AZ27" i="2"/>
  <c r="AZ31" i="2"/>
  <c r="AZ35" i="2"/>
  <c r="AZ42" i="2"/>
  <c r="AZ46" i="2"/>
  <c r="AZ50" i="2"/>
  <c r="AZ54" i="2"/>
  <c r="AZ58" i="2"/>
  <c r="AZ62" i="2"/>
  <c r="AZ66" i="2"/>
  <c r="AZ70" i="2"/>
  <c r="BA13" i="2"/>
  <c r="R11" i="1"/>
  <c r="R10" i="1"/>
  <c r="R9" i="1"/>
  <c r="R8" i="1"/>
  <c r="R7" i="1"/>
  <c r="R6" i="1"/>
  <c r="R17" i="1"/>
  <c r="R5" i="1"/>
  <c r="R16" i="1"/>
  <c r="R4" i="1"/>
  <c r="R15" i="1"/>
  <c r="AM14" i="1"/>
  <c r="AM12" i="1"/>
  <c r="AM11" i="1"/>
  <c r="AM10" i="1"/>
  <c r="AM9" i="1"/>
  <c r="AM8" i="1"/>
  <c r="AF6" i="1"/>
  <c r="AK6" i="1" s="1"/>
  <c r="AM7" i="1"/>
  <c r="AM13" i="1"/>
  <c r="AM6" i="1"/>
  <c r="AM5" i="1"/>
  <c r="AM4" i="1"/>
  <c r="AM3" i="1"/>
  <c r="Q12" i="1"/>
  <c r="Q13" i="1"/>
  <c r="Q9" i="1"/>
  <c r="Q8" i="1"/>
  <c r="Q7" i="1"/>
  <c r="Q3" i="1"/>
  <c r="Q6" i="1"/>
  <c r="Q17" i="1"/>
  <c r="Q5" i="1"/>
  <c r="X7" i="1"/>
  <c r="AD4" i="1" s="1"/>
  <c r="AI4" i="1" s="1"/>
  <c r="Q16" i="1"/>
  <c r="Q4" i="1"/>
  <c r="AF13" i="1"/>
  <c r="Q15" i="1"/>
  <c r="AF5" i="1"/>
  <c r="AK5" i="1" s="1"/>
  <c r="AF4" i="1"/>
  <c r="AF12" i="1"/>
  <c r="AK12" i="1" s="1"/>
  <c r="AF11" i="1"/>
  <c r="AF9" i="1"/>
  <c r="Q11" i="1"/>
  <c r="AF10" i="1"/>
  <c r="AF8" i="1"/>
  <c r="AF3" i="1"/>
  <c r="AK3" i="1" s="1"/>
  <c r="AF14" i="1"/>
  <c r="AF7" i="1"/>
  <c r="Z61" i="2"/>
  <c r="AD61" i="2" s="1"/>
  <c r="Y17" i="2"/>
  <c r="AC17" i="2" s="1"/>
  <c r="AU17" i="2" s="1"/>
  <c r="Y29" i="2"/>
  <c r="Y4" i="2"/>
  <c r="AC4" i="2" s="1"/>
  <c r="X42" i="2"/>
  <c r="AB42" i="2" s="1"/>
  <c r="AT42" i="2" s="1"/>
  <c r="Y45" i="2"/>
  <c r="AC45" i="2" s="1"/>
  <c r="AU45" i="2" s="1"/>
  <c r="Y16" i="2"/>
  <c r="AC16" i="2" s="1"/>
  <c r="Z49" i="2"/>
  <c r="X60" i="2"/>
  <c r="AB60" i="2" s="1"/>
  <c r="AT60" i="2" s="1"/>
  <c r="Y70" i="2"/>
  <c r="Y58" i="2"/>
  <c r="AC58" i="2" s="1"/>
  <c r="Z37" i="2"/>
  <c r="AD37" i="2" s="1"/>
  <c r="Z62" i="2"/>
  <c r="AD62" i="2" s="1"/>
  <c r="Z53" i="2"/>
  <c r="AD53" i="2" s="1"/>
  <c r="Y63" i="2"/>
  <c r="AC63" i="2" s="1"/>
  <c r="X65" i="2"/>
  <c r="AB65" i="2" s="1"/>
  <c r="AT65" i="2" s="1"/>
  <c r="Y5" i="2"/>
  <c r="AC5" i="2" s="1"/>
  <c r="Z52" i="2"/>
  <c r="AD52" i="2" s="1"/>
  <c r="Z34" i="2"/>
  <c r="AD34" i="2" s="1"/>
  <c r="Z71" i="2"/>
  <c r="AD71" i="2" s="1"/>
  <c r="Z59" i="2"/>
  <c r="AD59" i="2" s="1"/>
  <c r="Z46" i="2"/>
  <c r="AD46" i="2" s="1"/>
  <c r="X32" i="2"/>
  <c r="AB32" i="2" s="1"/>
  <c r="AT32" i="2" s="1"/>
  <c r="BB32" i="2" s="1"/>
  <c r="Y47" i="2"/>
  <c r="AC47" i="2" s="1"/>
  <c r="AU47" i="2" s="1"/>
  <c r="X50" i="2"/>
  <c r="AB50" i="2" s="1"/>
  <c r="AT50" i="2" s="1"/>
  <c r="Y65" i="2"/>
  <c r="AC65" i="2" s="1"/>
  <c r="AU65" i="2" s="1"/>
  <c r="X30" i="2"/>
  <c r="AB30" i="2" s="1"/>
  <c r="AT30" i="2" s="1"/>
  <c r="Z54" i="2"/>
  <c r="AD54" i="2" s="1"/>
  <c r="AC57" i="2"/>
  <c r="X48" i="2"/>
  <c r="AB48" i="2" s="1"/>
  <c r="AT48" i="2" s="1"/>
  <c r="Z36" i="2"/>
  <c r="AD36" i="2" s="1"/>
  <c r="Z35" i="2"/>
  <c r="AD35" i="2" s="1"/>
  <c r="X28" i="2"/>
  <c r="AB28" i="2" s="1"/>
  <c r="AT28" i="2" s="1"/>
  <c r="BB28" i="2" s="1"/>
  <c r="Y55" i="2"/>
  <c r="AC55" i="2" s="1"/>
  <c r="AU55" i="2" s="1"/>
  <c r="Z60" i="2"/>
  <c r="AD60" i="2" s="1"/>
  <c r="Y9" i="2"/>
  <c r="AC9" i="2" s="1"/>
  <c r="Z32" i="2"/>
  <c r="AD32" i="2" s="1"/>
  <c r="X47" i="2"/>
  <c r="AB47" i="2" s="1"/>
  <c r="AT47" i="2" s="1"/>
  <c r="BB47" i="2" s="1"/>
  <c r="Y23" i="2"/>
  <c r="AC23" i="2" s="1"/>
  <c r="Y8" i="2"/>
  <c r="AC8" i="2" s="1"/>
  <c r="Z31" i="2"/>
  <c r="AD31" i="2" s="1"/>
  <c r="Y33" i="2"/>
  <c r="AC33" i="2" s="1"/>
  <c r="Z48" i="2"/>
  <c r="AD48" i="2" s="1"/>
  <c r="Z30" i="2"/>
  <c r="AD30" i="2" s="1"/>
  <c r="Z42" i="2"/>
  <c r="AD42" i="2" s="1"/>
  <c r="Y6" i="2"/>
  <c r="AC6" i="2" s="1"/>
  <c r="AU6" i="2" s="1"/>
  <c r="Y49" i="2"/>
  <c r="AC49" i="2" s="1"/>
  <c r="Y14" i="2"/>
  <c r="AC14" i="2" s="1"/>
  <c r="Z65" i="2"/>
  <c r="AD65" i="2" s="1"/>
  <c r="Y66" i="2"/>
  <c r="AC66" i="2" s="1"/>
  <c r="AU66" i="2" s="1"/>
  <c r="Y28" i="2"/>
  <c r="AC28" i="2" s="1"/>
  <c r="Y15" i="2"/>
  <c r="AC15" i="2" s="1"/>
  <c r="Y27" i="2"/>
  <c r="AC27" i="2" s="1"/>
  <c r="AU27" i="2" s="1"/>
  <c r="Y64" i="2"/>
  <c r="AC64" i="2" s="1"/>
  <c r="AU64" i="2" s="1"/>
  <c r="X66" i="2"/>
  <c r="AB66" i="2" s="1"/>
  <c r="AT66" i="2" s="1"/>
  <c r="Y26" i="2"/>
  <c r="AC26" i="2" s="1"/>
  <c r="AU26" i="2" s="1"/>
  <c r="Y43" i="2"/>
  <c r="AC43" i="2" s="1"/>
  <c r="AU43" i="2" s="1"/>
  <c r="Y44" i="2"/>
  <c r="AC44" i="2" s="1"/>
  <c r="AU44" i="2" s="1"/>
  <c r="Y11" i="2"/>
  <c r="AC11" i="2" s="1"/>
  <c r="AC24" i="2"/>
  <c r="Z51" i="2"/>
  <c r="AD51" i="2" s="1"/>
  <c r="X29" i="2"/>
  <c r="AB29" i="2" s="1"/>
  <c r="AT29" i="2" s="1"/>
  <c r="Z50" i="2"/>
  <c r="AD50" i="2" s="1"/>
  <c r="Y38" i="2"/>
  <c r="AC38" i="2" s="1"/>
  <c r="AU38" i="2" s="1"/>
  <c r="Y56" i="2"/>
  <c r="AC56" i="2" s="1"/>
  <c r="AU56" i="2" s="1"/>
  <c r="Z69" i="2"/>
  <c r="AD69" i="2" s="1"/>
  <c r="X23" i="2"/>
  <c r="AB23" i="2" s="1"/>
  <c r="AT23" i="2" s="1"/>
  <c r="Y7" i="2"/>
  <c r="AC7" i="2" s="1"/>
  <c r="AU7" i="2" s="1"/>
  <c r="Y32" i="2"/>
  <c r="AC32" i="2" s="1"/>
  <c r="AU32" i="2" s="1"/>
  <c r="X35" i="2"/>
  <c r="AB35" i="2" s="1"/>
  <c r="AT35" i="2" s="1"/>
  <c r="Z47" i="2"/>
  <c r="AD47" i="2" s="1"/>
  <c r="Y50" i="2"/>
  <c r="AC50" i="2" s="1"/>
  <c r="AU50" i="2" s="1"/>
  <c r="X53" i="2"/>
  <c r="AB53" i="2" s="1"/>
  <c r="AT53" i="2" s="1"/>
  <c r="Y69" i="2"/>
  <c r="AC69" i="2" s="1"/>
  <c r="X71" i="2"/>
  <c r="AB71" i="2" s="1"/>
  <c r="X59" i="2"/>
  <c r="AB59" i="2" s="1"/>
  <c r="AT59" i="2" s="1"/>
  <c r="BB59" i="2" s="1"/>
  <c r="Y19" i="2"/>
  <c r="AC19" i="2" s="1"/>
  <c r="Z29" i="2"/>
  <c r="AD29" i="2" s="1"/>
  <c r="Y31" i="2"/>
  <c r="AC31" i="2" s="1"/>
  <c r="AU31" i="2" s="1"/>
  <c r="X34" i="2"/>
  <c r="AB34" i="2" s="1"/>
  <c r="AT34" i="2" s="1"/>
  <c r="X52" i="2"/>
  <c r="AB52" i="2" s="1"/>
  <c r="Z66" i="2"/>
  <c r="AD66" i="2" s="1"/>
  <c r="Y68" i="2"/>
  <c r="AC68" i="2" s="1"/>
  <c r="X70" i="2"/>
  <c r="AB70" i="2" s="1"/>
  <c r="AT70" i="2" s="1"/>
  <c r="X58" i="2"/>
  <c r="AB58" i="2" s="1"/>
  <c r="AT58" i="2" s="1"/>
  <c r="Y13" i="2"/>
  <c r="AC13" i="2" s="1"/>
  <c r="Y42" i="2"/>
  <c r="AC42" i="2" s="1"/>
  <c r="AU42" i="2" s="1"/>
  <c r="Y18" i="2"/>
  <c r="AC18" i="2" s="1"/>
  <c r="Z28" i="2"/>
  <c r="AD28" i="2" s="1"/>
  <c r="Y30" i="2"/>
  <c r="AC30" i="2" s="1"/>
  <c r="X33" i="2"/>
  <c r="AB33" i="2" s="1"/>
  <c r="AT33" i="2" s="1"/>
  <c r="Z45" i="2"/>
  <c r="AD45" i="2" s="1"/>
  <c r="Y48" i="2"/>
  <c r="AC48" i="2" s="1"/>
  <c r="AU48" i="2" s="1"/>
  <c r="X51" i="2"/>
  <c r="AB51" i="2" s="1"/>
  <c r="AT51" i="2" s="1"/>
  <c r="BB51" i="2" s="1"/>
  <c r="Y67" i="2"/>
  <c r="AC67" i="2" s="1"/>
  <c r="X69" i="2"/>
  <c r="AB69" i="2" s="1"/>
  <c r="AT69" i="2" s="1"/>
  <c r="Z27" i="2"/>
  <c r="AD27" i="2" s="1"/>
  <c r="Z56" i="2"/>
  <c r="AD56" i="2" s="1"/>
  <c r="Z44" i="2"/>
  <c r="AD44" i="2" s="1"/>
  <c r="Z64" i="2"/>
  <c r="AD64" i="2" s="1"/>
  <c r="X68" i="2"/>
  <c r="AB68" i="2" s="1"/>
  <c r="AT68" i="2" s="1"/>
  <c r="X4" i="2"/>
  <c r="AB4" i="2" s="1"/>
  <c r="Z38" i="2"/>
  <c r="AD38" i="2" s="1"/>
  <c r="Z26" i="2"/>
  <c r="AD26" i="2" s="1"/>
  <c r="X31" i="2"/>
  <c r="AB31" i="2" s="1"/>
  <c r="AT31" i="2" s="1"/>
  <c r="Z55" i="2"/>
  <c r="AD55" i="2" s="1"/>
  <c r="Z43" i="2"/>
  <c r="AD43" i="2" s="1"/>
  <c r="Y46" i="2"/>
  <c r="AC46" i="2" s="1"/>
  <c r="X49" i="2"/>
  <c r="AB49" i="2" s="1"/>
  <c r="AT49" i="2" s="1"/>
  <c r="Z63" i="2"/>
  <c r="AD63" i="2" s="1"/>
  <c r="X67" i="2"/>
  <c r="AB67" i="2" s="1"/>
  <c r="AT67" i="2" s="1"/>
  <c r="BB67" i="2" s="1"/>
  <c r="Z24" i="2"/>
  <c r="AD24" i="2" s="1"/>
  <c r="Y12" i="2"/>
  <c r="AC12" i="2" s="1"/>
  <c r="Y37" i="2"/>
  <c r="AC37" i="2" s="1"/>
  <c r="Y25" i="2"/>
  <c r="AC25" i="2" s="1"/>
  <c r="AU25" i="2" s="1"/>
  <c r="X46" i="2"/>
  <c r="AB46" i="2" s="1"/>
  <c r="AT46" i="2" s="1"/>
  <c r="Y62" i="2"/>
  <c r="AC62" i="2" s="1"/>
  <c r="X64" i="2"/>
  <c r="AB64" i="2" s="1"/>
  <c r="AT64" i="2" s="1"/>
  <c r="X27" i="2"/>
  <c r="AB27" i="2" s="1"/>
  <c r="AT27" i="2" s="1"/>
  <c r="Y54" i="2"/>
  <c r="AC54" i="2" s="1"/>
  <c r="AU54" i="2" s="1"/>
  <c r="X57" i="2"/>
  <c r="AB57" i="2" s="1"/>
  <c r="AT57" i="2" s="1"/>
  <c r="X45" i="2"/>
  <c r="AB45" i="2" s="1"/>
  <c r="AT45" i="2" s="1"/>
  <c r="Y61" i="2"/>
  <c r="AC61" i="2" s="1"/>
  <c r="AU61" i="2" s="1"/>
  <c r="X63" i="2"/>
  <c r="AB63" i="2" s="1"/>
  <c r="AT63" i="2" s="1"/>
  <c r="BB63" i="2" s="1"/>
  <c r="Y36" i="2"/>
  <c r="AC36" i="2" s="1"/>
  <c r="Y10" i="2"/>
  <c r="AC10" i="2" s="1"/>
  <c r="Z33" i="2"/>
  <c r="AD33" i="2" s="1"/>
  <c r="Y35" i="2"/>
  <c r="AC35" i="2" s="1"/>
  <c r="X38" i="2"/>
  <c r="AB38" i="2" s="1"/>
  <c r="AT38" i="2" s="1"/>
  <c r="X26" i="2"/>
  <c r="AB26" i="2" s="1"/>
  <c r="AT26" i="2" s="1"/>
  <c r="Y53" i="2"/>
  <c r="AC53" i="2" s="1"/>
  <c r="AU53" i="2" s="1"/>
  <c r="X56" i="2"/>
  <c r="AB56" i="2" s="1"/>
  <c r="AT56" i="2" s="1"/>
  <c r="X44" i="2"/>
  <c r="AB44" i="2" s="1"/>
  <c r="AT44" i="2" s="1"/>
  <c r="Z70" i="2"/>
  <c r="AD70" i="2" s="1"/>
  <c r="Z58" i="2"/>
  <c r="AD58" i="2" s="1"/>
  <c r="Y60" i="2"/>
  <c r="AC60" i="2" s="1"/>
  <c r="AU60" i="2" s="1"/>
  <c r="X62" i="2"/>
  <c r="AB62" i="2" s="1"/>
  <c r="AT62" i="2" s="1"/>
  <c r="Z23" i="2"/>
  <c r="AD23" i="2" s="1"/>
  <c r="Y34" i="2"/>
  <c r="AC34" i="2" s="1"/>
  <c r="X37" i="2"/>
  <c r="AB37" i="2" s="1"/>
  <c r="AT37" i="2" s="1"/>
  <c r="X25" i="2"/>
  <c r="AB25" i="2" s="1"/>
  <c r="AT25" i="2" s="1"/>
  <c r="Y52" i="2"/>
  <c r="AC52" i="2" s="1"/>
  <c r="AU52" i="2" s="1"/>
  <c r="X55" i="2"/>
  <c r="AB55" i="2" s="1"/>
  <c r="AT55" i="2" s="1"/>
  <c r="BB55" i="2" s="1"/>
  <c r="X43" i="2"/>
  <c r="AB43" i="2" s="1"/>
  <c r="AT43" i="2" s="1"/>
  <c r="BB43" i="2" s="1"/>
  <c r="Y71" i="2"/>
  <c r="AC71" i="2" s="1"/>
  <c r="Y59" i="2"/>
  <c r="AC59" i="2" s="1"/>
  <c r="X61" i="2"/>
  <c r="AB61" i="2" s="1"/>
  <c r="AT61" i="2" s="1"/>
  <c r="Z57" i="2"/>
  <c r="AD57" i="2" s="1"/>
  <c r="X36" i="2"/>
  <c r="AB36" i="2" s="1"/>
  <c r="AT36" i="2" s="1"/>
  <c r="BB36" i="2" s="1"/>
  <c r="X24" i="2"/>
  <c r="AB24" i="2" s="1"/>
  <c r="Y51" i="2"/>
  <c r="AC51" i="2" s="1"/>
  <c r="X54" i="2"/>
  <c r="AB54" i="2" s="1"/>
  <c r="AT54" i="2" s="1"/>
  <c r="AD49" i="2"/>
  <c r="AC70" i="2"/>
  <c r="AC29" i="2"/>
  <c r="AU29" i="2" s="1"/>
  <c r="AD68" i="2"/>
  <c r="AD67" i="2"/>
  <c r="U6" i="1"/>
  <c r="U5" i="1"/>
  <c r="U8" i="1"/>
  <c r="U9" i="1"/>
  <c r="U7" i="1"/>
  <c r="U4" i="1"/>
  <c r="U3" i="1"/>
  <c r="U16" i="1"/>
  <c r="U17" i="1"/>
  <c r="U15" i="1"/>
  <c r="U13" i="1"/>
  <c r="U12" i="1"/>
  <c r="U11" i="1"/>
  <c r="U10" i="1"/>
  <c r="Z4" i="2"/>
  <c r="AD4" i="2" s="1"/>
  <c r="X5" i="2"/>
  <c r="AB5" i="2" s="1"/>
  <c r="Z11" i="2"/>
  <c r="AD11" i="2" s="1"/>
  <c r="Z10" i="2"/>
  <c r="AD10" i="2" s="1"/>
  <c r="AZ11" i="1"/>
  <c r="AZ12" i="1"/>
  <c r="AZ10" i="1"/>
  <c r="AZ9" i="1"/>
  <c r="AZ8" i="1"/>
  <c r="AZ7" i="1"/>
  <c r="AZ6" i="1"/>
  <c r="AZ5" i="1"/>
  <c r="Z19" i="2"/>
  <c r="AD19" i="2" s="1"/>
  <c r="Z18" i="2"/>
  <c r="AD18" i="2" s="1"/>
  <c r="Z17" i="2"/>
  <c r="AD17" i="2" s="1"/>
  <c r="Z16" i="2"/>
  <c r="AD16" i="2" s="1"/>
  <c r="Z15" i="2"/>
  <c r="AD15" i="2" s="1"/>
  <c r="Z14" i="2"/>
  <c r="AD14" i="2" s="1"/>
  <c r="Z13" i="2"/>
  <c r="AD13" i="2" s="1"/>
  <c r="Z12" i="2"/>
  <c r="AD12" i="2" s="1"/>
  <c r="Z9" i="2"/>
  <c r="AD9" i="2" s="1"/>
  <c r="Z8" i="2"/>
  <c r="AD8" i="2" s="1"/>
  <c r="Z7" i="2"/>
  <c r="AD7" i="2" s="1"/>
  <c r="Z6" i="2"/>
  <c r="AD6" i="2" s="1"/>
  <c r="Z5" i="2"/>
  <c r="AD5" i="2" s="1"/>
  <c r="X19" i="2"/>
  <c r="AB19" i="2" s="1"/>
  <c r="X18" i="2"/>
  <c r="AB18" i="2" s="1"/>
  <c r="X17" i="2"/>
  <c r="AB17" i="2" s="1"/>
  <c r="X16" i="2"/>
  <c r="AB16" i="2" s="1"/>
  <c r="X15" i="2"/>
  <c r="AB15" i="2" s="1"/>
  <c r="X14" i="2"/>
  <c r="AB14" i="2" s="1"/>
  <c r="X13" i="2"/>
  <c r="AB13" i="2" s="1"/>
  <c r="X12" i="2"/>
  <c r="AB12" i="2" s="1"/>
  <c r="X11" i="2"/>
  <c r="AB11" i="2" s="1"/>
  <c r="X10" i="2"/>
  <c r="AB10" i="2" s="1"/>
  <c r="X9" i="2"/>
  <c r="AB9" i="2" s="1"/>
  <c r="X8" i="2"/>
  <c r="AB8" i="2" s="1"/>
  <c r="X7" i="2"/>
  <c r="AB7" i="2" s="1"/>
  <c r="X6" i="2"/>
  <c r="AB6" i="2" s="1"/>
  <c r="AT71" i="2"/>
  <c r="BB71" i="2" s="1"/>
  <c r="AG5" i="1"/>
  <c r="BB70" i="2" l="1"/>
  <c r="BB26" i="2"/>
  <c r="BB68" i="2"/>
  <c r="BB54" i="2"/>
  <c r="BC50" i="2"/>
  <c r="BC56" i="2"/>
  <c r="BB50" i="2"/>
  <c r="BC52" i="2"/>
  <c r="BB64" i="2"/>
  <c r="BC47" i="2"/>
  <c r="BC42" i="2"/>
  <c r="BB46" i="2"/>
  <c r="BC65" i="2"/>
  <c r="BB69" i="2"/>
  <c r="BC48" i="2"/>
  <c r="BB60" i="2"/>
  <c r="BC43" i="2"/>
  <c r="BB42" i="2"/>
  <c r="BC61" i="2"/>
  <c r="BB65" i="2"/>
  <c r="BC44" i="2"/>
  <c r="BB56" i="2"/>
  <c r="BC31" i="2"/>
  <c r="BB35" i="2"/>
  <c r="BB61" i="2"/>
  <c r="BC32" i="2"/>
  <c r="BC27" i="2"/>
  <c r="BB31" i="2"/>
  <c r="BC53" i="2"/>
  <c r="BB57" i="2"/>
  <c r="BB48" i="2"/>
  <c r="BB27" i="2"/>
  <c r="BB53" i="2"/>
  <c r="BC29" i="2"/>
  <c r="BB44" i="2"/>
  <c r="BB23" i="2"/>
  <c r="BC45" i="2"/>
  <c r="BB49" i="2"/>
  <c r="BC25" i="2"/>
  <c r="BB37" i="2"/>
  <c r="BC66" i="2"/>
  <c r="BC38" i="2"/>
  <c r="BB45" i="2"/>
  <c r="BB33" i="2"/>
  <c r="BB66" i="2"/>
  <c r="BB38" i="2"/>
  <c r="BB29" i="2"/>
  <c r="BB62" i="2"/>
  <c r="BB34" i="2"/>
  <c r="BC64" i="2"/>
  <c r="BB25" i="2"/>
  <c r="BC54" i="2"/>
  <c r="BB58" i="2"/>
  <c r="BC26" i="2"/>
  <c r="BB30" i="2"/>
  <c r="BC60" i="2"/>
  <c r="BC55" i="2"/>
  <c r="AG12" i="1"/>
  <c r="AN12" i="1" s="1"/>
  <c r="AG6" i="1"/>
  <c r="AN6" i="1" s="1"/>
  <c r="AL12" i="1"/>
  <c r="AN5" i="1"/>
  <c r="AG9" i="1"/>
  <c r="AK9" i="1"/>
  <c r="AG10" i="1"/>
  <c r="AK10" i="1"/>
  <c r="AG11" i="1"/>
  <c r="AK11" i="1"/>
  <c r="AG8" i="1"/>
  <c r="AJ8" i="1" s="1"/>
  <c r="AK8" i="1"/>
  <c r="AG4" i="1"/>
  <c r="AH4" i="1" s="1"/>
  <c r="AK4" i="1"/>
  <c r="AL6" i="1"/>
  <c r="AL5" i="1"/>
  <c r="AG7" i="1"/>
  <c r="AK7" i="1"/>
  <c r="AG13" i="1"/>
  <c r="AK13" i="1"/>
  <c r="AG14" i="1"/>
  <c r="AK14" i="1"/>
  <c r="AG3" i="1"/>
  <c r="AJ3" i="1" s="1"/>
  <c r="AD5" i="1"/>
  <c r="AI5" i="1" s="1"/>
  <c r="AD11" i="1"/>
  <c r="AI11" i="1" s="1"/>
  <c r="AD6" i="1"/>
  <c r="AI6" i="1" s="1"/>
  <c r="AD7" i="1"/>
  <c r="AI7" i="1" s="1"/>
  <c r="AD8" i="1"/>
  <c r="AI8" i="1" s="1"/>
  <c r="AD10" i="1"/>
  <c r="AI10" i="1" s="1"/>
  <c r="AD12" i="1"/>
  <c r="AI12" i="1" s="1"/>
  <c r="AD3" i="1"/>
  <c r="AI3" i="1" s="1"/>
  <c r="AD9" i="1"/>
  <c r="AI9" i="1" s="1"/>
  <c r="AD13" i="1"/>
  <c r="AD14" i="1"/>
  <c r="AI14" i="1" s="1"/>
  <c r="AG4" i="2"/>
  <c r="AN4" i="2" s="1"/>
  <c r="BD4" i="2" s="1"/>
  <c r="AU4" i="2"/>
  <c r="AM4" i="2"/>
  <c r="BC4" i="2" s="1"/>
  <c r="AJ4" i="1"/>
  <c r="AJ13" i="1"/>
  <c r="AJ6" i="1"/>
  <c r="AJ12" i="1"/>
  <c r="AJ5" i="1"/>
  <c r="AJ11" i="1"/>
  <c r="AJ9" i="1"/>
  <c r="AJ14" i="1"/>
  <c r="AJ10" i="1"/>
  <c r="AJ7" i="1"/>
  <c r="AU24" i="2"/>
  <c r="BC24" i="2" s="1"/>
  <c r="AT24" i="2"/>
  <c r="BB24" i="2" s="1"/>
  <c r="AM37" i="2"/>
  <c r="AU37" i="2"/>
  <c r="BC37" i="2" s="1"/>
  <c r="AG38" i="2"/>
  <c r="AV38" i="2" s="1"/>
  <c r="BD38" i="2" s="1"/>
  <c r="AM38" i="2"/>
  <c r="AG30" i="2"/>
  <c r="AV30" i="2" s="1"/>
  <c r="BD30" i="2" s="1"/>
  <c r="AU30" i="2"/>
  <c r="BC30" i="2" s="1"/>
  <c r="AG23" i="2"/>
  <c r="AN23" i="2" s="1"/>
  <c r="AU23" i="2"/>
  <c r="BC23" i="2" s="1"/>
  <c r="AM28" i="2"/>
  <c r="AU28" i="2"/>
  <c r="BC28" i="2" s="1"/>
  <c r="AM34" i="2"/>
  <c r="AU34" i="2"/>
  <c r="BC34" i="2" s="1"/>
  <c r="AM33" i="2"/>
  <c r="AU33" i="2"/>
  <c r="BC33" i="2" s="1"/>
  <c r="AG35" i="2"/>
  <c r="AV35" i="2" s="1"/>
  <c r="BD35" i="2" s="1"/>
  <c r="AU35" i="2"/>
  <c r="BC35" i="2" s="1"/>
  <c r="AG36" i="2"/>
  <c r="AV36" i="2" s="1"/>
  <c r="BD36" i="2" s="1"/>
  <c r="AU36" i="2"/>
  <c r="BC36" i="2" s="1"/>
  <c r="AT6" i="2"/>
  <c r="AT7" i="2"/>
  <c r="AT8" i="2"/>
  <c r="AG10" i="2"/>
  <c r="AV10" i="2" s="1"/>
  <c r="AU10" i="2"/>
  <c r="AT10" i="2"/>
  <c r="AT11" i="2"/>
  <c r="AT12" i="2"/>
  <c r="AT14" i="2"/>
  <c r="AG16" i="2"/>
  <c r="AV16" i="2" s="1"/>
  <c r="AU16" i="2"/>
  <c r="AT15" i="2"/>
  <c r="AT16" i="2"/>
  <c r="AG18" i="2"/>
  <c r="AV18" i="2" s="1"/>
  <c r="AU18" i="2"/>
  <c r="AT13" i="2"/>
  <c r="AT17" i="2"/>
  <c r="AG19" i="2"/>
  <c r="AN19" i="2" s="1"/>
  <c r="BD19" i="2" s="1"/>
  <c r="AU19" i="2"/>
  <c r="AT18" i="2"/>
  <c r="AG8" i="2"/>
  <c r="AV8" i="2" s="1"/>
  <c r="AU8" i="2"/>
  <c r="AG9" i="2"/>
  <c r="AN9" i="2" s="1"/>
  <c r="BD9" i="2" s="1"/>
  <c r="AU9" i="2"/>
  <c r="AT9" i="2"/>
  <c r="AG11" i="2"/>
  <c r="AN11" i="2" s="1"/>
  <c r="BD11" i="2" s="1"/>
  <c r="AU11" i="2"/>
  <c r="AG12" i="2"/>
  <c r="AV12" i="2" s="1"/>
  <c r="AU12" i="2"/>
  <c r="AM14" i="2"/>
  <c r="AU14" i="2"/>
  <c r="AG15" i="2"/>
  <c r="AN15" i="2" s="1"/>
  <c r="BD15" i="2" s="1"/>
  <c r="AU15" i="2"/>
  <c r="AT19" i="2"/>
  <c r="AT5" i="2"/>
  <c r="AM13" i="2"/>
  <c r="AU13" i="2"/>
  <c r="AT4" i="2"/>
  <c r="AM70" i="2"/>
  <c r="AU70" i="2"/>
  <c r="BC70" i="2" s="1"/>
  <c r="AG71" i="2"/>
  <c r="AN71" i="2" s="1"/>
  <c r="AU71" i="2"/>
  <c r="BC71" i="2" s="1"/>
  <c r="AM58" i="2"/>
  <c r="AU58" i="2"/>
  <c r="BC58" i="2" s="1"/>
  <c r="AM59" i="2"/>
  <c r="AU59" i="2"/>
  <c r="BC59" i="2" s="1"/>
  <c r="AM62" i="2"/>
  <c r="AU62" i="2"/>
  <c r="BC62" i="2" s="1"/>
  <c r="AG63" i="2"/>
  <c r="AN63" i="2" s="1"/>
  <c r="AU63" i="2"/>
  <c r="BC63" i="2" s="1"/>
  <c r="AM67" i="2"/>
  <c r="AU67" i="2"/>
  <c r="BC67" i="2" s="1"/>
  <c r="AG68" i="2"/>
  <c r="AN68" i="2" s="1"/>
  <c r="AU68" i="2"/>
  <c r="BC68" i="2" s="1"/>
  <c r="AM69" i="2"/>
  <c r="AU69" i="2"/>
  <c r="BC69" i="2" s="1"/>
  <c r="AG51" i="2"/>
  <c r="AN51" i="2" s="1"/>
  <c r="AU51" i="2"/>
  <c r="BC51" i="2" s="1"/>
  <c r="AG46" i="2"/>
  <c r="AV46" i="2" s="1"/>
  <c r="BD46" i="2" s="1"/>
  <c r="AU46" i="2"/>
  <c r="BC46" i="2" s="1"/>
  <c r="AM49" i="2"/>
  <c r="AU49" i="2"/>
  <c r="BC49" i="2" s="1"/>
  <c r="AT52" i="2"/>
  <c r="BB52" i="2" s="1"/>
  <c r="AM42" i="2"/>
  <c r="AG57" i="2"/>
  <c r="AV57" i="2" s="1"/>
  <c r="BD57" i="2" s="1"/>
  <c r="AU57" i="2"/>
  <c r="BC57" i="2" s="1"/>
  <c r="AM36" i="2"/>
  <c r="AG28" i="2"/>
  <c r="AN28" i="2" s="1"/>
  <c r="AG17" i="2"/>
  <c r="AN17" i="2" s="1"/>
  <c r="BD17" i="2" s="1"/>
  <c r="AM17" i="2"/>
  <c r="AG69" i="2"/>
  <c r="AN69" i="2" s="1"/>
  <c r="AG33" i="2"/>
  <c r="AN33" i="2" s="1"/>
  <c r="AG47" i="2"/>
  <c r="AN47" i="2" s="1"/>
  <c r="AM47" i="2"/>
  <c r="AM60" i="2"/>
  <c r="AG60" i="2"/>
  <c r="AN60" i="2" s="1"/>
  <c r="AG48" i="2"/>
  <c r="AN48" i="2" s="1"/>
  <c r="AM48" i="2"/>
  <c r="AM19" i="2"/>
  <c r="AG67" i="2"/>
  <c r="AN67" i="2" s="1"/>
  <c r="AG34" i="2"/>
  <c r="AN34" i="2" s="1"/>
  <c r="AM30" i="2"/>
  <c r="AV4" i="2"/>
  <c r="AG37" i="2"/>
  <c r="AN37" i="2" s="1"/>
  <c r="AM68" i="2"/>
  <c r="AM71" i="2"/>
  <c r="AG58" i="2"/>
  <c r="AN58" i="2" s="1"/>
  <c r="AM35" i="2"/>
  <c r="AG62" i="2"/>
  <c r="AN62" i="2" s="1"/>
  <c r="AG59" i="2"/>
  <c r="AN59" i="2" s="1"/>
  <c r="AG70" i="2"/>
  <c r="AN70" i="2" s="1"/>
  <c r="AG43" i="2"/>
  <c r="AN43" i="2" s="1"/>
  <c r="AM43" i="2"/>
  <c r="AG49" i="2"/>
  <c r="AN49" i="2" s="1"/>
  <c r="AM56" i="2"/>
  <c r="AG56" i="2"/>
  <c r="AN56" i="2" s="1"/>
  <c r="AM46" i="2"/>
  <c r="AG55" i="2"/>
  <c r="AN55" i="2" s="1"/>
  <c r="AM55" i="2"/>
  <c r="AM44" i="2"/>
  <c r="AG44" i="2"/>
  <c r="AN44" i="2" s="1"/>
  <c r="AM51" i="2"/>
  <c r="AM45" i="2"/>
  <c r="AG45" i="2"/>
  <c r="AN45" i="2" s="1"/>
  <c r="AG32" i="2"/>
  <c r="AN32" i="2" s="1"/>
  <c r="AM32" i="2"/>
  <c r="AG31" i="2"/>
  <c r="AN31" i="2" s="1"/>
  <c r="AM31" i="2"/>
  <c r="AG29" i="2"/>
  <c r="AN29" i="2" s="1"/>
  <c r="AM29" i="2"/>
  <c r="AG27" i="2"/>
  <c r="AN27" i="2" s="1"/>
  <c r="AM27" i="2"/>
  <c r="AG26" i="2"/>
  <c r="AN26" i="2" s="1"/>
  <c r="AM26" i="2"/>
  <c r="AG25" i="2"/>
  <c r="AN25" i="2" s="1"/>
  <c r="AM25" i="2"/>
  <c r="AG24" i="2"/>
  <c r="AN24" i="2" s="1"/>
  <c r="AM24" i="2"/>
  <c r="AM66" i="2"/>
  <c r="AG66" i="2"/>
  <c r="AN66" i="2" s="1"/>
  <c r="AM65" i="2"/>
  <c r="AG65" i="2"/>
  <c r="AN65" i="2" s="1"/>
  <c r="AM64" i="2"/>
  <c r="AG64" i="2"/>
  <c r="AN64" i="2" s="1"/>
  <c r="AM63" i="2"/>
  <c r="AM61" i="2"/>
  <c r="AG61" i="2"/>
  <c r="AN61" i="2" s="1"/>
  <c r="AM57" i="2"/>
  <c r="AM50" i="2"/>
  <c r="AG50" i="2"/>
  <c r="AN50" i="2" s="1"/>
  <c r="AM52" i="2"/>
  <c r="AG52" i="2"/>
  <c r="AN52" i="2" s="1"/>
  <c r="AG53" i="2"/>
  <c r="AN53" i="2" s="1"/>
  <c r="AM53" i="2"/>
  <c r="AM54" i="2"/>
  <c r="AG54" i="2"/>
  <c r="AN54" i="2" s="1"/>
  <c r="AM16" i="2"/>
  <c r="AG13" i="2"/>
  <c r="AN13" i="2" s="1"/>
  <c r="BD13" i="2" s="1"/>
  <c r="AM8" i="2"/>
  <c r="AM15" i="2"/>
  <c r="AM11" i="2"/>
  <c r="AM10" i="2"/>
  <c r="AG14" i="2"/>
  <c r="AN14" i="2" s="1"/>
  <c r="BD14" i="2" s="1"/>
  <c r="AM12" i="2"/>
  <c r="AM18" i="2"/>
  <c r="AM9" i="2"/>
  <c r="AM6" i="2"/>
  <c r="AG6" i="2"/>
  <c r="AN6" i="2" s="1"/>
  <c r="BD6" i="2" s="1"/>
  <c r="AG7" i="2"/>
  <c r="AN7" i="2" s="1"/>
  <c r="BD7" i="2" s="1"/>
  <c r="AM7" i="2"/>
  <c r="AG42" i="2"/>
  <c r="AN42" i="2" s="1"/>
  <c r="AM23" i="2"/>
  <c r="AK62" i="2" l="1"/>
  <c r="AK43" i="2"/>
  <c r="BE43" i="2" s="1"/>
  <c r="AK52" i="2"/>
  <c r="BE52" i="2" s="1"/>
  <c r="AK45" i="2"/>
  <c r="BE45" i="2" s="1"/>
  <c r="AK66" i="2"/>
  <c r="AK56" i="2"/>
  <c r="BE56" i="2" s="1"/>
  <c r="AK50" i="2"/>
  <c r="BE50" i="2" s="1"/>
  <c r="BE66" i="2"/>
  <c r="AK69" i="2"/>
  <c r="BE69" i="2" s="1"/>
  <c r="AK55" i="2"/>
  <c r="BE55" i="2" s="1"/>
  <c r="AK65" i="2"/>
  <c r="BE65" i="2" s="1"/>
  <c r="AK68" i="2"/>
  <c r="BE68" i="2" s="1"/>
  <c r="AK61" i="2"/>
  <c r="BE61" i="2" s="1"/>
  <c r="AI26" i="2"/>
  <c r="AK26" i="2"/>
  <c r="AI51" i="2"/>
  <c r="AK51" i="2"/>
  <c r="BE51" i="2" s="1"/>
  <c r="AK48" i="2"/>
  <c r="BE48" i="2" s="1"/>
  <c r="AI33" i="2"/>
  <c r="AK33" i="2"/>
  <c r="BE33" i="2" s="1"/>
  <c r="AK37" i="2"/>
  <c r="BE37" i="2" s="1"/>
  <c r="AP58" i="2"/>
  <c r="AQ58" i="2" s="1"/>
  <c r="AK58" i="2"/>
  <c r="BE58" i="2" s="1"/>
  <c r="BC16" i="2"/>
  <c r="AI63" i="2"/>
  <c r="AK63" i="2"/>
  <c r="BE63" i="2" s="1"/>
  <c r="BC14" i="2"/>
  <c r="AK14" i="2"/>
  <c r="AI4" i="2"/>
  <c r="AL4" i="2" s="1"/>
  <c r="BB4" i="2" s="1"/>
  <c r="AK4" i="2"/>
  <c r="AS4" i="2"/>
  <c r="BE26" i="2"/>
  <c r="AI27" i="2"/>
  <c r="AK27" i="2"/>
  <c r="BE27" i="2" s="1"/>
  <c r="AK44" i="2"/>
  <c r="BE44" i="2" s="1"/>
  <c r="AI35" i="2"/>
  <c r="AI42" i="2"/>
  <c r="AK42" i="2"/>
  <c r="BE42" i="2" s="1"/>
  <c r="AK34" i="2"/>
  <c r="BE34" i="2" s="1"/>
  <c r="BC7" i="2"/>
  <c r="AK7" i="2"/>
  <c r="BC6" i="2"/>
  <c r="AK6" i="2"/>
  <c r="AK64" i="2"/>
  <c r="BE64" i="2" s="1"/>
  <c r="AI60" i="2"/>
  <c r="AK60" i="2"/>
  <c r="BE60" i="2" s="1"/>
  <c r="M67" i="2"/>
  <c r="AK67" i="2"/>
  <c r="BE67" i="2" s="1"/>
  <c r="AK70" i="2"/>
  <c r="BE70" i="2" s="1"/>
  <c r="AI36" i="2"/>
  <c r="AK54" i="2"/>
  <c r="BC9" i="2"/>
  <c r="AK9" i="2"/>
  <c r="AK53" i="2"/>
  <c r="BE53" i="2" s="1"/>
  <c r="AI29" i="2"/>
  <c r="AK29" i="2"/>
  <c r="BE29" i="2" s="1"/>
  <c r="AK71" i="2"/>
  <c r="BE71" i="2" s="1"/>
  <c r="AI47" i="2"/>
  <c r="AK47" i="2"/>
  <c r="BE47" i="2" s="1"/>
  <c r="AK28" i="2"/>
  <c r="BE28" i="2" s="1"/>
  <c r="AP49" i="2"/>
  <c r="AQ49" i="2" s="1"/>
  <c r="AK49" i="2"/>
  <c r="BE49" i="2" s="1"/>
  <c r="BC12" i="2"/>
  <c r="AI31" i="2"/>
  <c r="AK31" i="2"/>
  <c r="BE31" i="2" s="1"/>
  <c r="BC13" i="2"/>
  <c r="AK13" i="2"/>
  <c r="BC8" i="2"/>
  <c r="AI19" i="2"/>
  <c r="AL19" i="2" s="1"/>
  <c r="BB19" i="2" s="1"/>
  <c r="AK19" i="2"/>
  <c r="BC18" i="2"/>
  <c r="BC10" i="2"/>
  <c r="AI24" i="2"/>
  <c r="AK24" i="2"/>
  <c r="BE24" i="2" s="1"/>
  <c r="AI32" i="2"/>
  <c r="AK32" i="2"/>
  <c r="BE32" i="2" s="1"/>
  <c r="AI30" i="2"/>
  <c r="BC17" i="2"/>
  <c r="AK17" i="2"/>
  <c r="AV19" i="2"/>
  <c r="BE62" i="2"/>
  <c r="BC11" i="2"/>
  <c r="AK11" i="2"/>
  <c r="AK59" i="2"/>
  <c r="BE59" i="2" s="1"/>
  <c r="AI38" i="2"/>
  <c r="AI23" i="2"/>
  <c r="AK23" i="2"/>
  <c r="BE23" i="2" s="1"/>
  <c r="BC15" i="2"/>
  <c r="AK15" i="2"/>
  <c r="AI25" i="2"/>
  <c r="AL25" i="2" s="1"/>
  <c r="AK25" i="2"/>
  <c r="BE25" i="2" s="1"/>
  <c r="BE54" i="2"/>
  <c r="BC19" i="2"/>
  <c r="AH3" i="1"/>
  <c r="AL11" i="1"/>
  <c r="AN11" i="1"/>
  <c r="AL14" i="1"/>
  <c r="AN14" i="1"/>
  <c r="AH5" i="1"/>
  <c r="AO5" i="1" s="1"/>
  <c r="AL13" i="1"/>
  <c r="AN13" i="1"/>
  <c r="AL10" i="1"/>
  <c r="AO10" i="1" s="1"/>
  <c r="AN10" i="1"/>
  <c r="AL7" i="1"/>
  <c r="AN7" i="1"/>
  <c r="AL9" i="1"/>
  <c r="AN9" i="1"/>
  <c r="AL8" i="1"/>
  <c r="AN8" i="1"/>
  <c r="AL4" i="1"/>
  <c r="AO4" i="1" s="1"/>
  <c r="AN4" i="1"/>
  <c r="AN3" i="1"/>
  <c r="AH13" i="1"/>
  <c r="AL3" i="1"/>
  <c r="AO3" i="1" s="1"/>
  <c r="AH6" i="1"/>
  <c r="AO6" i="1" s="1"/>
  <c r="AH7" i="1"/>
  <c r="AH11" i="1"/>
  <c r="AH10" i="1"/>
  <c r="AH8" i="1"/>
  <c r="AI13" i="1"/>
  <c r="AH12" i="1"/>
  <c r="AO12" i="1" s="1"/>
  <c r="AH14" i="1"/>
  <c r="AH9" i="1"/>
  <c r="AO33" i="2"/>
  <c r="AN10" i="2"/>
  <c r="BD10" i="2" s="1"/>
  <c r="AV71" i="2"/>
  <c r="BD71" i="2" s="1"/>
  <c r="AN18" i="2"/>
  <c r="BD18" i="2" s="1"/>
  <c r="AV52" i="2"/>
  <c r="BD52" i="2" s="1"/>
  <c r="AV51" i="2"/>
  <c r="BD51" i="2" s="1"/>
  <c r="AV14" i="2"/>
  <c r="AO63" i="2"/>
  <c r="AV68" i="2"/>
  <c r="BD68" i="2" s="1"/>
  <c r="AV70" i="2"/>
  <c r="BD70" i="2" s="1"/>
  <c r="AW11" i="2"/>
  <c r="AI11" i="2"/>
  <c r="AL11" i="2" s="1"/>
  <c r="BB11" i="2" s="1"/>
  <c r="AN38" i="2"/>
  <c r="AK38" i="2" s="1"/>
  <c r="BE38" i="2" s="1"/>
  <c r="AW14" i="2"/>
  <c r="AI14" i="2"/>
  <c r="AL14" i="2" s="1"/>
  <c r="BB14" i="2" s="1"/>
  <c r="BE14" i="2" s="1"/>
  <c r="AN16" i="2"/>
  <c r="BD16" i="2" s="1"/>
  <c r="AW57" i="2"/>
  <c r="AI57" i="2"/>
  <c r="AW62" i="2"/>
  <c r="AI62" i="2"/>
  <c r="AO28" i="2"/>
  <c r="AI28" i="2"/>
  <c r="AW58" i="2"/>
  <c r="AI58" i="2"/>
  <c r="AN30" i="2"/>
  <c r="AS30" i="2" s="1"/>
  <c r="AW69" i="2"/>
  <c r="AI69" i="2"/>
  <c r="AO37" i="2"/>
  <c r="AI37" i="2"/>
  <c r="AL37" i="2" s="1"/>
  <c r="AW55" i="2"/>
  <c r="AI55" i="2"/>
  <c r="AW16" i="2"/>
  <c r="AI16" i="2"/>
  <c r="AL16" i="2" s="1"/>
  <c r="BB16" i="2" s="1"/>
  <c r="AW54" i="2"/>
  <c r="AI54" i="2"/>
  <c r="AW48" i="2"/>
  <c r="AI48" i="2"/>
  <c r="AN8" i="2"/>
  <c r="AK8" i="2" s="1"/>
  <c r="AW12" i="2"/>
  <c r="AI12" i="2"/>
  <c r="AL12" i="2" s="1"/>
  <c r="BB12" i="2" s="1"/>
  <c r="AW61" i="2"/>
  <c r="AI61" i="2"/>
  <c r="AW43" i="2"/>
  <c r="AI43" i="2"/>
  <c r="AW7" i="2"/>
  <c r="AI7" i="2"/>
  <c r="AL7" i="2" s="1"/>
  <c r="BB7" i="2" s="1"/>
  <c r="AW65" i="2"/>
  <c r="AI65" i="2"/>
  <c r="AL65" i="2" s="1"/>
  <c r="AW53" i="2"/>
  <c r="AI53" i="2"/>
  <c r="AW66" i="2"/>
  <c r="AI66" i="2"/>
  <c r="AL66" i="2" s="1"/>
  <c r="AO38" i="2"/>
  <c r="AW70" i="2"/>
  <c r="AI70" i="2"/>
  <c r="AV31" i="2"/>
  <c r="BD31" i="2" s="1"/>
  <c r="AW17" i="2"/>
  <c r="AI17" i="2"/>
  <c r="AL17" i="2" s="1"/>
  <c r="BB17" i="2" s="1"/>
  <c r="AW59" i="2"/>
  <c r="AI59" i="2"/>
  <c r="AW64" i="2"/>
  <c r="AI64" i="2"/>
  <c r="AV17" i="2"/>
  <c r="AW9" i="2"/>
  <c r="AI9" i="2"/>
  <c r="AL9" i="2" s="1"/>
  <c r="BB9" i="2" s="1"/>
  <c r="BE9" i="2" s="1"/>
  <c r="AW67" i="2"/>
  <c r="AI67" i="2"/>
  <c r="AL67" i="2" s="1"/>
  <c r="AW44" i="2"/>
  <c r="AI44" i="2"/>
  <c r="AW10" i="2"/>
  <c r="AI10" i="2"/>
  <c r="AL10" i="2" s="1"/>
  <c r="BB10" i="2" s="1"/>
  <c r="AW46" i="2"/>
  <c r="AI46" i="2"/>
  <c r="AW15" i="2"/>
  <c r="AI15" i="2"/>
  <c r="AL15" i="2" s="1"/>
  <c r="BB15" i="2" s="1"/>
  <c r="AW56" i="2"/>
  <c r="AI56" i="2"/>
  <c r="M38" i="2"/>
  <c r="AO14" i="2"/>
  <c r="AW52" i="2"/>
  <c r="AI52" i="2"/>
  <c r="AL52" i="2" s="1"/>
  <c r="AW45" i="2"/>
  <c r="AI45" i="2"/>
  <c r="AW13" i="2"/>
  <c r="AI13" i="2"/>
  <c r="AL13" i="2" s="1"/>
  <c r="BB13" i="2" s="1"/>
  <c r="AN12" i="2"/>
  <c r="AK12" i="2" s="1"/>
  <c r="AW8" i="2"/>
  <c r="AI8" i="2"/>
  <c r="AL8" i="2" s="1"/>
  <c r="BB8" i="2" s="1"/>
  <c r="M14" i="2"/>
  <c r="AW71" i="2"/>
  <c r="AI71" i="2"/>
  <c r="AW49" i="2"/>
  <c r="AI49" i="2"/>
  <c r="AV15" i="2"/>
  <c r="AO34" i="2"/>
  <c r="AI34" i="2"/>
  <c r="AW6" i="2"/>
  <c r="AI6" i="2"/>
  <c r="AL6" i="2" s="1"/>
  <c r="BB6" i="2" s="1"/>
  <c r="BE6" i="2" s="1"/>
  <c r="AW18" i="2"/>
  <c r="AI18" i="2"/>
  <c r="AL18" i="2" s="1"/>
  <c r="BB18" i="2" s="1"/>
  <c r="AW50" i="2"/>
  <c r="AI50" i="2"/>
  <c r="AW68" i="2"/>
  <c r="AI68" i="2"/>
  <c r="AL68" i="2" s="1"/>
  <c r="AV55" i="2"/>
  <c r="BD55" i="2" s="1"/>
  <c r="AS13" i="2"/>
  <c r="AV9" i="2"/>
  <c r="AS14" i="2"/>
  <c r="AV11" i="2"/>
  <c r="AV27" i="2"/>
  <c r="BD27" i="2" s="1"/>
  <c r="M34" i="2"/>
  <c r="AV24" i="2"/>
  <c r="BD24" i="2" s="1"/>
  <c r="AN35" i="2"/>
  <c r="AS35" i="2" s="1"/>
  <c r="AV37" i="2"/>
  <c r="BD37" i="2" s="1"/>
  <c r="AO49" i="2"/>
  <c r="AP67" i="2"/>
  <c r="AQ67" i="2" s="1"/>
  <c r="AS67" i="2"/>
  <c r="AV48" i="2"/>
  <c r="BD48" i="2" s="1"/>
  <c r="AV62" i="2"/>
  <c r="BD62" i="2" s="1"/>
  <c r="AS49" i="2"/>
  <c r="AO67" i="2"/>
  <c r="M49" i="2"/>
  <c r="AS42" i="2"/>
  <c r="AV63" i="2"/>
  <c r="BD63" i="2" s="1"/>
  <c r="AV61" i="2"/>
  <c r="BD61" i="2" s="1"/>
  <c r="AS58" i="2"/>
  <c r="M58" i="2"/>
  <c r="AV59" i="2"/>
  <c r="BD59" i="2" s="1"/>
  <c r="AV56" i="2"/>
  <c r="BD56" i="2" s="1"/>
  <c r="AN46" i="2"/>
  <c r="AS46" i="2" s="1"/>
  <c r="AV50" i="2"/>
  <c r="BD50" i="2" s="1"/>
  <c r="AV49" i="2"/>
  <c r="BD49" i="2" s="1"/>
  <c r="AW30" i="2"/>
  <c r="AP30" i="2"/>
  <c r="AQ30" i="2" s="1"/>
  <c r="AW24" i="2"/>
  <c r="AS24" i="2"/>
  <c r="AP24" i="2"/>
  <c r="AQ24" i="2" s="1"/>
  <c r="M36" i="2"/>
  <c r="AP36" i="2"/>
  <c r="AQ36" i="2" s="1"/>
  <c r="AW36" i="2"/>
  <c r="AW37" i="2"/>
  <c r="AS37" i="2"/>
  <c r="AP37" i="2"/>
  <c r="AQ37" i="2" s="1"/>
  <c r="AV34" i="2"/>
  <c r="BD34" i="2" s="1"/>
  <c r="AS25" i="2"/>
  <c r="AW25" i="2"/>
  <c r="AP25" i="2"/>
  <c r="AQ25" i="2" s="1"/>
  <c r="AW26" i="2"/>
  <c r="AS26" i="2"/>
  <c r="AP26" i="2"/>
  <c r="AQ26" i="2" s="1"/>
  <c r="AV32" i="2"/>
  <c r="BD32" i="2" s="1"/>
  <c r="AW27" i="2"/>
  <c r="AS27" i="2"/>
  <c r="AP27" i="2"/>
  <c r="AQ27" i="2" s="1"/>
  <c r="AV25" i="2"/>
  <c r="BD25" i="2" s="1"/>
  <c r="AW32" i="2"/>
  <c r="AS32" i="2"/>
  <c r="AP32" i="2"/>
  <c r="AQ32" i="2" s="1"/>
  <c r="M37" i="2"/>
  <c r="AW23" i="2"/>
  <c r="AS23" i="2"/>
  <c r="AP23" i="2"/>
  <c r="AQ23" i="2" s="1"/>
  <c r="AN36" i="2"/>
  <c r="AS36" i="2" s="1"/>
  <c r="AW29" i="2"/>
  <c r="AS29" i="2"/>
  <c r="AP29" i="2"/>
  <c r="AQ29" i="2" s="1"/>
  <c r="AW38" i="2"/>
  <c r="AP38" i="2"/>
  <c r="AQ38" i="2" s="1"/>
  <c r="AV29" i="2"/>
  <c r="BD29" i="2" s="1"/>
  <c r="AW31" i="2"/>
  <c r="AS31" i="2"/>
  <c r="AP31" i="2"/>
  <c r="AQ31" i="2" s="1"/>
  <c r="AV28" i="2"/>
  <c r="BD28" i="2" s="1"/>
  <c r="AW28" i="2"/>
  <c r="AS28" i="2"/>
  <c r="AP28" i="2"/>
  <c r="AQ28" i="2" s="1"/>
  <c r="AW35" i="2"/>
  <c r="AP35" i="2"/>
  <c r="AV26" i="2"/>
  <c r="BD26" i="2" s="1"/>
  <c r="AP33" i="2"/>
  <c r="AQ33" i="2" s="1"/>
  <c r="AW33" i="2"/>
  <c r="AS33" i="2"/>
  <c r="AV33" i="2"/>
  <c r="BD33" i="2" s="1"/>
  <c r="M28" i="2"/>
  <c r="AV23" i="2"/>
  <c r="BD23" i="2" s="1"/>
  <c r="AS34" i="2"/>
  <c r="AW34" i="2"/>
  <c r="AP34" i="2"/>
  <c r="AQ34" i="2" s="1"/>
  <c r="M33" i="2"/>
  <c r="M19" i="2"/>
  <c r="AW19" i="2"/>
  <c r="AV13" i="2"/>
  <c r="AV7" i="2"/>
  <c r="AO13" i="2"/>
  <c r="M13" i="2"/>
  <c r="AM5" i="2"/>
  <c r="AU5" i="2"/>
  <c r="AV6" i="2"/>
  <c r="AV42" i="2"/>
  <c r="BD42" i="2" s="1"/>
  <c r="M63" i="2"/>
  <c r="AW63" i="2"/>
  <c r="AV58" i="2"/>
  <c r="BD58" i="2" s="1"/>
  <c r="AS69" i="2"/>
  <c r="AO69" i="2"/>
  <c r="AO58" i="2"/>
  <c r="M59" i="2"/>
  <c r="M70" i="2"/>
  <c r="AO60" i="2"/>
  <c r="AW60" i="2"/>
  <c r="AV60" i="2"/>
  <c r="BD60" i="2" s="1"/>
  <c r="AO59" i="2"/>
  <c r="AO70" i="2"/>
  <c r="AP62" i="2"/>
  <c r="AQ62" i="2" s="1"/>
  <c r="AV69" i="2"/>
  <c r="BD69" i="2" s="1"/>
  <c r="AV67" i="2"/>
  <c r="BD67" i="2" s="1"/>
  <c r="AP70" i="2"/>
  <c r="AQ70" i="2" s="1"/>
  <c r="AV65" i="2"/>
  <c r="BD65" i="2" s="1"/>
  <c r="AP69" i="2"/>
  <c r="AQ69" i="2" s="1"/>
  <c r="M69" i="2"/>
  <c r="AV66" i="2"/>
  <c r="BD66" i="2" s="1"/>
  <c r="AS70" i="2"/>
  <c r="AV64" i="2"/>
  <c r="BD64" i="2" s="1"/>
  <c r="AO62" i="2"/>
  <c r="AS59" i="2"/>
  <c r="AP59" i="2"/>
  <c r="AQ59" i="2" s="1"/>
  <c r="M62" i="2"/>
  <c r="AS62" i="2"/>
  <c r="M47" i="2"/>
  <c r="AW47" i="2"/>
  <c r="AV43" i="2"/>
  <c r="BD43" i="2" s="1"/>
  <c r="AS51" i="2"/>
  <c r="AW51" i="2"/>
  <c r="AW42" i="2"/>
  <c r="AV47" i="2"/>
  <c r="BD47" i="2" s="1"/>
  <c r="AP42" i="2"/>
  <c r="AQ42" i="2" s="1"/>
  <c r="AN57" i="2"/>
  <c r="AS57" i="2" s="1"/>
  <c r="AV45" i="2"/>
  <c r="BD45" i="2" s="1"/>
  <c r="AV53" i="2"/>
  <c r="BD53" i="2" s="1"/>
  <c r="AV44" i="2"/>
  <c r="BD44" i="2" s="1"/>
  <c r="AV54" i="2"/>
  <c r="BD54" i="2" s="1"/>
  <c r="AO4" i="2"/>
  <c r="AW4" i="2"/>
  <c r="AO36" i="2"/>
  <c r="AP52" i="2"/>
  <c r="AQ52" i="2" s="1"/>
  <c r="AS52" i="2"/>
  <c r="AP63" i="2"/>
  <c r="AQ63" i="2" s="1"/>
  <c r="AS63" i="2"/>
  <c r="AP64" i="2"/>
  <c r="AQ64" i="2" s="1"/>
  <c r="AS64" i="2"/>
  <c r="AP47" i="2"/>
  <c r="AQ47" i="2" s="1"/>
  <c r="AS47" i="2"/>
  <c r="AP45" i="2"/>
  <c r="AQ45" i="2" s="1"/>
  <c r="AS45" i="2"/>
  <c r="AS15" i="2"/>
  <c r="AP71" i="2"/>
  <c r="AQ71" i="2" s="1"/>
  <c r="AS71" i="2"/>
  <c r="AP66" i="2"/>
  <c r="AQ66" i="2" s="1"/>
  <c r="AS66" i="2"/>
  <c r="AP68" i="2"/>
  <c r="AQ68" i="2" s="1"/>
  <c r="AS68" i="2"/>
  <c r="AS19" i="2"/>
  <c r="AP44" i="2"/>
  <c r="AQ44" i="2" s="1"/>
  <c r="AS44" i="2"/>
  <c r="AP54" i="2"/>
  <c r="AQ54" i="2" s="1"/>
  <c r="AS54" i="2"/>
  <c r="AP48" i="2"/>
  <c r="AQ48" i="2" s="1"/>
  <c r="AS48" i="2"/>
  <c r="AP50" i="2"/>
  <c r="AQ50" i="2" s="1"/>
  <c r="AS50" i="2"/>
  <c r="AS11" i="2"/>
  <c r="AP65" i="2"/>
  <c r="AQ65" i="2" s="1"/>
  <c r="AS65" i="2"/>
  <c r="AS7" i="2"/>
  <c r="AS17" i="2"/>
  <c r="AS6" i="2"/>
  <c r="AP55" i="2"/>
  <c r="AQ55" i="2" s="1"/>
  <c r="AS55" i="2"/>
  <c r="AS9" i="2"/>
  <c r="AO68" i="2"/>
  <c r="M68" i="2"/>
  <c r="AP53" i="2"/>
  <c r="AQ53" i="2" s="1"/>
  <c r="AS53" i="2"/>
  <c r="AP61" i="2"/>
  <c r="AQ61" i="2" s="1"/>
  <c r="AS61" i="2"/>
  <c r="AP56" i="2"/>
  <c r="AQ56" i="2" s="1"/>
  <c r="AS56" i="2"/>
  <c r="AP60" i="2"/>
  <c r="AQ60" i="2" s="1"/>
  <c r="AS60" i="2"/>
  <c r="AP43" i="2"/>
  <c r="AQ43" i="2" s="1"/>
  <c r="AS43" i="2"/>
  <c r="AG5" i="2"/>
  <c r="AN5" i="2" s="1"/>
  <c r="BD5" i="2" s="1"/>
  <c r="AO35" i="2"/>
  <c r="AL71" i="2"/>
  <c r="M30" i="2"/>
  <c r="M71" i="2"/>
  <c r="AO71" i="2"/>
  <c r="M48" i="2"/>
  <c r="AO48" i="2"/>
  <c r="AO15" i="2"/>
  <c r="AO47" i="2"/>
  <c r="AO51" i="2"/>
  <c r="AP51" i="2"/>
  <c r="M12" i="2"/>
  <c r="AO30" i="2"/>
  <c r="M10" i="2"/>
  <c r="M11" i="2"/>
  <c r="AO46" i="2"/>
  <c r="AP46" i="2"/>
  <c r="M8" i="2"/>
  <c r="M35" i="2"/>
  <c r="M57" i="2"/>
  <c r="AP57" i="2"/>
  <c r="AO19" i="2"/>
  <c r="AO6" i="2"/>
  <c r="M16" i="2"/>
  <c r="M9" i="2"/>
  <c r="M4" i="2"/>
  <c r="M60" i="2"/>
  <c r="M51" i="2"/>
  <c r="AO57" i="2"/>
  <c r="AO55" i="2"/>
  <c r="M55" i="2"/>
  <c r="AO56" i="2"/>
  <c r="M56" i="2"/>
  <c r="AO43" i="2"/>
  <c r="M43" i="2"/>
  <c r="AO44" i="2"/>
  <c r="M44" i="2"/>
  <c r="AO45" i="2"/>
  <c r="M45" i="2"/>
  <c r="M46" i="2"/>
  <c r="M32" i="2"/>
  <c r="AO32" i="2"/>
  <c r="AO31" i="2"/>
  <c r="M31" i="2"/>
  <c r="AO29" i="2"/>
  <c r="M29" i="2"/>
  <c r="AO27" i="2"/>
  <c r="M27" i="2"/>
  <c r="M26" i="2"/>
  <c r="AO26" i="2"/>
  <c r="AO25" i="2"/>
  <c r="M25" i="2"/>
  <c r="M24" i="2"/>
  <c r="AO24" i="2"/>
  <c r="AO16" i="2"/>
  <c r="M66" i="2"/>
  <c r="AO66" i="2"/>
  <c r="AO65" i="2"/>
  <c r="M65" i="2"/>
  <c r="AO64" i="2"/>
  <c r="M64" i="2"/>
  <c r="AO61" i="2"/>
  <c r="M61" i="2"/>
  <c r="AO52" i="2"/>
  <c r="M52" i="2"/>
  <c r="AO54" i="2"/>
  <c r="M54" i="2"/>
  <c r="AO53" i="2"/>
  <c r="M53" i="2"/>
  <c r="AO50" i="2"/>
  <c r="M50" i="2"/>
  <c r="M23" i="2"/>
  <c r="AO23" i="2"/>
  <c r="M15" i="2"/>
  <c r="AO8" i="2"/>
  <c r="AO11" i="2"/>
  <c r="AO10" i="2"/>
  <c r="AO12" i="2"/>
  <c r="M6" i="2"/>
  <c r="AO17" i="2"/>
  <c r="M17" i="2"/>
  <c r="AO18" i="2"/>
  <c r="M18" i="2"/>
  <c r="AO9" i="2"/>
  <c r="AO7" i="2"/>
  <c r="M7" i="2"/>
  <c r="M42" i="2"/>
  <c r="AO42" i="2"/>
  <c r="AL43" i="2" l="1"/>
  <c r="BE13" i="2"/>
  <c r="AL36" i="2"/>
  <c r="BE7" i="2"/>
  <c r="BE4" i="2"/>
  <c r="BE15" i="2"/>
  <c r="AL27" i="2"/>
  <c r="AL49" i="2"/>
  <c r="AL47" i="2"/>
  <c r="BE17" i="2"/>
  <c r="BE19" i="2"/>
  <c r="AS38" i="2"/>
  <c r="AL23" i="2"/>
  <c r="AS16" i="2"/>
  <c r="AL32" i="2"/>
  <c r="AL38" i="2"/>
  <c r="BE11" i="2"/>
  <c r="AK46" i="2"/>
  <c r="BE46" i="2" s="1"/>
  <c r="AL29" i="2"/>
  <c r="AS18" i="2"/>
  <c r="AK35" i="2"/>
  <c r="BE35" i="2" s="1"/>
  <c r="AK57" i="2"/>
  <c r="BE57" i="2" s="1"/>
  <c r="AK36" i="2"/>
  <c r="BE36" i="2" s="1"/>
  <c r="AK10" i="2"/>
  <c r="BE10" i="2" s="1"/>
  <c r="AK16" i="2"/>
  <c r="BE16" i="2" s="1"/>
  <c r="AK18" i="2"/>
  <c r="BE18" i="2" s="1"/>
  <c r="BC5" i="2"/>
  <c r="AK5" i="2"/>
  <c r="BE8" i="2"/>
  <c r="BE12" i="2"/>
  <c r="AK30" i="2"/>
  <c r="BE30" i="2" s="1"/>
  <c r="AS12" i="2"/>
  <c r="BD12" i="2"/>
  <c r="AS10" i="2"/>
  <c r="AS8" i="2"/>
  <c r="BD8" i="2"/>
  <c r="AO7" i="1"/>
  <c r="AO9" i="1"/>
  <c r="AO13" i="1"/>
  <c r="AO8" i="1"/>
  <c r="AO14" i="1"/>
  <c r="AO11" i="1"/>
  <c r="AL69" i="2"/>
  <c r="AW5" i="2"/>
  <c r="AI5" i="2"/>
  <c r="AL5" i="2" s="1"/>
  <c r="BB5" i="2" s="1"/>
  <c r="AL48" i="2"/>
  <c r="AL61" i="2"/>
  <c r="AL58" i="2"/>
  <c r="AL54" i="2"/>
  <c r="AL55" i="2"/>
  <c r="AO5" i="2"/>
  <c r="M5" i="2"/>
  <c r="AS5" i="2"/>
  <c r="AV5" i="2"/>
  <c r="AL42" i="2"/>
  <c r="AQ51" i="2"/>
  <c r="AL51" i="2"/>
  <c r="AL60" i="2"/>
  <c r="AL63" i="2"/>
  <c r="AL62" i="2"/>
  <c r="AQ57" i="2"/>
  <c r="AL57" i="2"/>
  <c r="AL59" i="2"/>
  <c r="AL30" i="2"/>
  <c r="AL44" i="2"/>
  <c r="AQ35" i="2"/>
  <c r="AL35" i="2" s="1"/>
  <c r="AL53" i="2"/>
  <c r="AL64" i="2"/>
  <c r="AL26" i="2"/>
  <c r="AL33" i="2"/>
  <c r="AL56" i="2"/>
  <c r="AL50" i="2"/>
  <c r="AL31" i="2"/>
  <c r="AL28" i="2"/>
  <c r="AQ46" i="2"/>
  <c r="AL46" i="2" s="1"/>
  <c r="AL24" i="2"/>
  <c r="AL70" i="2"/>
  <c r="BE5" i="2" l="1"/>
  <c r="AL34" i="2"/>
  <c r="AL45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<sst xmlns="http://schemas.openxmlformats.org/spreadsheetml/2006/main" count="307" uniqueCount="160">
  <si>
    <t>WING</t>
  </si>
  <si>
    <t>WEIGHT AND BALANCE</t>
  </si>
  <si>
    <t>GLIDE TEST</t>
  </si>
  <si>
    <t>STALL TEST</t>
  </si>
  <si>
    <t>Area</t>
  </si>
  <si>
    <t>m^2</t>
  </si>
  <si>
    <t>W(fuel) lbs</t>
  </si>
  <si>
    <t>Payload (lbs)</t>
  </si>
  <si>
    <t>Empty Weight (lbs)</t>
  </si>
  <si>
    <t>X CG( Inches)</t>
  </si>
  <si>
    <t>Airspeed  (knots)</t>
  </si>
  <si>
    <t>AoA(Deg)</t>
  </si>
  <si>
    <t>Tail Plane Deflection (Deg)</t>
  </si>
  <si>
    <t xml:space="preserve">Altitude </t>
  </si>
  <si>
    <t>Time (s) for 1000ft</t>
  </si>
  <si>
    <t>Descent rate(m/s)</t>
  </si>
  <si>
    <t>Vi  (knots)</t>
  </si>
  <si>
    <t>Vi (m/s)</t>
  </si>
  <si>
    <t>1/(L/D)</t>
  </si>
  <si>
    <t>W(fuel) kg</t>
  </si>
  <si>
    <t>Weight (N)</t>
  </si>
  <si>
    <t>Cl</t>
  </si>
  <si>
    <t>Cd</t>
  </si>
  <si>
    <t>(L/D)</t>
  </si>
  <si>
    <t>Flap Setting</t>
  </si>
  <si>
    <t>Under Carrige</t>
  </si>
  <si>
    <t>Vs (knots)</t>
  </si>
  <si>
    <t>Vs (m/s)</t>
  </si>
  <si>
    <t>Cl max</t>
  </si>
  <si>
    <t>Mean Aero chord</t>
  </si>
  <si>
    <t>m</t>
  </si>
  <si>
    <t xml:space="preserve">ft </t>
  </si>
  <si>
    <t>Aspect Ratio</t>
  </si>
  <si>
    <t>σ (4500ft)</t>
  </si>
  <si>
    <t>HORIZONTAL TAIL</t>
  </si>
  <si>
    <t>Mean Aero Chord</t>
  </si>
  <si>
    <t>Tail Vol Coeff</t>
  </si>
  <si>
    <t>Tail Setting Angles</t>
  </si>
  <si>
    <t xml:space="preserve"> +5/-10</t>
  </si>
  <si>
    <t>deg</t>
  </si>
  <si>
    <t>AIRCRAFT</t>
  </si>
  <si>
    <t>Max TO weight</t>
  </si>
  <si>
    <t>lbs</t>
  </si>
  <si>
    <t>kg</t>
  </si>
  <si>
    <t>Empty Weight</t>
  </si>
  <si>
    <t>Max Fuel Weight</t>
  </si>
  <si>
    <t>Longitudinal CG Zero Fuel</t>
  </si>
  <si>
    <t>Longitudinal CG of Fuel Tanks</t>
  </si>
  <si>
    <t xml:space="preserve">Payload Weight </t>
  </si>
  <si>
    <t>MODEL CHARACTERISTICS (1:24)</t>
  </si>
  <si>
    <t>TAIL OFF</t>
  </si>
  <si>
    <t xml:space="preserve">property </t>
  </si>
  <si>
    <t>unit</t>
  </si>
  <si>
    <t>wing</t>
  </si>
  <si>
    <t>tailplane</t>
  </si>
  <si>
    <t xml:space="preserve">Need fill In STDev </t>
  </si>
  <si>
    <t>AIRFLOW PROPERTIES</t>
  </si>
  <si>
    <t>MEASURED VALS</t>
  </si>
  <si>
    <t>AERODYNAMIC LOADS</t>
  </si>
  <si>
    <t>AERO FORCES/MOMENTS</t>
  </si>
  <si>
    <t>COEFFS (TU)</t>
  </si>
  <si>
    <t>CORRECTIONS</t>
  </si>
  <si>
    <t>CORRECTED COEFFS</t>
  </si>
  <si>
    <t>Span</t>
  </si>
  <si>
    <t>Need fill in V inf</t>
  </si>
  <si>
    <t>STDev</t>
  </si>
  <si>
    <t>Vinf (m/s)</t>
  </si>
  <si>
    <t>T (°C)</t>
  </si>
  <si>
    <t>P (Pa)</t>
  </si>
  <si>
    <t>ρ (kg/m^3)</t>
  </si>
  <si>
    <t>q [dynamic P] (Pa)</t>
  </si>
  <si>
    <t>α [true] (°)</t>
  </si>
  <si>
    <t>α [geometric] (°)</t>
  </si>
  <si>
    <t>θ  (°)</t>
  </si>
  <si>
    <t>Fx (N)</t>
  </si>
  <si>
    <t>Fz (N)</t>
  </si>
  <si>
    <t>Mc (Nm)</t>
  </si>
  <si>
    <t>Fxa</t>
  </si>
  <si>
    <t>Fza</t>
  </si>
  <si>
    <t>Mca</t>
  </si>
  <si>
    <t>M</t>
  </si>
  <si>
    <t>L</t>
  </si>
  <si>
    <t>D</t>
  </si>
  <si>
    <t>CM tu</t>
  </si>
  <si>
    <t>CL tu</t>
  </si>
  <si>
    <t>CD tu</t>
  </si>
  <si>
    <t>ΔCD STING (CONST)</t>
  </si>
  <si>
    <t>ΔCDi</t>
  </si>
  <si>
    <t>d(Cm)/d(ih) (per degree)</t>
  </si>
  <si>
    <t>ΔCM</t>
  </si>
  <si>
    <t xml:space="preserve">CM </t>
  </si>
  <si>
    <t xml:space="preserve">CL </t>
  </si>
  <si>
    <t xml:space="preserve">CD </t>
  </si>
  <si>
    <t>CL^2</t>
  </si>
  <si>
    <t>Root chord</t>
  </si>
  <si>
    <t>need fill in Temps</t>
  </si>
  <si>
    <t>Chord at aircraft centre-line</t>
  </si>
  <si>
    <t>Need fill in Presures</t>
  </si>
  <si>
    <t>Tip chord</t>
  </si>
  <si>
    <t>Need fill in dynamic pressure</t>
  </si>
  <si>
    <t>Geometric mean chord</t>
  </si>
  <si>
    <t>Mean aerodynamic chord</t>
  </si>
  <si>
    <t>Aspect ratio</t>
  </si>
  <si>
    <t>Gross area</t>
  </si>
  <si>
    <t>Dihedral (at trailing edge)</t>
  </si>
  <si>
    <t>°</t>
  </si>
  <si>
    <t>Geometric Twist</t>
  </si>
  <si>
    <t>Aerodynamic Twist</t>
  </si>
  <si>
    <t>Root sections</t>
  </si>
  <si>
    <t>NACA 642-415</t>
  </si>
  <si>
    <t>NACA 631-A012</t>
  </si>
  <si>
    <t>Tip sections</t>
  </si>
  <si>
    <t>NACA 642-412</t>
  </si>
  <si>
    <t>MASS PROPERTIES</t>
  </si>
  <si>
    <t>Weight (W), (N)</t>
  </si>
  <si>
    <t>x-offset (m)</t>
  </si>
  <si>
    <t>z-offset (m)</t>
  </si>
  <si>
    <t>Tail-off</t>
  </si>
  <si>
    <t>Tail-on</t>
  </si>
  <si>
    <t>TAIL ON (i = +1)</t>
  </si>
  <si>
    <t>TAIL ON (i = -2)</t>
  </si>
  <si>
    <t>Up</t>
  </si>
  <si>
    <t>Down</t>
  </si>
  <si>
    <t>i</t>
  </si>
  <si>
    <t>∆ε</t>
  </si>
  <si>
    <t>i (real)</t>
  </si>
  <si>
    <t>Use this to find Cl, Cd and L/D</t>
  </si>
  <si>
    <t xml:space="preserve">L/D </t>
  </si>
  <si>
    <t>Cl ^2</t>
  </si>
  <si>
    <t>altitude(ft)</t>
  </si>
  <si>
    <t>CG</t>
  </si>
  <si>
    <t>CG/cbar</t>
  </si>
  <si>
    <t>d(Cm)/d(ih) (per radian)</t>
  </si>
  <si>
    <t xml:space="preserve">FINAL COEFFS w/o CM corection </t>
  </si>
  <si>
    <t>this data should be tabulated into a table of CL max and stall speeds alongside the data from the wind tunnel testing</t>
  </si>
  <si>
    <t>Total Aspect Ratio</t>
  </si>
  <si>
    <t>ERROR BARS</t>
  </si>
  <si>
    <t>% err CM</t>
  </si>
  <si>
    <t>% err Cl</t>
  </si>
  <si>
    <t>% err Cd</t>
  </si>
  <si>
    <t>ABS ERR CM</t>
  </si>
  <si>
    <t>ABS ERR CL</t>
  </si>
  <si>
    <t>ABS ERR CD</t>
  </si>
  <si>
    <t>ABS ERR L/D</t>
  </si>
  <si>
    <t>ERR BARS CL</t>
  </si>
  <si>
    <t>%err CL</t>
  </si>
  <si>
    <t>%err CD</t>
  </si>
  <si>
    <t>%err L/D</t>
  </si>
  <si>
    <t>ERR BARS CD</t>
  </si>
  <si>
    <t>ERR BARS L/D</t>
  </si>
  <si>
    <t>%err Cl</t>
  </si>
  <si>
    <t>L/D</t>
  </si>
  <si>
    <t>Variable</t>
  </si>
  <si>
    <t>Unit</t>
  </si>
  <si>
    <t>Offset</t>
  </si>
  <si>
    <t>in</t>
  </si>
  <si>
    <t>Constant Fig 1</t>
  </si>
  <si>
    <t>Gradient Fig 2</t>
  </si>
  <si>
    <t>Constant Fig 2</t>
  </si>
  <si>
    <t>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</si>
</sst>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bad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i/>
      <sz val="9"/>
      <color theme="1"/>
      <name val="Times New Roman"/>
      <family val="1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4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164" fontId="0" fillId="0" borderId="0" xfId="0" applyNumberFormat="1"/>
    <xf numFmtId="0" fontId="0" fillId="5" borderId="0" xfId="0" applyFill="1"/>
    <xf numFmtId="0" fontId="3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2" borderId="0" xfId="0" applyFill="1" applyAlignment="1">
      <alignment horizontal="center"/>
    </xf>
    <xf numFmtId="0" fontId="3" fillId="0" borderId="0" xfId="0" applyFont="1"/>
    <xf numFmtId="0" fontId="3" fillId="4" borderId="0" xfId="0" applyFont="1" applyFill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FF99"/>
      <color rgb="FFFF9933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3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Flight</a:t>
            </a:r>
            <a:r>
              <a:rPr lang="en-GB" baseline="0"/>
              <a:t> Sim Cl against Cd</a:t>
            </a:r>
            <a:endParaRPr lang="en-GB"/>
          </a:p>
        </c:rich>
      </c:tx>
      <c:layout>
        <c:manualLayout>
          <c:xMode val="edge"/>
          <c:yMode val="edge"/>
          <c:x val="0.3478905164212216"/>
          <c:y val="4.51128897041437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543801711081124"/>
          <c:y val="0.24875889654327885"/>
          <c:w val="0.78813431191181971"/>
          <c:h val="0.71819590896017171"/>
        </c:manualLayout>
      </c:layout>
      <c:scatterChart>
        <c:scatterStyle val="lineMarker"/>
        <c:varyColors val="0"/>
        <c:ser>
          <c:idx val="2"/>
          <c:order val="0"/>
          <c:tx>
            <c:strRef>
              <c:f>'Flight Sim Test'!$AH$3:$AH$14</c:f>
              <c:strCache>
                <c:ptCount val="12"/>
                <c:pt idx="0">
                  <c:v>0.015233047</c:v>
                </c:pt>
                <c:pt idx="1">
                  <c:v>0.017149626</c:v>
                </c:pt>
                <c:pt idx="2">
                  <c:v>0.015531974</c:v>
                </c:pt>
                <c:pt idx="3">
                  <c:v>0.018505253</c:v>
                </c:pt>
                <c:pt idx="4">
                  <c:v>0.013675769</c:v>
                </c:pt>
                <c:pt idx="5">
                  <c:v>0.013838696</c:v>
                </c:pt>
                <c:pt idx="6">
                  <c:v>0.014147777</c:v>
                </c:pt>
                <c:pt idx="7">
                  <c:v>0.015095999</c:v>
                </c:pt>
                <c:pt idx="8">
                  <c:v>0.015993972</c:v>
                </c:pt>
                <c:pt idx="9">
                  <c:v>0.017070705</c:v>
                </c:pt>
                <c:pt idx="10">
                  <c:v>0.018121451</c:v>
                </c:pt>
                <c:pt idx="11">
                  <c:v>0.02376779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5875">
                <a:solidFill>
                  <a:srgbClr val="4EA72E"/>
                </a:solidFill>
              </a:ln>
              <a:effectLst/>
            </c:spPr>
          </c:marker>
          <c:xVal>
            <c:numRef>
              <c:f>'Flight Sim Test'!$AH$3:$AH$14</c:f>
              <c:numCache>
                <c:formatCode>General</c:formatCode>
                <c:ptCount val="12"/>
                <c:pt idx="0">
                  <c:v>1.5233047391744563E-2</c:v>
                </c:pt>
                <c:pt idx="1">
                  <c:v>1.7149626225959926E-2</c:v>
                </c:pt>
                <c:pt idx="2">
                  <c:v>1.5531974156580954E-2</c:v>
                </c:pt>
                <c:pt idx="3">
                  <c:v>1.8505253273934773E-2</c:v>
                </c:pt>
                <c:pt idx="4">
                  <c:v>1.3675769028129283E-2</c:v>
                </c:pt>
                <c:pt idx="5">
                  <c:v>1.3838696126049082E-2</c:v>
                </c:pt>
                <c:pt idx="6">
                  <c:v>1.4147776623829425E-2</c:v>
                </c:pt>
                <c:pt idx="7">
                  <c:v>1.5095999098016876E-2</c:v>
                </c:pt>
                <c:pt idx="8">
                  <c:v>1.5993972183841337E-2</c:v>
                </c:pt>
                <c:pt idx="9">
                  <c:v>1.7070704897200858E-2</c:v>
                </c:pt>
                <c:pt idx="10">
                  <c:v>1.8121450966606795E-2</c:v>
                </c:pt>
                <c:pt idx="11">
                  <c:v>2.3767790094380768E-2</c:v>
                </c:pt>
              </c:numCache>
            </c:numRef>
          </c:xVal>
          <c:yVal>
            <c:numRef>
              <c:f>'Flight Sim Test'!$AG$3:$AG$14</c:f>
              <c:numCache>
                <c:formatCode>General</c:formatCode>
                <c:ptCount val="12"/>
                <c:pt idx="0">
                  <c:v>0.12891322189437335</c:v>
                </c:pt>
                <c:pt idx="1">
                  <c:v>0.14036675956740841</c:v>
                </c:pt>
                <c:pt idx="2">
                  <c:v>0.15341738803958482</c:v>
                </c:pt>
                <c:pt idx="3">
                  <c:v>0.16837645308652849</c:v>
                </c:pt>
                <c:pt idx="4">
                  <c:v>0.18563503952789764</c:v>
                </c:pt>
                <c:pt idx="5">
                  <c:v>0.20568979449074531</c:v>
                </c:pt>
                <c:pt idx="6">
                  <c:v>0.22917906114555264</c:v>
                </c:pt>
                <c:pt idx="7">
                  <c:v>0.25693431076525625</c:v>
                </c:pt>
                <c:pt idx="8">
                  <c:v>0.29005474926233998</c:v>
                </c:pt>
                <c:pt idx="9">
                  <c:v>0.33001784804959583</c:v>
                </c:pt>
                <c:pt idx="10">
                  <c:v>0.37884701944468907</c:v>
                </c:pt>
                <c:pt idx="11">
                  <c:v>0.439372874622243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A-4E97-A164-2F0D1C9E385F}"/>
            </c:ext>
          </c:extLst>
        </c:ser>
        <c:ser>
          <c:idx val="0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0"/>
          <c:extLst>
            <c:ext xmlns:c16="http://schemas.microsoft.com/office/drawing/2014/chart" uri="{C3380CC4-5D6E-409C-BE32-E72D297353CC}">
              <c16:uniqueId val="{00000003-91DA-4E97-A164-2F0D1C9E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  <c:min val="1.0000000000000002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layout>
            <c:manualLayout>
              <c:xMode val="edge"/>
              <c:yMode val="edge"/>
              <c:x val="0.47244803563521259"/>
              <c:y val="6.7978518353981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in"/>
        <c:minorTickMark val="none"/>
        <c:tickLblPos val="high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layout>
            <c:manualLayout>
              <c:xMode val="edge"/>
              <c:yMode val="edge"/>
              <c:x val="3.025397980612831E-2"/>
              <c:y val="0.3647845744871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22225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800" b="0" i="0">
                <a:effectLst/>
              </a:rPr>
              <a:t>CL vs i_H, for different CG positions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800"/>
            </a:pPr>
            <a:endParaRPr lang="en-GB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6436310755823"/>
          <c:y val="0.14007634841497776"/>
          <c:w val="0.81282024031373989"/>
          <c:h val="0.6534525626157196"/>
        </c:manualLayout>
      </c:layout>
      <c:scatterChart>
        <c:scatterStyle val="lineMarker"/>
        <c:varyColors val="0"/>
        <c:ser>
          <c:idx val="2"/>
          <c:order val="0"/>
          <c:tx>
            <c:v>CG offset = -4 inches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5875">
                <a:solidFill>
                  <a:srgbClr val="4EA72E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4EA72E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899377663279123E-2"/>
                  <c:y val="-4.83527643202673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CG offset = -4 inch</a:t>
                    </a:r>
                  </a:p>
                  <a:p>
                    <a:pPr>
                      <a:defRPr/>
                    </a:pPr>
                    <a:r>
                      <a:rPr lang="en-US"/>
                      <a:t>y = -5.4703x + 1.3192</a:t>
                    </a:r>
                    <a:br>
                      <a:rPr lang="en-US"/>
                    </a:br>
                    <a:r>
                      <a:rPr lang="en-US"/>
                      <a:t>R² = 0.9851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'Flight Sim Test'!$S$3:$S$7</c:f>
                <c:numCache>
                  <c:formatCode>General</c:formatCode>
                  <c:ptCount val="5"/>
                  <c:pt idx="0">
                    <c:v>5.4110592963831083E-3</c:v>
                  </c:pt>
                  <c:pt idx="1">
                    <c:v>7.5062280577359647E-3</c:v>
                  </c:pt>
                  <c:pt idx="2">
                    <c:v>1.0561120723312042E-2</c:v>
                  </c:pt>
                  <c:pt idx="3">
                    <c:v>1.5838355344527263E-2</c:v>
                  </c:pt>
                  <c:pt idx="4">
                    <c:v>2.4434263531612335E-2</c:v>
                  </c:pt>
                </c:numCache>
              </c:numRef>
            </c:plus>
            <c:minus>
              <c:numRef>
                <c:f>'Flight Sim Test'!$S$3:$S$7</c:f>
                <c:numCache>
                  <c:formatCode>General</c:formatCode>
                  <c:ptCount val="5"/>
                  <c:pt idx="0">
                    <c:v>5.4110592963831083E-3</c:v>
                  </c:pt>
                  <c:pt idx="1">
                    <c:v>7.5062280577359647E-3</c:v>
                  </c:pt>
                  <c:pt idx="2">
                    <c:v>1.0561120723312042E-2</c:v>
                  </c:pt>
                  <c:pt idx="3">
                    <c:v>1.5838355344527263E-2</c:v>
                  </c:pt>
                  <c:pt idx="4">
                    <c:v>2.4434263531612335E-2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'Flight Sim Test'!$Q$3:$Q$7</c:f>
              <c:numCache>
                <c:formatCode>General</c:formatCode>
                <c:ptCount val="5"/>
                <c:pt idx="0">
                  <c:v>0.12030054849659456</c:v>
                </c:pt>
                <c:pt idx="1">
                  <c:v>0.15090500803412826</c:v>
                </c:pt>
                <c:pt idx="2">
                  <c:v>0.19098915079319356</c:v>
                </c:pt>
                <c:pt idx="3">
                  <c:v>0.25233075808322575</c:v>
                </c:pt>
                <c:pt idx="4">
                  <c:v>0.33953626807678861</c:v>
                </c:pt>
              </c:numCache>
            </c:numRef>
          </c:xVal>
          <c:yVal>
            <c:numRef>
              <c:f>'Flight Sim Test'!$L$3:$L$7</c:f>
              <c:numCache>
                <c:formatCode>General</c:formatCode>
                <c:ptCount val="5"/>
                <c:pt idx="0">
                  <c:v>0.7</c:v>
                </c:pt>
                <c:pt idx="1">
                  <c:v>0.52</c:v>
                </c:pt>
                <c:pt idx="2">
                  <c:v>0.23</c:v>
                </c:pt>
                <c:pt idx="3">
                  <c:v>-0.14000000000000001</c:v>
                </c:pt>
                <c:pt idx="4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8-4F3F-B8EF-8E24D3FEA86E}"/>
            </c:ext>
          </c:extLst>
        </c:ser>
        <c:ser>
          <c:idx val="0"/>
          <c:order val="1"/>
          <c:tx>
            <c:v>CG offset = 0 inches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42871374582759"/>
                  <c:y val="0.16955423017291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CG offset = 0 inch</a:t>
                    </a:r>
                  </a:p>
                  <a:p>
                    <a:pPr>
                      <a:defRPr/>
                    </a:pPr>
                    <a:r>
                      <a:rPr lang="en-US"/>
                      <a:t>y = -5.0254x + 1.3188</a:t>
                    </a:r>
                    <a:br>
                      <a:rPr lang="en-US"/>
                    </a:br>
                    <a:r>
                      <a:rPr lang="en-US"/>
                      <a:t>R² = 0.9873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'Flight Sim Test'!$S$8:$S$12</c:f>
                <c:numCache>
                  <c:formatCode>General</c:formatCode>
                  <c:ptCount val="5"/>
                  <c:pt idx="0">
                    <c:v>8.2254300172743284E-3</c:v>
                  </c:pt>
                  <c:pt idx="1">
                    <c:v>1.0409258171143052E-2</c:v>
                  </c:pt>
                  <c:pt idx="2">
                    <c:v>1.411867765673417E-2</c:v>
                  </c:pt>
                  <c:pt idx="3">
                    <c:v>1.9163369338982592E-2</c:v>
                  </c:pt>
                  <c:pt idx="4">
                    <c:v>2.2623639892564169E-2</c:v>
                  </c:pt>
                </c:numCache>
              </c:numRef>
            </c:plus>
            <c:minus>
              <c:numRef>
                <c:f>'Flight Sim Test'!$S$8:$S$12</c:f>
                <c:numCache>
                  <c:formatCode>General</c:formatCode>
                  <c:ptCount val="5"/>
                  <c:pt idx="0">
                    <c:v>8.2254300172743284E-3</c:v>
                  </c:pt>
                  <c:pt idx="1">
                    <c:v>1.0409258171143052E-2</c:v>
                  </c:pt>
                  <c:pt idx="2">
                    <c:v>1.411867765673417E-2</c:v>
                  </c:pt>
                  <c:pt idx="3">
                    <c:v>1.9163369338982592E-2</c:v>
                  </c:pt>
                  <c:pt idx="4">
                    <c:v>2.2623639892564169E-2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'Flight Sim Test'!$Q$8:$Q$12</c:f>
              <c:numCache>
                <c:formatCode>General</c:formatCode>
                <c:ptCount val="5"/>
                <c:pt idx="0">
                  <c:v>0.16075174715360119</c:v>
                </c:pt>
                <c:pt idx="1">
                  <c:v>0.18909348857027658</c:v>
                </c:pt>
                <c:pt idx="2">
                  <c:v>0.23319086815810697</c:v>
                </c:pt>
                <c:pt idx="3">
                  <c:v>0.28753682982903916</c:v>
                </c:pt>
                <c:pt idx="4">
                  <c:v>0.32212708853633587</c:v>
                </c:pt>
              </c:numCache>
            </c:numRef>
          </c:xVal>
          <c:yVal>
            <c:numRef>
              <c:f>'Flight Sim Test'!$L$8:$L$12</c:f>
              <c:numCache>
                <c:formatCode>General</c:formatCode>
                <c:ptCount val="5"/>
                <c:pt idx="0">
                  <c:v>0.52</c:v>
                </c:pt>
                <c:pt idx="1">
                  <c:v>0.33</c:v>
                </c:pt>
                <c:pt idx="2">
                  <c:v>0.17</c:v>
                </c:pt>
                <c:pt idx="3">
                  <c:v>-0.08</c:v>
                </c:pt>
                <c:pt idx="4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A8-4F3F-B8EF-8E24D3FEA86E}"/>
            </c:ext>
          </c:extLst>
        </c:ser>
        <c:ser>
          <c:idx val="1"/>
          <c:order val="2"/>
          <c:tx>
            <c:v>CG offset = +4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86058477956859"/>
                  <c:y val="-0.443092427077495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CG offset = +4 inch</a:t>
                    </a:r>
                  </a:p>
                  <a:p>
                    <a:pPr>
                      <a:defRPr/>
                    </a:pPr>
                    <a:r>
                      <a:rPr lang="en-US"/>
                      <a:t>y = -3.1573x + 0.9560</a:t>
                    </a:r>
                    <a:br>
                      <a:rPr lang="en-US"/>
                    </a:br>
                    <a:r>
                      <a:rPr lang="en-US"/>
                      <a:t>R² = 0.9972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'Flight Sim Test'!$S$13:$S$18</c:f>
                <c:numCache>
                  <c:formatCode>General</c:formatCode>
                  <c:ptCount val="6"/>
                  <c:pt idx="0">
                    <c:v>4.6814102951560016E-3</c:v>
                  </c:pt>
                  <c:pt idx="1">
                    <c:v>8.0442313051886899E-2</c:v>
                  </c:pt>
                  <c:pt idx="2">
                    <c:v>1.0561120723312042E-2</c:v>
                  </c:pt>
                  <c:pt idx="3">
                    <c:v>1.5575939844262433E-2</c:v>
                  </c:pt>
                  <c:pt idx="4">
                    <c:v>4.1704435832596087E-2</c:v>
                  </c:pt>
                  <c:pt idx="5">
                    <c:v>5.5367866978432668E-3</c:v>
                  </c:pt>
                </c:numCache>
              </c:numRef>
            </c:plus>
            <c:minus>
              <c:numRef>
                <c:f>'Flight Sim Test'!$S$13:$S$18</c:f>
                <c:numCache>
                  <c:formatCode>General</c:formatCode>
                  <c:ptCount val="6"/>
                  <c:pt idx="0">
                    <c:v>4.6814102951560016E-3</c:v>
                  </c:pt>
                  <c:pt idx="1">
                    <c:v>8.0442313051886899E-2</c:v>
                  </c:pt>
                  <c:pt idx="2">
                    <c:v>1.0561120723312042E-2</c:v>
                  </c:pt>
                  <c:pt idx="3">
                    <c:v>1.5575939844262433E-2</c:v>
                  </c:pt>
                  <c:pt idx="4">
                    <c:v>4.1704435832596087E-2</c:v>
                  </c:pt>
                  <c:pt idx="5">
                    <c:v>5.5367866978432668E-3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'Flight Sim Test'!$Q$13:$Q$17</c:f>
              <c:numCache>
                <c:formatCode>General</c:formatCode>
                <c:ptCount val="5"/>
                <c:pt idx="0">
                  <c:v>0.10878698514386249</c:v>
                </c:pt>
                <c:pt idx="1">
                  <c:v>0.76395660317277425</c:v>
                </c:pt>
                <c:pt idx="2">
                  <c:v>0.19098915079319356</c:v>
                </c:pt>
                <c:pt idx="3">
                  <c:v>0.24945521736253853</c:v>
                </c:pt>
                <c:pt idx="4">
                  <c:v>0.48893222603057535</c:v>
                </c:pt>
              </c:numCache>
            </c:numRef>
          </c:xVal>
          <c:yVal>
            <c:numRef>
              <c:f>'Flight Sim Test'!$L$13:$L$17</c:f>
              <c:numCache>
                <c:formatCode>General</c:formatCode>
                <c:ptCount val="5"/>
                <c:pt idx="0">
                  <c:v>0.64</c:v>
                </c:pt>
                <c:pt idx="1">
                  <c:v>-1.47</c:v>
                </c:pt>
                <c:pt idx="2">
                  <c:v>0.36</c:v>
                </c:pt>
                <c:pt idx="3">
                  <c:v>0.1</c:v>
                </c:pt>
                <c:pt idx="4">
                  <c:v>-0.54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A8-4F3F-B8EF-8E24D3FEA86E}"/>
            </c:ext>
          </c:extLst>
        </c:ser>
        <c:ser>
          <c:idx val="3"/>
          <c:order val="3"/>
          <c:tx>
            <c:v>CG offset = +4 inches (Outlier)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97132"/>
              </a:solidFill>
              <a:ln w="9525">
                <a:solidFill>
                  <a:srgbClr val="E9713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'Flight Sim Test'!$S$18</c:f>
                <c:numCache>
                  <c:formatCode>General</c:formatCode>
                  <c:ptCount val="1"/>
                  <c:pt idx="0">
                    <c:v>5.5367866978432668E-3</c:v>
                  </c:pt>
                </c:numCache>
              </c:numRef>
            </c:plus>
            <c:minus>
              <c:numRef>
                <c:f>'Flight Sim Test'!$S$18</c:f>
                <c:numCache>
                  <c:formatCode>General</c:formatCode>
                  <c:ptCount val="1"/>
                  <c:pt idx="0">
                    <c:v>5.5367866978432668E-3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'Flight Sim Test'!$Q$18</c:f>
              <c:numCache>
                <c:formatCode>General</c:formatCode>
                <c:ptCount val="1"/>
                <c:pt idx="0">
                  <c:v>0.12223305650764384</c:v>
                </c:pt>
              </c:numCache>
            </c:numRef>
          </c:xVal>
          <c:yVal>
            <c:numRef>
              <c:f>'Flight Sim Test'!$L$18</c:f>
              <c:numCache>
                <c:formatCode>General</c:formatCode>
                <c:ptCount val="1"/>
                <c:pt idx="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A8-4F3F-B8EF-8E24D3FE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Coefficient, CL</a:t>
                </a:r>
              </a:p>
            </c:rich>
          </c:tx>
          <c:layout>
            <c:manualLayout>
              <c:xMode val="edge"/>
              <c:yMode val="edge"/>
              <c:x val="0.43522933601324248"/>
              <c:y val="0.917637661155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none"/>
        <c:tickLblPos val="low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  <c:max val="1"/>
          <c:min val="-1.5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Tailplane Deflection, iH , (°)</a:t>
                </a:r>
              </a:p>
            </c:rich>
          </c:tx>
          <c:layout>
            <c:manualLayout>
              <c:xMode val="edge"/>
              <c:yMode val="edge"/>
              <c:x val="2.1843849881565833E-2"/>
              <c:y val="0.28165321973164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22225">
          <a:solidFill>
            <a:sysClr val="windowText" lastClr="000000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0.62523431693064457"/>
          <c:y val="0.15448235309721603"/>
          <c:w val="0.35734310105530537"/>
          <c:h val="0.38788215060989356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9548182861536549E-2"/>
          <c:y val="9.3352695530847671E-2"/>
          <c:w val="0.83573292009145572"/>
          <c:h val="0.78386492669214303"/>
        </c:manualLayout>
      </c:layout>
      <c:scatterChart>
        <c:scatterStyle val="lineMarker"/>
        <c:varyColors val="0"/>
        <c:ser>
          <c:idx val="4"/>
          <c:order val="0"/>
          <c:tx>
            <c:v>CG offset = -4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61758092096621"/>
                  <c:y val="1.7485086093385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Test'!$S$3:$S$7</c:f>
                <c:numCache>
                  <c:formatCode>General</c:formatCode>
                  <c:ptCount val="5"/>
                  <c:pt idx="0">
                    <c:v>5.4110592963831083E-3</c:v>
                  </c:pt>
                  <c:pt idx="1">
                    <c:v>7.5062280577359647E-3</c:v>
                  </c:pt>
                  <c:pt idx="2">
                    <c:v>1.0561120723312042E-2</c:v>
                  </c:pt>
                  <c:pt idx="3">
                    <c:v>1.5838355344527263E-2</c:v>
                  </c:pt>
                  <c:pt idx="4">
                    <c:v>2.4434263531612335E-2</c:v>
                  </c:pt>
                </c:numCache>
              </c:numRef>
            </c:plus>
            <c:minus>
              <c:numRef>
                <c:f>'Flight Sim Test'!$S$3:$S$7</c:f>
                <c:numCache>
                  <c:formatCode>General</c:formatCode>
                  <c:ptCount val="5"/>
                  <c:pt idx="0">
                    <c:v>5.4110592963831083E-3</c:v>
                  </c:pt>
                  <c:pt idx="1">
                    <c:v>7.5062280577359647E-3</c:v>
                  </c:pt>
                  <c:pt idx="2">
                    <c:v>1.0561120723312042E-2</c:v>
                  </c:pt>
                  <c:pt idx="3">
                    <c:v>1.5838355344527263E-2</c:v>
                  </c:pt>
                  <c:pt idx="4">
                    <c:v>2.4434263531612335E-2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Test'!$K$3:$K$7</c:f>
              <c:numCache>
                <c:formatCode>General</c:formatCode>
                <c:ptCount val="5"/>
                <c:pt idx="0">
                  <c:v>-1.1000000000000001</c:v>
                </c:pt>
                <c:pt idx="1">
                  <c:v>-0.8</c:v>
                </c:pt>
                <c:pt idx="2">
                  <c:v>-0.4</c:v>
                </c:pt>
                <c:pt idx="3">
                  <c:v>0.3</c:v>
                </c:pt>
                <c:pt idx="4">
                  <c:v>1.3</c:v>
                </c:pt>
              </c:numCache>
            </c:numRef>
          </c:xVal>
          <c:yVal>
            <c:numRef>
              <c:f>'Flight Sim Test'!$Q$3:$Q$7</c:f>
              <c:numCache>
                <c:formatCode>General</c:formatCode>
                <c:ptCount val="5"/>
                <c:pt idx="0">
                  <c:v>0.12030054849659456</c:v>
                </c:pt>
                <c:pt idx="1">
                  <c:v>0.15090500803412826</c:v>
                </c:pt>
                <c:pt idx="2">
                  <c:v>0.19098915079319356</c:v>
                </c:pt>
                <c:pt idx="3">
                  <c:v>0.25233075808322575</c:v>
                </c:pt>
                <c:pt idx="4">
                  <c:v>0.33953626807678861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E-4BC2-BDF3-51CDDA18C3BA}"/>
            </c:ext>
          </c:extLst>
        </c:ser>
        <c:ser>
          <c:idx val="9"/>
          <c:order val="1"/>
          <c:tx>
            <c:v>CG offset = 0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lgDashDot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41973125076049E-2"/>
                  <c:y val="0.1237325760214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Test'!$S$8:$S$12</c:f>
                <c:numCache>
                  <c:formatCode>General</c:formatCode>
                  <c:ptCount val="5"/>
                  <c:pt idx="0">
                    <c:v>8.2254300172743284E-3</c:v>
                  </c:pt>
                  <c:pt idx="1">
                    <c:v>1.0409258171143052E-2</c:v>
                  </c:pt>
                  <c:pt idx="2">
                    <c:v>1.411867765673417E-2</c:v>
                  </c:pt>
                  <c:pt idx="3">
                    <c:v>1.9163369338982592E-2</c:v>
                  </c:pt>
                  <c:pt idx="4">
                    <c:v>2.2623639892564169E-2</c:v>
                  </c:pt>
                </c:numCache>
              </c:numRef>
            </c:plus>
            <c:minus>
              <c:numRef>
                <c:f>'Flight Sim Test'!$S$8:$S$12</c:f>
                <c:numCache>
                  <c:formatCode>General</c:formatCode>
                  <c:ptCount val="5"/>
                  <c:pt idx="0">
                    <c:v>8.2254300172743284E-3</c:v>
                  </c:pt>
                  <c:pt idx="1">
                    <c:v>1.0409258171143052E-2</c:v>
                  </c:pt>
                  <c:pt idx="2">
                    <c:v>1.411867765673417E-2</c:v>
                  </c:pt>
                  <c:pt idx="3">
                    <c:v>1.9163369338982592E-2</c:v>
                  </c:pt>
                  <c:pt idx="4">
                    <c:v>2.2623639892564169E-2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Test'!$K$8:$K$12</c:f>
              <c:numCache>
                <c:formatCode>General</c:formatCode>
                <c:ptCount val="5"/>
                <c:pt idx="0">
                  <c:v>-0.6</c:v>
                </c:pt>
                <c:pt idx="1">
                  <c:v>-0.3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</c:numCache>
            </c:numRef>
          </c:xVal>
          <c:yVal>
            <c:numRef>
              <c:f>'Flight Sim Test'!$Q$8:$Q$12</c:f>
              <c:numCache>
                <c:formatCode>General</c:formatCode>
                <c:ptCount val="5"/>
                <c:pt idx="0">
                  <c:v>0.16075174715360119</c:v>
                </c:pt>
                <c:pt idx="1">
                  <c:v>0.18909348857027658</c:v>
                </c:pt>
                <c:pt idx="2">
                  <c:v>0.23319086815810697</c:v>
                </c:pt>
                <c:pt idx="3">
                  <c:v>0.28753682982903916</c:v>
                </c:pt>
                <c:pt idx="4">
                  <c:v>0.32212708853633587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E-4BC2-BDF3-51CDDA18C3BA}"/>
            </c:ext>
          </c:extLst>
        </c:ser>
        <c:ser>
          <c:idx val="10"/>
          <c:order val="2"/>
          <c:tx>
            <c:v>CG offset = +4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97132"/>
              </a:solidFill>
              <a:ln w="9525">
                <a:solidFill>
                  <a:srgbClr val="E97132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E9713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614470767678931E-2"/>
                  <c:y val="-1.9972635452499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Test'!$S$13:$S$18</c:f>
                <c:numCache>
                  <c:formatCode>General</c:formatCode>
                  <c:ptCount val="6"/>
                  <c:pt idx="0">
                    <c:v>4.6814102951560016E-3</c:v>
                  </c:pt>
                  <c:pt idx="1">
                    <c:v>8.0442313051886899E-2</c:v>
                  </c:pt>
                  <c:pt idx="2">
                    <c:v>1.0561120723312042E-2</c:v>
                  </c:pt>
                  <c:pt idx="3">
                    <c:v>1.5575939844262433E-2</c:v>
                  </c:pt>
                  <c:pt idx="4">
                    <c:v>4.1704435832596087E-2</c:v>
                  </c:pt>
                  <c:pt idx="5">
                    <c:v>5.5367866978432668E-3</c:v>
                  </c:pt>
                </c:numCache>
              </c:numRef>
            </c:plus>
            <c:minus>
              <c:numRef>
                <c:f>'Flight Sim Test'!$S$13:$S$18</c:f>
                <c:numCache>
                  <c:formatCode>General</c:formatCode>
                  <c:ptCount val="6"/>
                  <c:pt idx="0">
                    <c:v>4.6814102951560016E-3</c:v>
                  </c:pt>
                  <c:pt idx="1">
                    <c:v>8.0442313051886899E-2</c:v>
                  </c:pt>
                  <c:pt idx="2">
                    <c:v>1.0561120723312042E-2</c:v>
                  </c:pt>
                  <c:pt idx="3">
                    <c:v>1.5575939844262433E-2</c:v>
                  </c:pt>
                  <c:pt idx="4">
                    <c:v>4.1704435832596087E-2</c:v>
                  </c:pt>
                  <c:pt idx="5">
                    <c:v>5.5367866978432668E-3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Test'!$K$13:$K$18</c:f>
              <c:numCache>
                <c:formatCode>General</c:formatCode>
                <c:ptCount val="6"/>
                <c:pt idx="0">
                  <c:v>-1.2</c:v>
                </c:pt>
                <c:pt idx="1">
                  <c:v>5.3</c:v>
                </c:pt>
                <c:pt idx="2">
                  <c:v>-0.3</c:v>
                </c:pt>
                <c:pt idx="3">
                  <c:v>0.4</c:v>
                </c:pt>
                <c:pt idx="4">
                  <c:v>2.6</c:v>
                </c:pt>
                <c:pt idx="5">
                  <c:v>-1.1000000000000001</c:v>
                </c:pt>
              </c:numCache>
            </c:numRef>
          </c:xVal>
          <c:yVal>
            <c:numRef>
              <c:f>'Flight Sim Test'!$Q$13:$Q$18</c:f>
              <c:numCache>
                <c:formatCode>General</c:formatCode>
                <c:ptCount val="6"/>
                <c:pt idx="0">
                  <c:v>0.10878698514386249</c:v>
                </c:pt>
                <c:pt idx="1">
                  <c:v>0.76395660317277425</c:v>
                </c:pt>
                <c:pt idx="2">
                  <c:v>0.19098915079319356</c:v>
                </c:pt>
                <c:pt idx="3">
                  <c:v>0.24945521736253853</c:v>
                </c:pt>
                <c:pt idx="4">
                  <c:v>0.48893222603057535</c:v>
                </c:pt>
                <c:pt idx="5">
                  <c:v>0.12223305650764384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E-4BC2-BDF3-51CDDA18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of Attack (True)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791566224755842"/>
          <c:y val="0.48511432160378659"/>
          <c:w val="0.19660757908024562"/>
          <c:h val="0.30748959712342266"/>
        </c:manualLayout>
      </c:layout>
      <c:overlay val="0"/>
      <c:spPr>
        <a:solidFill>
          <a:sysClr val="window" lastClr="FFFFFF"/>
        </a:solidFill>
        <a:ln w="2222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0346511607233504E-2"/>
          <c:y val="0.14007634841497776"/>
          <c:w val="0.86394800124820204"/>
          <c:h val="0.73097177762767618"/>
        </c:manualLayout>
      </c:layout>
      <c:scatterChart>
        <c:scatterStyle val="lineMarker"/>
        <c:varyColors val="0"/>
        <c:ser>
          <c:idx val="1"/>
          <c:order val="0"/>
          <c:tx>
            <c:v>CG offset = +4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9802408794389"/>
                  <c:y val="-0.15178528210260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 Sim Test'!$W$3:$W$13</c:f>
              <c:numCache>
                <c:formatCode>General</c:formatCode>
                <c:ptCount val="11"/>
                <c:pt idx="0">
                  <c:v>10.014971946604213</c:v>
                </c:pt>
                <c:pt idx="5">
                  <c:v>10.116571946604212</c:v>
                </c:pt>
                <c:pt idx="10">
                  <c:v>10.218171946604212</c:v>
                </c:pt>
              </c:numCache>
            </c:numRef>
          </c:xVal>
          <c:yVal>
            <c:numRef>
              <c:f>'Flight Sim Test'!$V$3:$V$13</c:f>
              <c:numCache>
                <c:formatCode>General</c:formatCode>
                <c:ptCount val="11"/>
                <c:pt idx="0">
                  <c:v>-5.4703369999999998</c:v>
                </c:pt>
                <c:pt idx="5">
                  <c:v>-5.0254339999999997</c:v>
                </c:pt>
                <c:pt idx="10">
                  <c:v>-3.1150690000000001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7-47EC-ACED-F07D69E6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>
                    <a:effectLst/>
                  </a:rPr>
                  <a:t>Lift Coefficient, </a:t>
                </a:r>
                <a:r>
                  <a:rPr lang="en-GB" sz="1800" b="0" i="0" u="none" strike="noStrike" baseline="0">
                    <a:effectLst/>
                  </a:rPr>
                  <a:t>C</a:t>
                </a:r>
                <a:r>
                  <a:rPr lang="en-GB" sz="1800" b="0" i="0" u="none" strike="noStrike" baseline="-25000">
                    <a:effectLst/>
                  </a:rPr>
                  <a:t>L</a:t>
                </a:r>
                <a:endParaRPr lang="en-GB" sz="18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22933601324248"/>
              <c:y val="0.917637661155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0"/>
        <c:majorTickMark val="cross"/>
        <c:minorTickMark val="none"/>
        <c:tickLblPos val="low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>
                    <a:effectLst/>
                  </a:rPr>
                  <a:t>Tailplane Deflection, </a:t>
                </a:r>
                <a:r>
                  <a:rPr lang="en-GB" sz="1800" b="0" i="0" u="none" strike="noStrike" baseline="0">
                    <a:effectLst/>
                  </a:rPr>
                  <a:t>i</a:t>
                </a:r>
                <a:r>
                  <a:rPr lang="en-GB" sz="1800" b="0" i="0" u="none" strike="noStrike" baseline="-25000">
                    <a:effectLst/>
                  </a:rPr>
                  <a:t>H </a:t>
                </a:r>
                <a:r>
                  <a:rPr lang="en-GB" sz="1800" b="0" i="0">
                    <a:effectLst/>
                  </a:rPr>
                  <a:t>, (°)</a:t>
                </a:r>
              </a:p>
            </c:rich>
          </c:tx>
          <c:layout>
            <c:manualLayout>
              <c:xMode val="edge"/>
              <c:yMode val="edge"/>
              <c:x val="2.1843849881565833E-2"/>
              <c:y val="0.28165321973164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22225"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75766490768683026"/>
          <c:y val="0.1677950372157663"/>
          <c:w val="0.17557731510378002"/>
          <c:h val="0.3120960795659802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9548215621746358E-2"/>
          <c:y val="0.10715312864360667"/>
          <c:w val="0.83573292009145572"/>
          <c:h val="0.78386492669214303"/>
        </c:manualLayout>
      </c:layout>
      <c:scatterChart>
        <c:scatterStyle val="lineMarker"/>
        <c:varyColors val="0"/>
        <c:ser>
          <c:idx val="5"/>
          <c:order val="0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plus>
            <c:min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Test'!$M$4:$M$19</c:f>
              <c:numCache>
                <c:formatCode>General</c:formatCode>
                <c:ptCount val="16"/>
                <c:pt idx="0">
                  <c:v>-2.0001297717075417</c:v>
                </c:pt>
                <c:pt idx="1">
                  <c:v>-1.9998256121716214</c:v>
                </c:pt>
                <c:pt idx="2">
                  <c:v>0.1152195468476461</c:v>
                </c:pt>
                <c:pt idx="3">
                  <c:v>0.11248766482130018</c:v>
                </c:pt>
                <c:pt idx="4">
                  <c:v>2.2315173513821742</c:v>
                </c:pt>
                <c:pt idx="5">
                  <c:v>2.2307226815989276</c:v>
                </c:pt>
                <c:pt idx="6">
                  <c:v>4.3460114012855353</c:v>
                </c:pt>
                <c:pt idx="7">
                  <c:v>4.3466024242969903</c:v>
                </c:pt>
                <c:pt idx="8">
                  <c:v>6.4572862386255325</c:v>
                </c:pt>
                <c:pt idx="9">
                  <c:v>6.4569943983723297</c:v>
                </c:pt>
                <c:pt idx="10">
                  <c:v>8.5458100371670618</c:v>
                </c:pt>
                <c:pt idx="11">
                  <c:v>8.5463860042831783</c:v>
                </c:pt>
                <c:pt idx="12">
                  <c:v>10.621415369287657</c:v>
                </c:pt>
                <c:pt idx="13">
                  <c:v>10.621860739173941</c:v>
                </c:pt>
                <c:pt idx="14">
                  <c:v>12.685404220179734</c:v>
                </c:pt>
                <c:pt idx="15">
                  <c:v>12.683041340202985</c:v>
                </c:pt>
              </c:numCache>
            </c:numRef>
          </c:xVal>
          <c:y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F4E-436F-A806-6A40C2F034C5}"/>
            </c:ext>
          </c:extLst>
        </c:ser>
        <c:ser>
          <c:idx val="6"/>
          <c:order val="1"/>
          <c:tx>
            <c:v>Tail on (i = -1)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plus>
            <c:min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Test'!$M$23:$M$38</c:f>
              <c:numCache>
                <c:formatCode>General</c:formatCode>
                <c:ptCount val="16"/>
                <c:pt idx="0">
                  <c:v>-2.0258822909407312</c:v>
                </c:pt>
                <c:pt idx="1">
                  <c:v>-2.0243661001538582</c:v>
                </c:pt>
                <c:pt idx="2">
                  <c:v>0.11100370853780418</c:v>
                </c:pt>
                <c:pt idx="3">
                  <c:v>0.10983566155090897</c:v>
                </c:pt>
                <c:pt idx="4">
                  <c:v>2.2462231308341485</c:v>
                </c:pt>
                <c:pt idx="5">
                  <c:v>2.2460814303861834</c:v>
                </c:pt>
                <c:pt idx="6">
                  <c:v>4.381721142873535</c:v>
                </c:pt>
                <c:pt idx="7">
                  <c:v>4.3841655460093056</c:v>
                </c:pt>
                <c:pt idx="8">
                  <c:v>6.5134176637516266</c:v>
                </c:pt>
                <c:pt idx="9">
                  <c:v>6.5109272055603888</c:v>
                </c:pt>
                <c:pt idx="10">
                  <c:v>8.620290839738713</c:v>
                </c:pt>
                <c:pt idx="11">
                  <c:v>8.6209387579929437</c:v>
                </c:pt>
                <c:pt idx="12">
                  <c:v>10.70871173950162</c:v>
                </c:pt>
                <c:pt idx="13">
                  <c:v>10.707746437131144</c:v>
                </c:pt>
                <c:pt idx="14">
                  <c:v>12.782879792211608</c:v>
                </c:pt>
                <c:pt idx="15">
                  <c:v>12.782964438817853</c:v>
                </c:pt>
              </c:numCache>
            </c:numRef>
          </c:xVal>
          <c:y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F4E-436F-A806-6A40C2F034C5}"/>
            </c:ext>
          </c:extLst>
        </c:ser>
        <c:ser>
          <c:idx val="7"/>
          <c:order val="2"/>
          <c:tx>
            <c:v>Tail on (i = +2)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plus>
            <c:min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Test'!$M$42:$M$62</c:f>
              <c:numCache>
                <c:formatCode>General</c:formatCode>
                <c:ptCount val="21"/>
                <c:pt idx="0">
                  <c:v>-2.0694002273147172</c:v>
                </c:pt>
                <c:pt idx="1">
                  <c:v>-2.0671459905496627</c:v>
                </c:pt>
                <c:pt idx="2">
                  <c:v>6.752091268495844E-2</c:v>
                </c:pt>
                <c:pt idx="3">
                  <c:v>6.9851154528830728E-2</c:v>
                </c:pt>
                <c:pt idx="4">
                  <c:v>2.2040873136141244</c:v>
                </c:pt>
                <c:pt idx="5">
                  <c:v>2.2048660571048533</c:v>
                </c:pt>
                <c:pt idx="6">
                  <c:v>4.3382558147972778</c:v>
                </c:pt>
                <c:pt idx="7">
                  <c:v>4.3414033955608682</c:v>
                </c:pt>
                <c:pt idx="8">
                  <c:v>6.4684911848407642</c:v>
                </c:pt>
                <c:pt idx="9">
                  <c:v>6.4682751296355097</c:v>
                </c:pt>
                <c:pt idx="10">
                  <c:v>8.5762288816518009</c:v>
                </c:pt>
                <c:pt idx="11">
                  <c:v>8.5760495177048206</c:v>
                </c:pt>
                <c:pt idx="12">
                  <c:v>10.634848843435192</c:v>
                </c:pt>
                <c:pt idx="13">
                  <c:v>10.671915326171616</c:v>
                </c:pt>
                <c:pt idx="14">
                  <c:v>11.703775958350874</c:v>
                </c:pt>
                <c:pt idx="15">
                  <c:v>11.715208509964139</c:v>
                </c:pt>
                <c:pt idx="16">
                  <c:v>12.752214559475618</c:v>
                </c:pt>
                <c:pt idx="17">
                  <c:v>12.754010889369798</c:v>
                </c:pt>
                <c:pt idx="18">
                  <c:v>13.774446303430645</c:v>
                </c:pt>
                <c:pt idx="19">
                  <c:v>13.781905148741441</c:v>
                </c:pt>
                <c:pt idx="20">
                  <c:v>14.782065631010326</c:v>
                </c:pt>
              </c:numCache>
            </c:numRef>
          </c:xVal>
          <c:yVal>
            <c:numRef>
              <c:f>'Wind Tunnel Test'!$AM$42:$AM$62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F4E-436F-A806-6A40C2F034C5}"/>
            </c:ext>
          </c:extLst>
        </c:ser>
        <c:ser>
          <c:idx val="8"/>
          <c:order val="3"/>
          <c:tx>
            <c:v>Tail on (i = -2) STALL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Test'!$BC$63:$BC$71</c:f>
                <c:numCache>
                  <c:formatCode>General</c:formatCode>
                  <c:ptCount val="9"/>
                  <c:pt idx="0">
                    <c:v>8.5527218117332229E-2</c:v>
                  </c:pt>
                  <c:pt idx="1">
                    <c:v>8.6623622573311063E-2</c:v>
                  </c:pt>
                  <c:pt idx="2">
                    <c:v>8.6866815128663857E-2</c:v>
                  </c:pt>
                  <c:pt idx="3">
                    <c:v>8.4012491814424259E-2</c:v>
                  </c:pt>
                  <c:pt idx="4">
                    <c:v>8.4124245690459037E-2</c:v>
                  </c:pt>
                  <c:pt idx="5">
                    <c:v>7.1152353072424609E-2</c:v>
                  </c:pt>
                  <c:pt idx="6">
                    <c:v>7.284850016942232E-2</c:v>
                  </c:pt>
                  <c:pt idx="7">
                    <c:v>6.5170516340336743E-2</c:v>
                  </c:pt>
                  <c:pt idx="8">
                    <c:v>6.4655813239939214E-2</c:v>
                  </c:pt>
                </c:numCache>
              </c:numRef>
            </c:plus>
            <c:minus>
              <c:numRef>
                <c:f>'Wind Tunnel Test'!$BC$63:$BC$71</c:f>
                <c:numCache>
                  <c:formatCode>General</c:formatCode>
                  <c:ptCount val="9"/>
                  <c:pt idx="0">
                    <c:v>8.5527218117332229E-2</c:v>
                  </c:pt>
                  <c:pt idx="1">
                    <c:v>8.6623622573311063E-2</c:v>
                  </c:pt>
                  <c:pt idx="2">
                    <c:v>8.6866815128663857E-2</c:v>
                  </c:pt>
                  <c:pt idx="3">
                    <c:v>8.4012491814424259E-2</c:v>
                  </c:pt>
                  <c:pt idx="4">
                    <c:v>8.4124245690459037E-2</c:v>
                  </c:pt>
                  <c:pt idx="5">
                    <c:v>7.1152353072424609E-2</c:v>
                  </c:pt>
                  <c:pt idx="6">
                    <c:v>7.284850016942232E-2</c:v>
                  </c:pt>
                  <c:pt idx="7">
                    <c:v>6.5170516340336743E-2</c:v>
                  </c:pt>
                  <c:pt idx="8">
                    <c:v>6.4655813239939214E-2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Test'!$M$63:$M$71</c:f>
              <c:numCache>
                <c:formatCode>General</c:formatCode>
                <c:ptCount val="9"/>
                <c:pt idx="0">
                  <c:v>14.755064385640127</c:v>
                </c:pt>
                <c:pt idx="1">
                  <c:v>15.764794220415554</c:v>
                </c:pt>
                <c:pt idx="2">
                  <c:v>15.766940383121444</c:v>
                </c:pt>
                <c:pt idx="3">
                  <c:v>16.74176574614237</c:v>
                </c:pt>
                <c:pt idx="4">
                  <c:v>16.742751767215267</c:v>
                </c:pt>
                <c:pt idx="5">
                  <c:v>17.62811535739749</c:v>
                </c:pt>
                <c:pt idx="6">
                  <c:v>17.643122796716572</c:v>
                </c:pt>
                <c:pt idx="7">
                  <c:v>18.575228593445807</c:v>
                </c:pt>
                <c:pt idx="8">
                  <c:v>18.570697951823533</c:v>
                </c:pt>
              </c:numCache>
            </c:numRef>
          </c:xVal>
          <c:yVal>
            <c:numRef>
              <c:f>'Wind Tunnel Test'!$AM$63:$AM$71</c:f>
              <c:numCache>
                <c:formatCode>General</c:formatCode>
                <c:ptCount val="9"/>
                <c:pt idx="0">
                  <c:v>0.90971612727726092</c:v>
                </c:pt>
                <c:pt idx="1">
                  <c:v>0.92143881977777609</c:v>
                </c:pt>
                <c:pt idx="2">
                  <c:v>0.92402455797764271</c:v>
                </c:pt>
                <c:pt idx="3">
                  <c:v>0.89369367005104883</c:v>
                </c:pt>
                <c:pt idx="4">
                  <c:v>0.89488164724730934</c:v>
                </c:pt>
                <c:pt idx="5">
                  <c:v>0.7567654908403495</c:v>
                </c:pt>
                <c:pt idx="6">
                  <c:v>0.77484674303201306</c:v>
                </c:pt>
                <c:pt idx="7">
                  <c:v>0.69304649812747732</c:v>
                </c:pt>
                <c:pt idx="8">
                  <c:v>0.68758789376329199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F4E-436F-A806-6A40C2F034C5}"/>
            </c:ext>
          </c:extLst>
        </c:ser>
        <c:ser>
          <c:idx val="2"/>
          <c:order val="4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4EA72E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442683669726751E-2"/>
                  <c:y val="-0.12598535806107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Test'!$M$4:$M$19</c:f>
              <c:numCache>
                <c:formatCode>General</c:formatCode>
                <c:ptCount val="16"/>
                <c:pt idx="0">
                  <c:v>-2.0001297717075417</c:v>
                </c:pt>
                <c:pt idx="1">
                  <c:v>-1.9998256121716214</c:v>
                </c:pt>
                <c:pt idx="2">
                  <c:v>0.1152195468476461</c:v>
                </c:pt>
                <c:pt idx="3">
                  <c:v>0.11248766482130018</c:v>
                </c:pt>
                <c:pt idx="4">
                  <c:v>2.2315173513821742</c:v>
                </c:pt>
                <c:pt idx="5">
                  <c:v>2.2307226815989276</c:v>
                </c:pt>
                <c:pt idx="6">
                  <c:v>4.3460114012855353</c:v>
                </c:pt>
                <c:pt idx="7">
                  <c:v>4.3466024242969903</c:v>
                </c:pt>
                <c:pt idx="8">
                  <c:v>6.4572862386255325</c:v>
                </c:pt>
                <c:pt idx="9">
                  <c:v>6.4569943983723297</c:v>
                </c:pt>
                <c:pt idx="10">
                  <c:v>8.5458100371670618</c:v>
                </c:pt>
                <c:pt idx="11">
                  <c:v>8.5463860042831783</c:v>
                </c:pt>
                <c:pt idx="12">
                  <c:v>10.621415369287657</c:v>
                </c:pt>
                <c:pt idx="13">
                  <c:v>10.621860739173941</c:v>
                </c:pt>
                <c:pt idx="14">
                  <c:v>12.685404220179734</c:v>
                </c:pt>
                <c:pt idx="15">
                  <c:v>12.683041340202985</c:v>
                </c:pt>
              </c:numCache>
            </c:numRef>
          </c:xVal>
          <c:y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E-436F-A806-6A40C2F034C5}"/>
            </c:ext>
          </c:extLst>
        </c:ser>
        <c:ser>
          <c:idx val="0"/>
          <c:order val="5"/>
          <c:tx>
            <c:v>Tail on (i = -1)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99740170289257"/>
                  <c:y val="-5.0147497443704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Test'!$M$23:$M$38</c:f>
              <c:numCache>
                <c:formatCode>General</c:formatCode>
                <c:ptCount val="16"/>
                <c:pt idx="0">
                  <c:v>-2.0258822909407312</c:v>
                </c:pt>
                <c:pt idx="1">
                  <c:v>-2.0243661001538582</c:v>
                </c:pt>
                <c:pt idx="2">
                  <c:v>0.11100370853780418</c:v>
                </c:pt>
                <c:pt idx="3">
                  <c:v>0.10983566155090897</c:v>
                </c:pt>
                <c:pt idx="4">
                  <c:v>2.2462231308341485</c:v>
                </c:pt>
                <c:pt idx="5">
                  <c:v>2.2460814303861834</c:v>
                </c:pt>
                <c:pt idx="6">
                  <c:v>4.381721142873535</c:v>
                </c:pt>
                <c:pt idx="7">
                  <c:v>4.3841655460093056</c:v>
                </c:pt>
                <c:pt idx="8">
                  <c:v>6.5134176637516266</c:v>
                </c:pt>
                <c:pt idx="9">
                  <c:v>6.5109272055603888</c:v>
                </c:pt>
                <c:pt idx="10">
                  <c:v>8.620290839738713</c:v>
                </c:pt>
                <c:pt idx="11">
                  <c:v>8.6209387579929437</c:v>
                </c:pt>
                <c:pt idx="12">
                  <c:v>10.70871173950162</c:v>
                </c:pt>
                <c:pt idx="13">
                  <c:v>10.707746437131144</c:v>
                </c:pt>
                <c:pt idx="14">
                  <c:v>12.782879792211608</c:v>
                </c:pt>
                <c:pt idx="15">
                  <c:v>12.782964438817853</c:v>
                </c:pt>
              </c:numCache>
            </c:numRef>
          </c:xVal>
          <c:y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4E-436F-A806-6A40C2F034C5}"/>
            </c:ext>
          </c:extLst>
        </c:ser>
        <c:ser>
          <c:idx val="1"/>
          <c:order val="6"/>
          <c:tx>
            <c:v>Tail on (i = +2)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lg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15393270426491"/>
                  <c:y val="-2.4832956014291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Test'!$M$42:$M$62</c:f>
              <c:numCache>
                <c:formatCode>General</c:formatCode>
                <c:ptCount val="21"/>
                <c:pt idx="0">
                  <c:v>-2.0694002273147172</c:v>
                </c:pt>
                <c:pt idx="1">
                  <c:v>-2.0671459905496627</c:v>
                </c:pt>
                <c:pt idx="2">
                  <c:v>6.752091268495844E-2</c:v>
                </c:pt>
                <c:pt idx="3">
                  <c:v>6.9851154528830728E-2</c:v>
                </c:pt>
                <c:pt idx="4">
                  <c:v>2.2040873136141244</c:v>
                </c:pt>
                <c:pt idx="5">
                  <c:v>2.2048660571048533</c:v>
                </c:pt>
                <c:pt idx="6">
                  <c:v>4.3382558147972778</c:v>
                </c:pt>
                <c:pt idx="7">
                  <c:v>4.3414033955608682</c:v>
                </c:pt>
                <c:pt idx="8">
                  <c:v>6.4684911848407642</c:v>
                </c:pt>
                <c:pt idx="9">
                  <c:v>6.4682751296355097</c:v>
                </c:pt>
                <c:pt idx="10">
                  <c:v>8.5762288816518009</c:v>
                </c:pt>
                <c:pt idx="11">
                  <c:v>8.5760495177048206</c:v>
                </c:pt>
                <c:pt idx="12">
                  <c:v>10.634848843435192</c:v>
                </c:pt>
                <c:pt idx="13">
                  <c:v>10.671915326171616</c:v>
                </c:pt>
                <c:pt idx="14">
                  <c:v>11.703775958350874</c:v>
                </c:pt>
                <c:pt idx="15">
                  <c:v>11.715208509964139</c:v>
                </c:pt>
                <c:pt idx="16">
                  <c:v>12.752214559475618</c:v>
                </c:pt>
                <c:pt idx="17">
                  <c:v>12.754010889369798</c:v>
                </c:pt>
                <c:pt idx="18">
                  <c:v>13.774446303430645</c:v>
                </c:pt>
                <c:pt idx="19">
                  <c:v>13.781905148741441</c:v>
                </c:pt>
                <c:pt idx="20">
                  <c:v>14.782065631010326</c:v>
                </c:pt>
              </c:numCache>
            </c:numRef>
          </c:xVal>
          <c:yVal>
            <c:numRef>
              <c:f>'Wind Tunnel Test'!$AM$42:$AM$62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F4E-436F-A806-6A40C2F034C5}"/>
            </c:ext>
          </c:extLst>
        </c:ser>
        <c:ser>
          <c:idx val="3"/>
          <c:order val="7"/>
          <c:tx>
            <c:v>Tail on (i = -2) STALL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xVal>
            <c:numRef>
              <c:f>'Wind Tunnel Test'!$M$63:$M$71</c:f>
              <c:numCache>
                <c:formatCode>General</c:formatCode>
                <c:ptCount val="9"/>
                <c:pt idx="0">
                  <c:v>14.755064385640127</c:v>
                </c:pt>
                <c:pt idx="1">
                  <c:v>15.764794220415554</c:v>
                </c:pt>
                <c:pt idx="2">
                  <c:v>15.766940383121444</c:v>
                </c:pt>
                <c:pt idx="3">
                  <c:v>16.74176574614237</c:v>
                </c:pt>
                <c:pt idx="4">
                  <c:v>16.742751767215267</c:v>
                </c:pt>
                <c:pt idx="5">
                  <c:v>17.62811535739749</c:v>
                </c:pt>
                <c:pt idx="6">
                  <c:v>17.643122796716572</c:v>
                </c:pt>
                <c:pt idx="7">
                  <c:v>18.575228593445807</c:v>
                </c:pt>
                <c:pt idx="8">
                  <c:v>18.570697951823533</c:v>
                </c:pt>
              </c:numCache>
            </c:numRef>
          </c:xVal>
          <c:yVal>
            <c:numRef>
              <c:f>'Wind Tunnel Test'!$AM$63:$AM$71</c:f>
              <c:numCache>
                <c:formatCode>General</c:formatCode>
                <c:ptCount val="9"/>
                <c:pt idx="0">
                  <c:v>0.90971612727726092</c:v>
                </c:pt>
                <c:pt idx="1">
                  <c:v>0.92143881977777609</c:v>
                </c:pt>
                <c:pt idx="2">
                  <c:v>0.92402455797764271</c:v>
                </c:pt>
                <c:pt idx="3">
                  <c:v>0.89369367005104883</c:v>
                </c:pt>
                <c:pt idx="4">
                  <c:v>0.89488164724730934</c:v>
                </c:pt>
                <c:pt idx="5">
                  <c:v>0.7567654908403495</c:v>
                </c:pt>
                <c:pt idx="6">
                  <c:v>0.77484674303201306</c:v>
                </c:pt>
                <c:pt idx="7">
                  <c:v>0.69304649812747732</c:v>
                </c:pt>
                <c:pt idx="8">
                  <c:v>0.68758789376329199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F4E-436F-A806-6A40C2F0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of Attack (True)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63903362681440246"/>
          <c:y val="0.413223888888889"/>
          <c:w val="0.23217663607068925"/>
          <c:h val="0.31154165236851056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8438797950812012E-2"/>
          <c:y val="9.4342605231998264E-2"/>
          <c:w val="0.8468423982558646"/>
          <c:h val="0.73989713880094421"/>
        </c:manualLayout>
      </c:layout>
      <c:scatterChart>
        <c:scatterStyle val="lineMarker"/>
        <c:varyColors val="0"/>
        <c:ser>
          <c:idx val="2"/>
          <c:order val="0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4EA72E"/>
                </a:solidFill>
                <a:prstDash val="lg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434874387172431E-2"/>
                  <c:y val="-0.1348223194563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Test'!$BD$4:$BD$19</c:f>
                <c:numCache>
                  <c:formatCode>General</c:formatCode>
                  <c:ptCount val="16"/>
                  <c:pt idx="0">
                    <c:v>5.3861828992888394E-3</c:v>
                  </c:pt>
                  <c:pt idx="1">
                    <c:v>3.7943317509509483E-3</c:v>
                  </c:pt>
                  <c:pt idx="2">
                    <c:v>6.2159912073151769E-3</c:v>
                  </c:pt>
                  <c:pt idx="3">
                    <c:v>6.0792552537266755E-3</c:v>
                  </c:pt>
                  <c:pt idx="4">
                    <c:v>6.5398179808366912E-3</c:v>
                  </c:pt>
                  <c:pt idx="5">
                    <c:v>6.4638985292282021E-3</c:v>
                  </c:pt>
                  <c:pt idx="6">
                    <c:v>7.2038674962510551E-3</c:v>
                  </c:pt>
                  <c:pt idx="7">
                    <c:v>7.0147941382340878E-3</c:v>
                  </c:pt>
                  <c:pt idx="8">
                    <c:v>8.1566436367812942E-3</c:v>
                  </c:pt>
                  <c:pt idx="9">
                    <c:v>8.0709015480057537E-3</c:v>
                  </c:pt>
                  <c:pt idx="10">
                    <c:v>9.3834985806672214E-3</c:v>
                  </c:pt>
                  <c:pt idx="11">
                    <c:v>9.2248862103487556E-3</c:v>
                  </c:pt>
                  <c:pt idx="12">
                    <c:v>1.0973192337929349E-2</c:v>
                  </c:pt>
                  <c:pt idx="13">
                    <c:v>1.098135063609274E-2</c:v>
                  </c:pt>
                  <c:pt idx="14">
                    <c:v>1.2725938498235091E-2</c:v>
                  </c:pt>
                  <c:pt idx="15">
                    <c:v>1.2853010985189397E-2</c:v>
                  </c:pt>
                </c:numCache>
              </c:numRef>
            </c:plus>
            <c:minus>
              <c:numRef>
                <c:f>'Wind Tunnel Test'!$BD$4:$BD$19</c:f>
                <c:numCache>
                  <c:formatCode>General</c:formatCode>
                  <c:ptCount val="16"/>
                  <c:pt idx="0">
                    <c:v>5.3861828992888394E-3</c:v>
                  </c:pt>
                  <c:pt idx="1">
                    <c:v>3.7943317509509483E-3</c:v>
                  </c:pt>
                  <c:pt idx="2">
                    <c:v>6.2159912073151769E-3</c:v>
                  </c:pt>
                  <c:pt idx="3">
                    <c:v>6.0792552537266755E-3</c:v>
                  </c:pt>
                  <c:pt idx="4">
                    <c:v>6.5398179808366912E-3</c:v>
                  </c:pt>
                  <c:pt idx="5">
                    <c:v>6.4638985292282021E-3</c:v>
                  </c:pt>
                  <c:pt idx="6">
                    <c:v>7.2038674962510551E-3</c:v>
                  </c:pt>
                  <c:pt idx="7">
                    <c:v>7.0147941382340878E-3</c:v>
                  </c:pt>
                  <c:pt idx="8">
                    <c:v>8.1566436367812942E-3</c:v>
                  </c:pt>
                  <c:pt idx="9">
                    <c:v>8.0709015480057537E-3</c:v>
                  </c:pt>
                  <c:pt idx="10">
                    <c:v>9.3834985806672214E-3</c:v>
                  </c:pt>
                  <c:pt idx="11">
                    <c:v>9.2248862103487556E-3</c:v>
                  </c:pt>
                  <c:pt idx="12">
                    <c:v>1.0973192337929349E-2</c:v>
                  </c:pt>
                  <c:pt idx="13">
                    <c:v>1.098135063609274E-2</c:v>
                  </c:pt>
                  <c:pt idx="14">
                    <c:v>1.2725938498235091E-2</c:v>
                  </c:pt>
                  <c:pt idx="15">
                    <c:v>1.2853010985189397E-2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Test'!$M$4:$M$19</c:f>
              <c:numCache>
                <c:formatCode>General</c:formatCode>
                <c:ptCount val="16"/>
                <c:pt idx="0">
                  <c:v>-2.0001297717075417</c:v>
                </c:pt>
                <c:pt idx="1">
                  <c:v>-1.9998256121716214</c:v>
                </c:pt>
                <c:pt idx="2">
                  <c:v>0.1152195468476461</c:v>
                </c:pt>
                <c:pt idx="3">
                  <c:v>0.11248766482130018</c:v>
                </c:pt>
                <c:pt idx="4">
                  <c:v>2.2315173513821742</c:v>
                </c:pt>
                <c:pt idx="5">
                  <c:v>2.2307226815989276</c:v>
                </c:pt>
                <c:pt idx="6">
                  <c:v>4.3460114012855353</c:v>
                </c:pt>
                <c:pt idx="7">
                  <c:v>4.3466024242969903</c:v>
                </c:pt>
                <c:pt idx="8">
                  <c:v>6.4572862386255325</c:v>
                </c:pt>
                <c:pt idx="9">
                  <c:v>6.4569943983723297</c:v>
                </c:pt>
                <c:pt idx="10">
                  <c:v>8.5458100371670618</c:v>
                </c:pt>
                <c:pt idx="11">
                  <c:v>8.5463860042831783</c:v>
                </c:pt>
                <c:pt idx="12">
                  <c:v>10.621415369287657</c:v>
                </c:pt>
                <c:pt idx="13">
                  <c:v>10.621860739173941</c:v>
                </c:pt>
                <c:pt idx="14">
                  <c:v>12.685404220179734</c:v>
                </c:pt>
                <c:pt idx="15">
                  <c:v>12.683041340202985</c:v>
                </c:pt>
              </c:numCache>
            </c:numRef>
          </c:xVal>
          <c:yVal>
            <c:numRef>
              <c:f>'Wind Tunnel Test'!$AN$4:$AN$19</c:f>
              <c:numCache>
                <c:formatCode>General</c:formatCode>
                <c:ptCount val="16"/>
                <c:pt idx="0">
                  <c:v>6.8105913277845695E-2</c:v>
                </c:pt>
                <c:pt idx="1">
                  <c:v>6.5543281529057112E-2</c:v>
                </c:pt>
                <c:pt idx="2">
                  <c:v>6.5483720680458921E-2</c:v>
                </c:pt>
                <c:pt idx="3">
                  <c:v>6.4010762976521737E-2</c:v>
                </c:pt>
                <c:pt idx="4">
                  <c:v>6.9345370366792058E-2</c:v>
                </c:pt>
                <c:pt idx="5">
                  <c:v>6.8538761547839555E-2</c:v>
                </c:pt>
                <c:pt idx="6">
                  <c:v>7.650856491353783E-2</c:v>
                </c:pt>
                <c:pt idx="7">
                  <c:v>7.4500363225000671E-2</c:v>
                </c:pt>
                <c:pt idx="8">
                  <c:v>8.6689623955364309E-2</c:v>
                </c:pt>
                <c:pt idx="9">
                  <c:v>8.5777814581130332E-2</c:v>
                </c:pt>
                <c:pt idx="10">
                  <c:v>9.9767037904554309E-2</c:v>
                </c:pt>
                <c:pt idx="11">
                  <c:v>9.8079789700537365E-2</c:v>
                </c:pt>
                <c:pt idx="12">
                  <c:v>0.1166970957568616</c:v>
                </c:pt>
                <c:pt idx="13">
                  <c:v>0.11678421748708408</c:v>
                </c:pt>
                <c:pt idx="14">
                  <c:v>0.13535965913895737</c:v>
                </c:pt>
                <c:pt idx="15">
                  <c:v>0.13671236850854887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D-4BA7-B494-DD951365F92D}"/>
            </c:ext>
          </c:extLst>
        </c:ser>
        <c:ser>
          <c:idx val="0"/>
          <c:order val="1"/>
          <c:tx>
            <c:v>Tail on (i = -1)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Test'!$BD$23:$BD$38</c:f>
                <c:numCache>
                  <c:formatCode>General</c:formatCode>
                  <c:ptCount val="16"/>
                  <c:pt idx="0">
                    <c:v>3.3295190914641062E-3</c:v>
                  </c:pt>
                  <c:pt idx="1">
                    <c:v>5.3972194713102026E-3</c:v>
                  </c:pt>
                  <c:pt idx="2">
                    <c:v>6.6572237834661699E-3</c:v>
                  </c:pt>
                  <c:pt idx="3">
                    <c:v>6.5779910069983412E-3</c:v>
                  </c:pt>
                  <c:pt idx="4">
                    <c:v>6.8570810163363222E-3</c:v>
                  </c:pt>
                  <c:pt idx="5">
                    <c:v>6.6535723777502867E-3</c:v>
                  </c:pt>
                  <c:pt idx="6">
                    <c:v>7.6132368213994734E-3</c:v>
                  </c:pt>
                  <c:pt idx="7">
                    <c:v>7.6011999769194233E-3</c:v>
                  </c:pt>
                  <c:pt idx="8">
                    <c:v>8.4943681878615826E-3</c:v>
                  </c:pt>
                  <c:pt idx="9">
                    <c:v>8.5564665773993024E-3</c:v>
                  </c:pt>
                  <c:pt idx="10">
                    <c:v>1.0268024092423158E-2</c:v>
                  </c:pt>
                  <c:pt idx="11">
                    <c:v>1.0363448886188323E-2</c:v>
                  </c:pt>
                  <c:pt idx="12">
                    <c:v>1.2268287005903031E-2</c:v>
                  </c:pt>
                  <c:pt idx="13">
                    <c:v>1.2277686668937924E-2</c:v>
                  </c:pt>
                  <c:pt idx="14">
                    <c:v>1.4434425772303614E-2</c:v>
                  </c:pt>
                  <c:pt idx="15">
                    <c:v>1.4525053184620744E-2</c:v>
                  </c:pt>
                </c:numCache>
              </c:numRef>
            </c:plus>
            <c:minus>
              <c:numRef>
                <c:f>'Wind Tunnel Test'!$BD$23:$BD$38</c:f>
                <c:numCache>
                  <c:formatCode>General</c:formatCode>
                  <c:ptCount val="16"/>
                  <c:pt idx="0">
                    <c:v>3.3295190914641062E-3</c:v>
                  </c:pt>
                  <c:pt idx="1">
                    <c:v>5.3972194713102026E-3</c:v>
                  </c:pt>
                  <c:pt idx="2">
                    <c:v>6.6572237834661699E-3</c:v>
                  </c:pt>
                  <c:pt idx="3">
                    <c:v>6.5779910069983412E-3</c:v>
                  </c:pt>
                  <c:pt idx="4">
                    <c:v>6.8570810163363222E-3</c:v>
                  </c:pt>
                  <c:pt idx="5">
                    <c:v>6.6535723777502867E-3</c:v>
                  </c:pt>
                  <c:pt idx="6">
                    <c:v>7.6132368213994734E-3</c:v>
                  </c:pt>
                  <c:pt idx="7">
                    <c:v>7.6011999769194233E-3</c:v>
                  </c:pt>
                  <c:pt idx="8">
                    <c:v>8.4943681878615826E-3</c:v>
                  </c:pt>
                  <c:pt idx="9">
                    <c:v>8.5564665773993024E-3</c:v>
                  </c:pt>
                  <c:pt idx="10">
                    <c:v>1.0268024092423158E-2</c:v>
                  </c:pt>
                  <c:pt idx="11">
                    <c:v>1.0363448886188323E-2</c:v>
                  </c:pt>
                  <c:pt idx="12">
                    <c:v>1.2268287005903031E-2</c:v>
                  </c:pt>
                  <c:pt idx="13">
                    <c:v>1.2277686668937924E-2</c:v>
                  </c:pt>
                  <c:pt idx="14">
                    <c:v>1.4434425772303614E-2</c:v>
                  </c:pt>
                  <c:pt idx="15">
                    <c:v>1.4525053184620744E-2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Test'!$M$23:$M$38</c:f>
              <c:numCache>
                <c:formatCode>General</c:formatCode>
                <c:ptCount val="16"/>
                <c:pt idx="0">
                  <c:v>-2.0258822909407312</c:v>
                </c:pt>
                <c:pt idx="1">
                  <c:v>-2.0243661001538582</c:v>
                </c:pt>
                <c:pt idx="2">
                  <c:v>0.11100370853780418</c:v>
                </c:pt>
                <c:pt idx="3">
                  <c:v>0.10983566155090897</c:v>
                </c:pt>
                <c:pt idx="4">
                  <c:v>2.2462231308341485</c:v>
                </c:pt>
                <c:pt idx="5">
                  <c:v>2.2460814303861834</c:v>
                </c:pt>
                <c:pt idx="6">
                  <c:v>4.381721142873535</c:v>
                </c:pt>
                <c:pt idx="7">
                  <c:v>4.3841655460093056</c:v>
                </c:pt>
                <c:pt idx="8">
                  <c:v>6.5134176637516266</c:v>
                </c:pt>
                <c:pt idx="9">
                  <c:v>6.5109272055603888</c:v>
                </c:pt>
                <c:pt idx="10">
                  <c:v>8.620290839738713</c:v>
                </c:pt>
                <c:pt idx="11">
                  <c:v>8.6209387579929437</c:v>
                </c:pt>
                <c:pt idx="12">
                  <c:v>10.70871173950162</c:v>
                </c:pt>
                <c:pt idx="13">
                  <c:v>10.707746437131144</c:v>
                </c:pt>
                <c:pt idx="14">
                  <c:v>12.782879792211608</c:v>
                </c:pt>
                <c:pt idx="15">
                  <c:v>12.782964438817853</c:v>
                </c:pt>
              </c:numCache>
            </c:numRef>
          </c:xVal>
          <c:yVal>
            <c:numRef>
              <c:f>'Wind Tunnel Test'!$AN$23:$AN$38</c:f>
              <c:numCache>
                <c:formatCode>General</c:formatCode>
                <c:ptCount val="16"/>
                <c:pt idx="0">
                  <c:v>6.9146262323847962E-2</c:v>
                </c:pt>
                <c:pt idx="1">
                  <c:v>6.8970769493236342E-2</c:v>
                </c:pt>
                <c:pt idx="2">
                  <c:v>7.0189901465742888E-2</c:v>
                </c:pt>
                <c:pt idx="3">
                  <c:v>6.9342280354427965E-2</c:v>
                </c:pt>
                <c:pt idx="4">
                  <c:v>7.2698418171225285E-2</c:v>
                </c:pt>
                <c:pt idx="5">
                  <c:v>7.0535251867755097E-2</c:v>
                </c:pt>
                <c:pt idx="6">
                  <c:v>8.0840519819041029E-2</c:v>
                </c:pt>
                <c:pt idx="7">
                  <c:v>8.0713632785310616E-2</c:v>
                </c:pt>
                <c:pt idx="8">
                  <c:v>9.0257433346576835E-2</c:v>
                </c:pt>
                <c:pt idx="9">
                  <c:v>9.0918432785353151E-2</c:v>
                </c:pt>
                <c:pt idx="10">
                  <c:v>0.10914791285808664</c:v>
                </c:pt>
                <c:pt idx="11">
                  <c:v>0.11016273568736761</c:v>
                </c:pt>
                <c:pt idx="12">
                  <c:v>0.13044395134272829</c:v>
                </c:pt>
                <c:pt idx="13">
                  <c:v>0.13054413087232056</c:v>
                </c:pt>
                <c:pt idx="14">
                  <c:v>0.15350218520731898</c:v>
                </c:pt>
                <c:pt idx="15">
                  <c:v>0.15446621688266063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D-4BA7-B494-DD951365F92D}"/>
            </c:ext>
          </c:extLst>
        </c:ser>
        <c:ser>
          <c:idx val="1"/>
          <c:order val="2"/>
          <c:tx>
            <c:v>Tail on (i = +2)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8795826326962586E-2"/>
                  <c:y val="-7.3399867595621046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Test'!$BD$42:$BD$71</c:f>
                <c:numCache>
                  <c:formatCode>General</c:formatCode>
                  <c:ptCount val="30"/>
                  <c:pt idx="0">
                    <c:v>7.2003460415525486E-3</c:v>
                  </c:pt>
                  <c:pt idx="1">
                    <c:v>6.9598801618520681E-3</c:v>
                  </c:pt>
                  <c:pt idx="2">
                    <c:v>6.7961846366112284E-3</c:v>
                  </c:pt>
                  <c:pt idx="3">
                    <c:v>6.8273285995595345E-3</c:v>
                  </c:pt>
                  <c:pt idx="4">
                    <c:v>6.8899120582155016E-3</c:v>
                  </c:pt>
                  <c:pt idx="5">
                    <c:v>7.0422470115815965E-3</c:v>
                  </c:pt>
                  <c:pt idx="6">
                    <c:v>7.4492850138312581E-3</c:v>
                  </c:pt>
                  <c:pt idx="7">
                    <c:v>7.5375688061797598E-3</c:v>
                  </c:pt>
                  <c:pt idx="8">
                    <c:v>8.3864175868527038E-3</c:v>
                  </c:pt>
                  <c:pt idx="9">
                    <c:v>8.3026297591554023E-3</c:v>
                  </c:pt>
                  <c:pt idx="10">
                    <c:v>9.6337887867508371E-3</c:v>
                  </c:pt>
                  <c:pt idx="11">
                    <c:v>1.0003414793396863E-2</c:v>
                  </c:pt>
                  <c:pt idx="12">
                    <c:v>1.0131425142426624E-2</c:v>
                  </c:pt>
                  <c:pt idx="13">
                    <c:v>1.1712990312652979E-2</c:v>
                  </c:pt>
                  <c:pt idx="14">
                    <c:v>1.2228157611715187E-2</c:v>
                  </c:pt>
                  <c:pt idx="15">
                    <c:v>1.2678477527598811E-2</c:v>
                  </c:pt>
                  <c:pt idx="16">
                    <c:v>1.3938387328720856E-2</c:v>
                  </c:pt>
                  <c:pt idx="17">
                    <c:v>1.3755177470848892E-2</c:v>
                  </c:pt>
                  <c:pt idx="18">
                    <c:v>1.4302939621045481E-2</c:v>
                  </c:pt>
                  <c:pt idx="19">
                    <c:v>1.5199083485853063E-2</c:v>
                  </c:pt>
                  <c:pt idx="20">
                    <c:v>1.5872988836728479E-2</c:v>
                  </c:pt>
                  <c:pt idx="21">
                    <c:v>1.8590581967876826E-2</c:v>
                  </c:pt>
                  <c:pt idx="22">
                    <c:v>2.0509869221032821E-2</c:v>
                  </c:pt>
                  <c:pt idx="23">
                    <c:v>2.0666469661468585E-2</c:v>
                  </c:pt>
                  <c:pt idx="24">
                    <c:v>2.3589638778454013E-2</c:v>
                  </c:pt>
                  <c:pt idx="25">
                    <c:v>2.3732774008556192E-2</c:v>
                  </c:pt>
                  <c:pt idx="26">
                    <c:v>2.6081197310774178E-2</c:v>
                  </c:pt>
                  <c:pt idx="27">
                    <c:v>2.5987658553170052E-2</c:v>
                  </c:pt>
                  <c:pt idx="28">
                    <c:v>2.8145344192374352E-2</c:v>
                  </c:pt>
                  <c:pt idx="29">
                    <c:v>2.7653342367648104E-2</c:v>
                  </c:pt>
                </c:numCache>
              </c:numRef>
            </c:plus>
            <c:minus>
              <c:numRef>
                <c:f>'Wind Tunnel Test'!$BD$42:$BD$71</c:f>
                <c:numCache>
                  <c:formatCode>General</c:formatCode>
                  <c:ptCount val="30"/>
                  <c:pt idx="0">
                    <c:v>7.2003460415525486E-3</c:v>
                  </c:pt>
                  <c:pt idx="1">
                    <c:v>6.9598801618520681E-3</c:v>
                  </c:pt>
                  <c:pt idx="2">
                    <c:v>6.7961846366112284E-3</c:v>
                  </c:pt>
                  <c:pt idx="3">
                    <c:v>6.8273285995595345E-3</c:v>
                  </c:pt>
                  <c:pt idx="4">
                    <c:v>6.8899120582155016E-3</c:v>
                  </c:pt>
                  <c:pt idx="5">
                    <c:v>7.0422470115815965E-3</c:v>
                  </c:pt>
                  <c:pt idx="6">
                    <c:v>7.4492850138312581E-3</c:v>
                  </c:pt>
                  <c:pt idx="7">
                    <c:v>7.5375688061797598E-3</c:v>
                  </c:pt>
                  <c:pt idx="8">
                    <c:v>8.3864175868527038E-3</c:v>
                  </c:pt>
                  <c:pt idx="9">
                    <c:v>8.3026297591554023E-3</c:v>
                  </c:pt>
                  <c:pt idx="10">
                    <c:v>9.6337887867508371E-3</c:v>
                  </c:pt>
                  <c:pt idx="11">
                    <c:v>1.0003414793396863E-2</c:v>
                  </c:pt>
                  <c:pt idx="12">
                    <c:v>1.0131425142426624E-2</c:v>
                  </c:pt>
                  <c:pt idx="13">
                    <c:v>1.1712990312652979E-2</c:v>
                  </c:pt>
                  <c:pt idx="14">
                    <c:v>1.2228157611715187E-2</c:v>
                  </c:pt>
                  <c:pt idx="15">
                    <c:v>1.2678477527598811E-2</c:v>
                  </c:pt>
                  <c:pt idx="16">
                    <c:v>1.3938387328720856E-2</c:v>
                  </c:pt>
                  <c:pt idx="17">
                    <c:v>1.3755177470848892E-2</c:v>
                  </c:pt>
                  <c:pt idx="18">
                    <c:v>1.4302939621045481E-2</c:v>
                  </c:pt>
                  <c:pt idx="19">
                    <c:v>1.5199083485853063E-2</c:v>
                  </c:pt>
                  <c:pt idx="20">
                    <c:v>1.5872988836728479E-2</c:v>
                  </c:pt>
                  <c:pt idx="21">
                    <c:v>1.8590581967876826E-2</c:v>
                  </c:pt>
                  <c:pt idx="22">
                    <c:v>2.0509869221032821E-2</c:v>
                  </c:pt>
                  <c:pt idx="23">
                    <c:v>2.0666469661468585E-2</c:v>
                  </c:pt>
                  <c:pt idx="24">
                    <c:v>2.3589638778454013E-2</c:v>
                  </c:pt>
                  <c:pt idx="25">
                    <c:v>2.3732774008556192E-2</c:v>
                  </c:pt>
                  <c:pt idx="26">
                    <c:v>2.6081197310774178E-2</c:v>
                  </c:pt>
                  <c:pt idx="27">
                    <c:v>2.5987658553170052E-2</c:v>
                  </c:pt>
                  <c:pt idx="28">
                    <c:v>2.8145344192374352E-2</c:v>
                  </c:pt>
                  <c:pt idx="29">
                    <c:v>2.7653342367648104E-2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Test'!$M$42:$M$71</c:f>
              <c:numCache>
                <c:formatCode>General</c:formatCode>
                <c:ptCount val="30"/>
                <c:pt idx="0">
                  <c:v>-2.0694002273147172</c:v>
                </c:pt>
                <c:pt idx="1">
                  <c:v>-2.0671459905496627</c:v>
                </c:pt>
                <c:pt idx="2">
                  <c:v>6.752091268495844E-2</c:v>
                </c:pt>
                <c:pt idx="3">
                  <c:v>6.9851154528830728E-2</c:v>
                </c:pt>
                <c:pt idx="4">
                  <c:v>2.2040873136141244</c:v>
                </c:pt>
                <c:pt idx="5">
                  <c:v>2.2048660571048533</c:v>
                </c:pt>
                <c:pt idx="6">
                  <c:v>4.3382558147972778</c:v>
                </c:pt>
                <c:pt idx="7">
                  <c:v>4.3414033955608682</c:v>
                </c:pt>
                <c:pt idx="8">
                  <c:v>6.4684911848407642</c:v>
                </c:pt>
                <c:pt idx="9">
                  <c:v>6.4682751296355097</c:v>
                </c:pt>
                <c:pt idx="10">
                  <c:v>8.5762288816518009</c:v>
                </c:pt>
                <c:pt idx="11">
                  <c:v>8.5760495177048206</c:v>
                </c:pt>
                <c:pt idx="12">
                  <c:v>10.634848843435192</c:v>
                </c:pt>
                <c:pt idx="13">
                  <c:v>10.671915326171616</c:v>
                </c:pt>
                <c:pt idx="14">
                  <c:v>11.703775958350874</c:v>
                </c:pt>
                <c:pt idx="15">
                  <c:v>11.715208509964139</c:v>
                </c:pt>
                <c:pt idx="16">
                  <c:v>12.752214559475618</c:v>
                </c:pt>
                <c:pt idx="17">
                  <c:v>12.754010889369798</c:v>
                </c:pt>
                <c:pt idx="18">
                  <c:v>13.774446303430645</c:v>
                </c:pt>
                <c:pt idx="19">
                  <c:v>13.781905148741441</c:v>
                </c:pt>
                <c:pt idx="20">
                  <c:v>14.782065631010326</c:v>
                </c:pt>
                <c:pt idx="21">
                  <c:v>14.755064385640127</c:v>
                </c:pt>
                <c:pt idx="22">
                  <c:v>15.764794220415554</c:v>
                </c:pt>
                <c:pt idx="23">
                  <c:v>15.766940383121444</c:v>
                </c:pt>
                <c:pt idx="24">
                  <c:v>16.74176574614237</c:v>
                </c:pt>
                <c:pt idx="25">
                  <c:v>16.742751767215267</c:v>
                </c:pt>
                <c:pt idx="26">
                  <c:v>17.62811535739749</c:v>
                </c:pt>
                <c:pt idx="27">
                  <c:v>17.643122796716572</c:v>
                </c:pt>
                <c:pt idx="28">
                  <c:v>18.575228593445807</c:v>
                </c:pt>
                <c:pt idx="29">
                  <c:v>18.570697951823533</c:v>
                </c:pt>
              </c:numCache>
            </c:numRef>
          </c:xVal>
          <c:yVal>
            <c:numRef>
              <c:f>'Wind Tunnel Test'!$AN$42:$AN$71</c:f>
              <c:numCache>
                <c:formatCode>General</c:formatCode>
                <c:ptCount val="30"/>
                <c:pt idx="0">
                  <c:v>7.6563835983897099E-2</c:v>
                </c:pt>
                <c:pt idx="1">
                  <c:v>7.3954394004364488E-2</c:v>
                </c:pt>
                <c:pt idx="2">
                  <c:v>7.1800529500979801E-2</c:v>
                </c:pt>
                <c:pt idx="3">
                  <c:v>7.214318532110385E-2</c:v>
                </c:pt>
                <c:pt idx="4">
                  <c:v>7.3097182930620785E-2</c:v>
                </c:pt>
                <c:pt idx="5">
                  <c:v>7.4716305488122775E-2</c:v>
                </c:pt>
                <c:pt idx="6">
                  <c:v>7.9126826660758778E-2</c:v>
                </c:pt>
                <c:pt idx="7">
                  <c:v>8.00657685971429E-2</c:v>
                </c:pt>
                <c:pt idx="8">
                  <c:v>8.9133631662455068E-2</c:v>
                </c:pt>
                <c:pt idx="9">
                  <c:v>8.8242083337748106E-2</c:v>
                </c:pt>
                <c:pt idx="10">
                  <c:v>0.10242386319905381</c:v>
                </c:pt>
                <c:pt idx="11">
                  <c:v>0.10635503612557737</c:v>
                </c:pt>
                <c:pt idx="12">
                  <c:v>0.10773009570781016</c:v>
                </c:pt>
                <c:pt idx="13">
                  <c:v>0.12455474593117523</c:v>
                </c:pt>
                <c:pt idx="14">
                  <c:v>0.13004102145173166</c:v>
                </c:pt>
                <c:pt idx="15">
                  <c:v>0.13483212917653103</c:v>
                </c:pt>
                <c:pt idx="16">
                  <c:v>0.14824086888771873</c:v>
                </c:pt>
                <c:pt idx="17">
                  <c:v>0.14629148791092308</c:v>
                </c:pt>
                <c:pt idx="18">
                  <c:v>0.1521235723895657</c:v>
                </c:pt>
                <c:pt idx="19">
                  <c:v>0.16165826129834426</c:v>
                </c:pt>
                <c:pt idx="20">
                  <c:v>0.16883126632555451</c:v>
                </c:pt>
                <c:pt idx="21">
                  <c:v>0.19774000141622883</c:v>
                </c:pt>
                <c:pt idx="22">
                  <c:v>0.21816900664516559</c:v>
                </c:pt>
                <c:pt idx="23">
                  <c:v>0.21983453020134458</c:v>
                </c:pt>
                <c:pt idx="24">
                  <c:v>0.25093781174427104</c:v>
                </c:pt>
                <c:pt idx="25">
                  <c:v>0.25246020007919795</c:v>
                </c:pt>
                <c:pt idx="26">
                  <c:v>0.27739560579959677</c:v>
                </c:pt>
                <c:pt idx="27">
                  <c:v>0.276415472413583</c:v>
                </c:pt>
                <c:pt idx="28">
                  <c:v>0.29930762139818251</c:v>
                </c:pt>
                <c:pt idx="29">
                  <c:v>0.2940818850042855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D-4BA7-B494-DD951365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0" i="0" u="none" strike="noStrike" kern="1200" baseline="0">
                    <a:solidFill>
                      <a:sysClr val="windowText" lastClr="000000"/>
                    </a:solidFill>
                  </a:rPr>
                  <a:t>Angle of Attack (True)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9339499975652541"/>
          <c:y val="0.61939648856173279"/>
          <c:w val="0.21275206608164601"/>
          <c:h val="0.18463312952437244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386977312767392E-2"/>
          <c:y val="0.10715312864360667"/>
          <c:w val="0.84089418617193412"/>
          <c:h val="0.74566416660413215"/>
        </c:manualLayout>
      </c:layout>
      <c:scatterChart>
        <c:scatterStyle val="lineMarker"/>
        <c:varyColors val="0"/>
        <c:ser>
          <c:idx val="2"/>
          <c:order val="0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Test'!$BB$4:$BB$19</c:f>
                <c:numCache>
                  <c:formatCode>General</c:formatCode>
                  <c:ptCount val="16"/>
                  <c:pt idx="0">
                    <c:v>-5.5959611690577843E-3</c:v>
                  </c:pt>
                  <c:pt idx="1">
                    <c:v>-5.3382535852022038E-3</c:v>
                  </c:pt>
                  <c:pt idx="2">
                    <c:v>-4.2302629606316309E-3</c:v>
                  </c:pt>
                  <c:pt idx="3">
                    <c:v>-4.2816906106721234E-3</c:v>
                  </c:pt>
                  <c:pt idx="4">
                    <c:v>-1.0292577965983181E-3</c:v>
                  </c:pt>
                  <c:pt idx="5">
                    <c:v>-8.6100416393548689E-4</c:v>
                  </c:pt>
                  <c:pt idx="6">
                    <c:v>2.946774622227128E-3</c:v>
                  </c:pt>
                  <c:pt idx="7">
                    <c:v>3.469110131592225E-3</c:v>
                  </c:pt>
                  <c:pt idx="8">
                    <c:v>7.0204798531612123E-3</c:v>
                  </c:pt>
                  <c:pt idx="9">
                    <c:v>7.1054545281513297E-3</c:v>
                  </c:pt>
                  <c:pt idx="10">
                    <c:v>1.1863803740661335E-2</c:v>
                  </c:pt>
                  <c:pt idx="11">
                    <c:v>1.1848136411937668E-2</c:v>
                  </c:pt>
                  <c:pt idx="12">
                    <c:v>1.5591507622267744E-2</c:v>
                  </c:pt>
                  <c:pt idx="13">
                    <c:v>1.5955000613081069E-2</c:v>
                  </c:pt>
                  <c:pt idx="14">
                    <c:v>1.9281160897968407E-2</c:v>
                  </c:pt>
                  <c:pt idx="15">
                    <c:v>1.9916480040917079E-2</c:v>
                  </c:pt>
                </c:numCache>
              </c:numRef>
            </c:plus>
            <c:minus>
              <c:numRef>
                <c:f>'Wind Tunnel Test'!$BB$4:$BB$19</c:f>
                <c:numCache>
                  <c:formatCode>General</c:formatCode>
                  <c:ptCount val="16"/>
                  <c:pt idx="0">
                    <c:v>-5.5959611690577843E-3</c:v>
                  </c:pt>
                  <c:pt idx="1">
                    <c:v>-5.3382535852022038E-3</c:v>
                  </c:pt>
                  <c:pt idx="2">
                    <c:v>-4.2302629606316309E-3</c:v>
                  </c:pt>
                  <c:pt idx="3">
                    <c:v>-4.2816906106721234E-3</c:v>
                  </c:pt>
                  <c:pt idx="4">
                    <c:v>-1.0292577965983181E-3</c:v>
                  </c:pt>
                  <c:pt idx="5">
                    <c:v>-8.6100416393548689E-4</c:v>
                  </c:pt>
                  <c:pt idx="6">
                    <c:v>2.946774622227128E-3</c:v>
                  </c:pt>
                  <c:pt idx="7">
                    <c:v>3.469110131592225E-3</c:v>
                  </c:pt>
                  <c:pt idx="8">
                    <c:v>7.0204798531612123E-3</c:v>
                  </c:pt>
                  <c:pt idx="9">
                    <c:v>7.1054545281513297E-3</c:v>
                  </c:pt>
                  <c:pt idx="10">
                    <c:v>1.1863803740661335E-2</c:v>
                  </c:pt>
                  <c:pt idx="11">
                    <c:v>1.1848136411937668E-2</c:v>
                  </c:pt>
                  <c:pt idx="12">
                    <c:v>1.5591507622267744E-2</c:v>
                  </c:pt>
                  <c:pt idx="13">
                    <c:v>1.5955000613081069E-2</c:v>
                  </c:pt>
                  <c:pt idx="14">
                    <c:v>1.9281160897968407E-2</c:v>
                  </c:pt>
                  <c:pt idx="15">
                    <c:v>1.9916480040917079E-2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Test'!$M$4:$M$19</c:f>
              <c:numCache>
                <c:formatCode>General</c:formatCode>
                <c:ptCount val="16"/>
                <c:pt idx="0">
                  <c:v>-2.0001297717075417</c:v>
                </c:pt>
                <c:pt idx="1">
                  <c:v>-1.9998256121716214</c:v>
                </c:pt>
                <c:pt idx="2">
                  <c:v>0.1152195468476461</c:v>
                </c:pt>
                <c:pt idx="3">
                  <c:v>0.11248766482130018</c:v>
                </c:pt>
                <c:pt idx="4">
                  <c:v>2.2315173513821742</c:v>
                </c:pt>
                <c:pt idx="5">
                  <c:v>2.2307226815989276</c:v>
                </c:pt>
                <c:pt idx="6">
                  <c:v>4.3460114012855353</c:v>
                </c:pt>
                <c:pt idx="7">
                  <c:v>4.3466024242969903</c:v>
                </c:pt>
                <c:pt idx="8">
                  <c:v>6.4572862386255325</c:v>
                </c:pt>
                <c:pt idx="9">
                  <c:v>6.4569943983723297</c:v>
                </c:pt>
                <c:pt idx="10">
                  <c:v>8.5458100371670618</c:v>
                </c:pt>
                <c:pt idx="11">
                  <c:v>8.5463860042831783</c:v>
                </c:pt>
                <c:pt idx="12">
                  <c:v>10.621415369287657</c:v>
                </c:pt>
                <c:pt idx="13">
                  <c:v>10.621860739173941</c:v>
                </c:pt>
                <c:pt idx="14">
                  <c:v>12.685404220179734</c:v>
                </c:pt>
                <c:pt idx="15">
                  <c:v>12.683041340202985</c:v>
                </c:pt>
              </c:numCache>
            </c:numRef>
          </c:xVal>
          <c:yVal>
            <c:numRef>
              <c:f>'Wind Tunnel Test'!$AL$4:$AL$19</c:f>
              <c:numCache>
                <c:formatCode>General</c:formatCode>
                <c:ptCount val="16"/>
                <c:pt idx="0">
                  <c:v>-3.6094880756762759E-2</c:v>
                </c:pt>
                <c:pt idx="1">
                  <c:v>-3.9885384436831178E-2</c:v>
                </c:pt>
                <c:pt idx="2">
                  <c:v>-2.4756681212531974E-2</c:v>
                </c:pt>
                <c:pt idx="3">
                  <c:v>-2.5050588300110893E-2</c:v>
                </c:pt>
                <c:pt idx="4">
                  <c:v>-6.0453081601726799E-3</c:v>
                </c:pt>
                <c:pt idx="5">
                  <c:v>-5.0570115097375613E-3</c:v>
                </c:pt>
                <c:pt idx="6">
                  <c:v>1.7323062194589692E-2</c:v>
                </c:pt>
                <c:pt idx="7">
                  <c:v>2.0393667947206397E-2</c:v>
                </c:pt>
                <c:pt idx="8">
                  <c:v>4.1287331960259292E-2</c:v>
                </c:pt>
                <c:pt idx="9">
                  <c:v>4.1786922776703435E-2</c:v>
                </c:pt>
                <c:pt idx="10">
                  <c:v>6.9785659134004863E-2</c:v>
                </c:pt>
                <c:pt idx="11">
                  <c:v>6.9693164891830306E-2</c:v>
                </c:pt>
                <c:pt idx="12">
                  <c:v>9.1725123174782361E-2</c:v>
                </c:pt>
                <c:pt idx="13">
                  <c:v>9.3863719259095521E-2</c:v>
                </c:pt>
                <c:pt idx="14">
                  <c:v>0.11344187784518875</c:v>
                </c:pt>
                <c:pt idx="15">
                  <c:v>0.11718033837257724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9-4364-9F8D-DF17512416D8}"/>
            </c:ext>
          </c:extLst>
        </c:ser>
        <c:ser>
          <c:idx val="0"/>
          <c:order val="1"/>
          <c:tx>
            <c:v>Tail on (i = -1)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Test'!$BB$23:$BB$38</c:f>
                <c:numCache>
                  <c:formatCode>General</c:formatCode>
                  <c:ptCount val="16"/>
                  <c:pt idx="0">
                    <c:v>3.1309067903476356E-3</c:v>
                  </c:pt>
                  <c:pt idx="1">
                    <c:v>3.264609722485655E-3</c:v>
                  </c:pt>
                  <c:pt idx="2">
                    <c:v>-1.6348760401578427E-3</c:v>
                  </c:pt>
                  <c:pt idx="3">
                    <c:v>-1.5585376587622052E-3</c:v>
                  </c:pt>
                  <c:pt idx="4">
                    <c:v>-5.7574302393142559E-3</c:v>
                  </c:pt>
                  <c:pt idx="5">
                    <c:v>-5.9575420856389305E-3</c:v>
                  </c:pt>
                  <c:pt idx="6">
                    <c:v>-9.9872625013398865E-3</c:v>
                  </c:pt>
                  <c:pt idx="7">
                    <c:v>-9.9282322114860235E-3</c:v>
                  </c:pt>
                  <c:pt idx="8">
                    <c:v>-1.492898159781115E-2</c:v>
                  </c:pt>
                  <c:pt idx="9">
                    <c:v>-1.4273782696230803E-2</c:v>
                  </c:pt>
                  <c:pt idx="10">
                    <c:v>-1.8417649591072196E-2</c:v>
                  </c:pt>
                  <c:pt idx="11">
                    <c:v>-1.8577396305916656E-2</c:v>
                  </c:pt>
                  <c:pt idx="12">
                    <c:v>-2.0929726415911766E-2</c:v>
                  </c:pt>
                  <c:pt idx="13">
                    <c:v>-2.0728099524969245E-2</c:v>
                  </c:pt>
                  <c:pt idx="14">
                    <c:v>-2.320611384114132E-2</c:v>
                  </c:pt>
                  <c:pt idx="15">
                    <c:v>-2.3393058080481619E-2</c:v>
                  </c:pt>
                </c:numCache>
              </c:numRef>
            </c:plus>
            <c:minus>
              <c:numRef>
                <c:f>'Wind Tunnel Test'!$BB$23:$BB$38</c:f>
                <c:numCache>
                  <c:formatCode>General</c:formatCode>
                  <c:ptCount val="16"/>
                  <c:pt idx="0">
                    <c:v>3.1309067903476356E-3</c:v>
                  </c:pt>
                  <c:pt idx="1">
                    <c:v>3.264609722485655E-3</c:v>
                  </c:pt>
                  <c:pt idx="2">
                    <c:v>-1.6348760401578427E-3</c:v>
                  </c:pt>
                  <c:pt idx="3">
                    <c:v>-1.5585376587622052E-3</c:v>
                  </c:pt>
                  <c:pt idx="4">
                    <c:v>-5.7574302393142559E-3</c:v>
                  </c:pt>
                  <c:pt idx="5">
                    <c:v>-5.9575420856389305E-3</c:v>
                  </c:pt>
                  <c:pt idx="6">
                    <c:v>-9.9872625013398865E-3</c:v>
                  </c:pt>
                  <c:pt idx="7">
                    <c:v>-9.9282322114860235E-3</c:v>
                  </c:pt>
                  <c:pt idx="8">
                    <c:v>-1.492898159781115E-2</c:v>
                  </c:pt>
                  <c:pt idx="9">
                    <c:v>-1.4273782696230803E-2</c:v>
                  </c:pt>
                  <c:pt idx="10">
                    <c:v>-1.8417649591072196E-2</c:v>
                  </c:pt>
                  <c:pt idx="11">
                    <c:v>-1.8577396305916656E-2</c:v>
                  </c:pt>
                  <c:pt idx="12">
                    <c:v>-2.0929726415911766E-2</c:v>
                  </c:pt>
                  <c:pt idx="13">
                    <c:v>-2.0728099524969245E-2</c:v>
                  </c:pt>
                  <c:pt idx="14">
                    <c:v>-2.320611384114132E-2</c:v>
                  </c:pt>
                  <c:pt idx="15">
                    <c:v>-2.3393058080481619E-2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Test'!$M$23:$M$38</c:f>
              <c:numCache>
                <c:formatCode>General</c:formatCode>
                <c:ptCount val="16"/>
                <c:pt idx="0">
                  <c:v>-2.0258822909407312</c:v>
                </c:pt>
                <c:pt idx="1">
                  <c:v>-2.0243661001538582</c:v>
                </c:pt>
                <c:pt idx="2">
                  <c:v>0.11100370853780418</c:v>
                </c:pt>
                <c:pt idx="3">
                  <c:v>0.10983566155090897</c:v>
                </c:pt>
                <c:pt idx="4">
                  <c:v>2.2462231308341485</c:v>
                </c:pt>
                <c:pt idx="5">
                  <c:v>2.2460814303861834</c:v>
                </c:pt>
                <c:pt idx="6">
                  <c:v>4.381721142873535</c:v>
                </c:pt>
                <c:pt idx="7">
                  <c:v>4.3841655460093056</c:v>
                </c:pt>
                <c:pt idx="8">
                  <c:v>6.5134176637516266</c:v>
                </c:pt>
                <c:pt idx="9">
                  <c:v>6.5109272055603888</c:v>
                </c:pt>
                <c:pt idx="10">
                  <c:v>8.620290839738713</c:v>
                </c:pt>
                <c:pt idx="11">
                  <c:v>8.6209387579929437</c:v>
                </c:pt>
                <c:pt idx="12">
                  <c:v>10.70871173950162</c:v>
                </c:pt>
                <c:pt idx="13">
                  <c:v>10.707746437131144</c:v>
                </c:pt>
                <c:pt idx="14">
                  <c:v>12.782879792211608</c:v>
                </c:pt>
                <c:pt idx="15">
                  <c:v>12.782964438817853</c:v>
                </c:pt>
              </c:numCache>
            </c:numRef>
          </c:xVal>
          <c:yVal>
            <c:numRef>
              <c:f>'Wind Tunnel Test'!$AL$23:$AL$38</c:f>
              <c:numCache>
                <c:formatCode>General</c:formatCode>
                <c:ptCount val="16"/>
                <c:pt idx="0">
                  <c:v>2.6144201735816972E-2</c:v>
                </c:pt>
                <c:pt idx="1">
                  <c:v>2.203275509330262E-2</c:v>
                </c:pt>
                <c:pt idx="2">
                  <c:v>-1.3498709978205715E-2</c:v>
                </c:pt>
                <c:pt idx="3">
                  <c:v>-1.3009539688858044E-2</c:v>
                </c:pt>
                <c:pt idx="4">
                  <c:v>-4.2522935843404518E-2</c:v>
                </c:pt>
                <c:pt idx="5">
                  <c:v>-4.3691641187586283E-2</c:v>
                </c:pt>
                <c:pt idx="6">
                  <c:v>-7.2208057234770084E-2</c:v>
                </c:pt>
                <c:pt idx="7">
                  <c:v>-7.1947913098324559E-2</c:v>
                </c:pt>
                <c:pt idx="8">
                  <c:v>-0.1059467938627518</c:v>
                </c:pt>
                <c:pt idx="9">
                  <c:v>-0.10200659017823943</c:v>
                </c:pt>
                <c:pt idx="10">
                  <c:v>-0.13026572348079823</c:v>
                </c:pt>
                <c:pt idx="11">
                  <c:v>-0.13122845470250721</c:v>
                </c:pt>
                <c:pt idx="12">
                  <c:v>-0.1481858029264134</c:v>
                </c:pt>
                <c:pt idx="13">
                  <c:v>-0.1469657360368278</c:v>
                </c:pt>
                <c:pt idx="14">
                  <c:v>-0.16421296540622832</c:v>
                </c:pt>
                <c:pt idx="15">
                  <c:v>-0.16531586681126953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9-4364-9F8D-DF17512416D8}"/>
            </c:ext>
          </c:extLst>
        </c:ser>
        <c:ser>
          <c:idx val="1"/>
          <c:order val="2"/>
          <c:tx>
            <c:v>Tail on (i = +2)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Test'!$BB$42:$BB$71</c:f>
                <c:numCache>
                  <c:formatCode>General</c:formatCode>
                  <c:ptCount val="30"/>
                  <c:pt idx="0">
                    <c:v>2.4791714021279707E-2</c:v>
                  </c:pt>
                  <c:pt idx="1">
                    <c:v>2.4313203238643017E-2</c:v>
                  </c:pt>
                  <c:pt idx="2">
                    <c:v>1.8170644047779894E-2</c:v>
                  </c:pt>
                  <c:pt idx="3">
                    <c:v>1.87933287798983E-2</c:v>
                  </c:pt>
                  <c:pt idx="4">
                    <c:v>1.3407972542011861E-2</c:v>
                  </c:pt>
                  <c:pt idx="5">
                    <c:v>1.3329143593858872E-2</c:v>
                  </c:pt>
                  <c:pt idx="6">
                    <c:v>9.2096301850007022E-3</c:v>
                  </c:pt>
                  <c:pt idx="7">
                    <c:v>8.9669903914426259E-3</c:v>
                  </c:pt>
                  <c:pt idx="8">
                    <c:v>5.8943132955459792E-3</c:v>
                  </c:pt>
                  <c:pt idx="9">
                    <c:v>5.5416680353780334E-3</c:v>
                  </c:pt>
                  <c:pt idx="10">
                    <c:v>2.6631850741936605E-3</c:v>
                  </c:pt>
                  <c:pt idx="11">
                    <c:v>2.087231573081447E-3</c:v>
                  </c:pt>
                  <c:pt idx="12">
                    <c:v>1.5411339436444962E-4</c:v>
                  </c:pt>
                  <c:pt idx="13">
                    <c:v>-3.4443339755910549E-3</c:v>
                  </c:pt>
                  <c:pt idx="14">
                    <c:v>-4.5577284333765591E-3</c:v>
                  </c:pt>
                  <c:pt idx="15">
                    <c:v>-5.413094153487244E-3</c:v>
                  </c:pt>
                  <c:pt idx="16">
                    <c:v>-8.231137687293005E-3</c:v>
                  </c:pt>
                  <c:pt idx="17">
                    <c:v>-8.2830292711590058E-3</c:v>
                  </c:pt>
                  <c:pt idx="18">
                    <c:v>-8.9774622598670882E-3</c:v>
                  </c:pt>
                  <c:pt idx="19">
                    <c:v>-1.0306757841376791E-2</c:v>
                  </c:pt>
                  <c:pt idx="20">
                    <c:v>-1.1015156461373198E-2</c:v>
                  </c:pt>
                  <c:pt idx="21">
                    <c:v>-1.682068976231527E-2</c:v>
                  </c:pt>
                  <c:pt idx="22">
                    <c:v>-1.6569914422374613E-2</c:v>
                  </c:pt>
                  <c:pt idx="23">
                    <c:v>-1.739518664817442E-2</c:v>
                  </c:pt>
                  <c:pt idx="24">
                    <c:v>-2.0728651197405728E-2</c:v>
                  </c:pt>
                  <c:pt idx="25">
                    <c:v>-2.1326688796495043E-2</c:v>
                  </c:pt>
                  <c:pt idx="26">
                    <c:v>-3.6675188231822205E-2</c:v>
                  </c:pt>
                  <c:pt idx="27">
                    <c:v>-3.2743205774694778E-2</c:v>
                  </c:pt>
                  <c:pt idx="28">
                    <c:v>-4.8458658423222924E-2</c:v>
                  </c:pt>
                  <c:pt idx="29">
                    <c:v>-4.5497944257699194E-2</c:v>
                  </c:pt>
                </c:numCache>
              </c:numRef>
            </c:plus>
            <c:minus>
              <c:numRef>
                <c:f>'Wind Tunnel Test'!$BB$42:$BB$71</c:f>
                <c:numCache>
                  <c:formatCode>General</c:formatCode>
                  <c:ptCount val="30"/>
                  <c:pt idx="0">
                    <c:v>2.4791714021279707E-2</c:v>
                  </c:pt>
                  <c:pt idx="1">
                    <c:v>2.4313203238643017E-2</c:v>
                  </c:pt>
                  <c:pt idx="2">
                    <c:v>1.8170644047779894E-2</c:v>
                  </c:pt>
                  <c:pt idx="3">
                    <c:v>1.87933287798983E-2</c:v>
                  </c:pt>
                  <c:pt idx="4">
                    <c:v>1.3407972542011861E-2</c:v>
                  </c:pt>
                  <c:pt idx="5">
                    <c:v>1.3329143593858872E-2</c:v>
                  </c:pt>
                  <c:pt idx="6">
                    <c:v>9.2096301850007022E-3</c:v>
                  </c:pt>
                  <c:pt idx="7">
                    <c:v>8.9669903914426259E-3</c:v>
                  </c:pt>
                  <c:pt idx="8">
                    <c:v>5.8943132955459792E-3</c:v>
                  </c:pt>
                  <c:pt idx="9">
                    <c:v>5.5416680353780334E-3</c:v>
                  </c:pt>
                  <c:pt idx="10">
                    <c:v>2.6631850741936605E-3</c:v>
                  </c:pt>
                  <c:pt idx="11">
                    <c:v>2.087231573081447E-3</c:v>
                  </c:pt>
                  <c:pt idx="12">
                    <c:v>1.5411339436444962E-4</c:v>
                  </c:pt>
                  <c:pt idx="13">
                    <c:v>-3.4443339755910549E-3</c:v>
                  </c:pt>
                  <c:pt idx="14">
                    <c:v>-4.5577284333765591E-3</c:v>
                  </c:pt>
                  <c:pt idx="15">
                    <c:v>-5.413094153487244E-3</c:v>
                  </c:pt>
                  <c:pt idx="16">
                    <c:v>-8.231137687293005E-3</c:v>
                  </c:pt>
                  <c:pt idx="17">
                    <c:v>-8.2830292711590058E-3</c:v>
                  </c:pt>
                  <c:pt idx="18">
                    <c:v>-8.9774622598670882E-3</c:v>
                  </c:pt>
                  <c:pt idx="19">
                    <c:v>-1.0306757841376791E-2</c:v>
                  </c:pt>
                  <c:pt idx="20">
                    <c:v>-1.1015156461373198E-2</c:v>
                  </c:pt>
                  <c:pt idx="21">
                    <c:v>-1.682068976231527E-2</c:v>
                  </c:pt>
                  <c:pt idx="22">
                    <c:v>-1.6569914422374613E-2</c:v>
                  </c:pt>
                  <c:pt idx="23">
                    <c:v>-1.739518664817442E-2</c:v>
                  </c:pt>
                  <c:pt idx="24">
                    <c:v>-2.0728651197405728E-2</c:v>
                  </c:pt>
                  <c:pt idx="25">
                    <c:v>-2.1326688796495043E-2</c:v>
                  </c:pt>
                  <c:pt idx="26">
                    <c:v>-3.6675188231822205E-2</c:v>
                  </c:pt>
                  <c:pt idx="27">
                    <c:v>-3.2743205774694778E-2</c:v>
                  </c:pt>
                  <c:pt idx="28">
                    <c:v>-4.8458658423222924E-2</c:v>
                  </c:pt>
                  <c:pt idx="29">
                    <c:v>-4.5497944257699194E-2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Test'!$M$42:$M$71</c:f>
              <c:numCache>
                <c:formatCode>General</c:formatCode>
                <c:ptCount val="30"/>
                <c:pt idx="0">
                  <c:v>-2.0694002273147172</c:v>
                </c:pt>
                <c:pt idx="1">
                  <c:v>-2.0671459905496627</c:v>
                </c:pt>
                <c:pt idx="2">
                  <c:v>6.752091268495844E-2</c:v>
                </c:pt>
                <c:pt idx="3">
                  <c:v>6.9851154528830728E-2</c:v>
                </c:pt>
                <c:pt idx="4">
                  <c:v>2.2040873136141244</c:v>
                </c:pt>
                <c:pt idx="5">
                  <c:v>2.2048660571048533</c:v>
                </c:pt>
                <c:pt idx="6">
                  <c:v>4.3382558147972778</c:v>
                </c:pt>
                <c:pt idx="7">
                  <c:v>4.3414033955608682</c:v>
                </c:pt>
                <c:pt idx="8">
                  <c:v>6.4684911848407642</c:v>
                </c:pt>
                <c:pt idx="9">
                  <c:v>6.4682751296355097</c:v>
                </c:pt>
                <c:pt idx="10">
                  <c:v>8.5762288816518009</c:v>
                </c:pt>
                <c:pt idx="11">
                  <c:v>8.5760495177048206</c:v>
                </c:pt>
                <c:pt idx="12">
                  <c:v>10.634848843435192</c:v>
                </c:pt>
                <c:pt idx="13">
                  <c:v>10.671915326171616</c:v>
                </c:pt>
                <c:pt idx="14">
                  <c:v>11.703775958350874</c:v>
                </c:pt>
                <c:pt idx="15">
                  <c:v>11.715208509964139</c:v>
                </c:pt>
                <c:pt idx="16">
                  <c:v>12.752214559475618</c:v>
                </c:pt>
                <c:pt idx="17">
                  <c:v>12.754010889369798</c:v>
                </c:pt>
                <c:pt idx="18">
                  <c:v>13.774446303430645</c:v>
                </c:pt>
                <c:pt idx="19">
                  <c:v>13.781905148741441</c:v>
                </c:pt>
                <c:pt idx="20">
                  <c:v>14.782065631010326</c:v>
                </c:pt>
                <c:pt idx="21">
                  <c:v>14.755064385640127</c:v>
                </c:pt>
                <c:pt idx="22">
                  <c:v>15.764794220415554</c:v>
                </c:pt>
                <c:pt idx="23">
                  <c:v>15.766940383121444</c:v>
                </c:pt>
                <c:pt idx="24">
                  <c:v>16.74176574614237</c:v>
                </c:pt>
                <c:pt idx="25">
                  <c:v>16.742751767215267</c:v>
                </c:pt>
                <c:pt idx="26">
                  <c:v>17.62811535739749</c:v>
                </c:pt>
                <c:pt idx="27">
                  <c:v>17.643122796716572</c:v>
                </c:pt>
                <c:pt idx="28">
                  <c:v>18.575228593445807</c:v>
                </c:pt>
                <c:pt idx="29">
                  <c:v>18.570697951823533</c:v>
                </c:pt>
              </c:numCache>
            </c:numRef>
          </c:xVal>
          <c:yVal>
            <c:numRef>
              <c:f>'Wind Tunnel Test'!$AL$42:$AL$71</c:f>
              <c:numCache>
                <c:formatCode>General</c:formatCode>
                <c:ptCount val="30"/>
                <c:pt idx="0">
                  <c:v>0.14829448069788811</c:v>
                </c:pt>
                <c:pt idx="1">
                  <c:v>0.14534372693788319</c:v>
                </c:pt>
                <c:pt idx="2">
                  <c:v>0.10411987879764889</c:v>
                </c:pt>
                <c:pt idx="3">
                  <c:v>0.10769889832795047</c:v>
                </c:pt>
                <c:pt idx="4">
                  <c:v>7.1555610499984851E-2</c:v>
                </c:pt>
                <c:pt idx="5">
                  <c:v>7.1066640831659519E-2</c:v>
                </c:pt>
                <c:pt idx="6">
                  <c:v>4.2179448993592203E-2</c:v>
                </c:pt>
                <c:pt idx="7">
                  <c:v>4.0642027842689596E-2</c:v>
                </c:pt>
                <c:pt idx="8">
                  <c:v>1.8092691215668533E-2</c:v>
                </c:pt>
                <c:pt idx="9">
                  <c:v>1.6026198330007239E-2</c:v>
                </c:pt>
                <c:pt idx="10">
                  <c:v>-4.718021556320097E-3</c:v>
                </c:pt>
                <c:pt idx="11">
                  <c:v>-8.0994008932433349E-3</c:v>
                </c:pt>
                <c:pt idx="12">
                  <c:v>-2.1550133799065452E-2</c:v>
                </c:pt>
                <c:pt idx="13">
                  <c:v>-4.4030068065514613E-2</c:v>
                </c:pt>
                <c:pt idx="14">
                  <c:v>-5.1707833108248197E-2</c:v>
                </c:pt>
                <c:pt idx="15">
                  <c:v>-5.7144604803251245E-2</c:v>
                </c:pt>
                <c:pt idx="16">
                  <c:v>-7.5034014178560773E-2</c:v>
                </c:pt>
                <c:pt idx="17">
                  <c:v>-7.5402687356003348E-2</c:v>
                </c:pt>
                <c:pt idx="18">
                  <c:v>-8.0212286690360499E-2</c:v>
                </c:pt>
                <c:pt idx="19">
                  <c:v>-8.8297558520029046E-2</c:v>
                </c:pt>
                <c:pt idx="20">
                  <c:v>-9.2472168903930008E-2</c:v>
                </c:pt>
                <c:pt idx="21">
                  <c:v>-0.12567495304617282</c:v>
                </c:pt>
                <c:pt idx="22">
                  <c:v>-0.1245472270002404</c:v>
                </c:pt>
                <c:pt idx="23">
                  <c:v>-0.12947880161658687</c:v>
                </c:pt>
                <c:pt idx="24">
                  <c:v>-0.14820404673210014</c:v>
                </c:pt>
                <c:pt idx="25">
                  <c:v>-0.15175765587654086</c:v>
                </c:pt>
                <c:pt idx="26">
                  <c:v>-0.23799169627279829</c:v>
                </c:pt>
                <c:pt idx="27">
                  <c:v>-0.21539498808169041</c:v>
                </c:pt>
                <c:pt idx="28">
                  <c:v>-0.30542516515985652</c:v>
                </c:pt>
                <c:pt idx="29">
                  <c:v>-0.28785053303577596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9-4364-9F8D-DF175124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0" i="0" u="none" strike="noStrike" kern="1200" baseline="0">
                    <a:solidFill>
                      <a:sysClr val="windowText" lastClr="000000"/>
                    </a:solidFill>
                  </a:rPr>
                  <a:t>Angle of Attack (True)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03730910984561"/>
          <c:y val="0.63685372001402929"/>
          <c:w val="0.21275206608164601"/>
          <c:h val="0.18463312952437244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</a:t>
            </a:r>
            <a:r>
              <a:rPr lang="en-GB" baseline="0"/>
              <a:t> vs Cl NOT CORRECTED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4EA72E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168658121675786E-2"/>
                  <c:y val="-3.8682702697259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Test'!$BB$4:$BB$19</c:f>
                <c:numCache>
                  <c:formatCode>General</c:formatCode>
                  <c:ptCount val="16"/>
                  <c:pt idx="0">
                    <c:v>-5.5959611690577843E-3</c:v>
                  </c:pt>
                  <c:pt idx="1">
                    <c:v>-5.3382535852022038E-3</c:v>
                  </c:pt>
                  <c:pt idx="2">
                    <c:v>-4.2302629606316309E-3</c:v>
                  </c:pt>
                  <c:pt idx="3">
                    <c:v>-4.2816906106721234E-3</c:v>
                  </c:pt>
                  <c:pt idx="4">
                    <c:v>-1.0292577965983181E-3</c:v>
                  </c:pt>
                  <c:pt idx="5">
                    <c:v>-8.6100416393548689E-4</c:v>
                  </c:pt>
                  <c:pt idx="6">
                    <c:v>2.946774622227128E-3</c:v>
                  </c:pt>
                  <c:pt idx="7">
                    <c:v>3.469110131592225E-3</c:v>
                  </c:pt>
                  <c:pt idx="8">
                    <c:v>7.0204798531612123E-3</c:v>
                  </c:pt>
                  <c:pt idx="9">
                    <c:v>7.1054545281513297E-3</c:v>
                  </c:pt>
                  <c:pt idx="10">
                    <c:v>1.1863803740661335E-2</c:v>
                  </c:pt>
                  <c:pt idx="11">
                    <c:v>1.1848136411937668E-2</c:v>
                  </c:pt>
                  <c:pt idx="12">
                    <c:v>1.5591507622267744E-2</c:v>
                  </c:pt>
                  <c:pt idx="13">
                    <c:v>1.5955000613081069E-2</c:v>
                  </c:pt>
                  <c:pt idx="14">
                    <c:v>1.9281160897968407E-2</c:v>
                  </c:pt>
                  <c:pt idx="15">
                    <c:v>1.9916480040917079E-2</c:v>
                  </c:pt>
                </c:numCache>
              </c:numRef>
            </c:plus>
            <c:minus>
              <c:numRef>
                <c:f>'Wind Tunnel Test'!$BB$4:$BB$19</c:f>
                <c:numCache>
                  <c:formatCode>General</c:formatCode>
                  <c:ptCount val="16"/>
                  <c:pt idx="0">
                    <c:v>-5.5959611690577843E-3</c:v>
                  </c:pt>
                  <c:pt idx="1">
                    <c:v>-5.3382535852022038E-3</c:v>
                  </c:pt>
                  <c:pt idx="2">
                    <c:v>-4.2302629606316309E-3</c:v>
                  </c:pt>
                  <c:pt idx="3">
                    <c:v>-4.2816906106721234E-3</c:v>
                  </c:pt>
                  <c:pt idx="4">
                    <c:v>-1.0292577965983181E-3</c:v>
                  </c:pt>
                  <c:pt idx="5">
                    <c:v>-8.6100416393548689E-4</c:v>
                  </c:pt>
                  <c:pt idx="6">
                    <c:v>2.946774622227128E-3</c:v>
                  </c:pt>
                  <c:pt idx="7">
                    <c:v>3.469110131592225E-3</c:v>
                  </c:pt>
                  <c:pt idx="8">
                    <c:v>7.0204798531612123E-3</c:v>
                  </c:pt>
                  <c:pt idx="9">
                    <c:v>7.1054545281513297E-3</c:v>
                  </c:pt>
                  <c:pt idx="10">
                    <c:v>1.1863803740661335E-2</c:v>
                  </c:pt>
                  <c:pt idx="11">
                    <c:v>1.1848136411937668E-2</c:v>
                  </c:pt>
                  <c:pt idx="12">
                    <c:v>1.5591507622267744E-2</c:v>
                  </c:pt>
                  <c:pt idx="13">
                    <c:v>1.5955000613081069E-2</c:v>
                  </c:pt>
                  <c:pt idx="14">
                    <c:v>1.9281160897968407E-2</c:v>
                  </c:pt>
                  <c:pt idx="15">
                    <c:v>1.9916480040917079E-2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plus>
            <c:min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Test'!$AU$4:$AU$19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xVal>
          <c:yVal>
            <c:numRef>
              <c:f>'Wind Tunnel Test'!$AT$4:$AT$19</c:f>
              <c:numCache>
                <c:formatCode>General</c:formatCode>
                <c:ptCount val="16"/>
                <c:pt idx="0">
                  <c:v>-3.6099471213817638E-2</c:v>
                </c:pt>
                <c:pt idx="1">
                  <c:v>-3.9879215759141502E-2</c:v>
                </c:pt>
                <c:pt idx="2">
                  <c:v>-2.0680982497417066E-2</c:v>
                </c:pt>
                <c:pt idx="3">
                  <c:v>-2.1071525341421472E-2</c:v>
                </c:pt>
                <c:pt idx="4">
                  <c:v>2.1442308318773487E-3</c:v>
                </c:pt>
                <c:pt idx="5">
                  <c:v>3.1044173681596954E-3</c:v>
                </c:pt>
                <c:pt idx="6">
                  <c:v>2.9562636661058583E-2</c:v>
                </c:pt>
                <c:pt idx="7">
                  <c:v>3.2654148863963409E-2</c:v>
                </c:pt>
                <c:pt idx="8">
                  <c:v>5.7463067642246013E-2</c:v>
                </c:pt>
                <c:pt idx="9">
                  <c:v>5.795233509796241E-2</c:v>
                </c:pt>
                <c:pt idx="10">
                  <c:v>8.9092776094984824E-2</c:v>
                </c:pt>
                <c:pt idx="11">
                  <c:v>8.902065572598826E-2</c:v>
                </c:pt>
                <c:pt idx="12">
                  <c:v>0.11370665227684811</c:v>
                </c:pt>
                <c:pt idx="13">
                  <c:v>0.11586100257581441</c:v>
                </c:pt>
                <c:pt idx="14">
                  <c:v>0.13768690549848006</c:v>
                </c:pt>
                <c:pt idx="15">
                  <c:v>0.14134178309963177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9-467F-A346-D25FC23B708F}"/>
            </c:ext>
          </c:extLst>
        </c:ser>
        <c:ser>
          <c:idx val="0"/>
          <c:order val="1"/>
          <c:tx>
            <c:v>Tail On (i = +1)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92391204336621"/>
                  <c:y val="-6.8485140300858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Test'!$BB$23:$BB$38</c:f>
                <c:numCache>
                  <c:formatCode>General</c:formatCode>
                  <c:ptCount val="16"/>
                  <c:pt idx="0">
                    <c:v>3.1309067903476356E-3</c:v>
                  </c:pt>
                  <c:pt idx="1">
                    <c:v>3.264609722485655E-3</c:v>
                  </c:pt>
                  <c:pt idx="2">
                    <c:v>-1.6348760401578427E-3</c:v>
                  </c:pt>
                  <c:pt idx="3">
                    <c:v>-1.5585376587622052E-3</c:v>
                  </c:pt>
                  <c:pt idx="4">
                    <c:v>-5.7574302393142559E-3</c:v>
                  </c:pt>
                  <c:pt idx="5">
                    <c:v>-5.9575420856389305E-3</c:v>
                  </c:pt>
                  <c:pt idx="6">
                    <c:v>-9.9872625013398865E-3</c:v>
                  </c:pt>
                  <c:pt idx="7">
                    <c:v>-9.9282322114860235E-3</c:v>
                  </c:pt>
                  <c:pt idx="8">
                    <c:v>-1.492898159781115E-2</c:v>
                  </c:pt>
                  <c:pt idx="9">
                    <c:v>-1.4273782696230803E-2</c:v>
                  </c:pt>
                  <c:pt idx="10">
                    <c:v>-1.8417649591072196E-2</c:v>
                  </c:pt>
                  <c:pt idx="11">
                    <c:v>-1.8577396305916656E-2</c:v>
                  </c:pt>
                  <c:pt idx="12">
                    <c:v>-2.0929726415911766E-2</c:v>
                  </c:pt>
                  <c:pt idx="13">
                    <c:v>-2.0728099524969245E-2</c:v>
                  </c:pt>
                  <c:pt idx="14">
                    <c:v>-2.320611384114132E-2</c:v>
                  </c:pt>
                  <c:pt idx="15">
                    <c:v>-2.3393058080481619E-2</c:v>
                  </c:pt>
                </c:numCache>
              </c:numRef>
            </c:plus>
            <c:minus>
              <c:numRef>
                <c:f>'Wind Tunnel Test'!$BB$23:$BB$38</c:f>
                <c:numCache>
                  <c:formatCode>General</c:formatCode>
                  <c:ptCount val="16"/>
                  <c:pt idx="0">
                    <c:v>3.1309067903476356E-3</c:v>
                  </c:pt>
                  <c:pt idx="1">
                    <c:v>3.264609722485655E-3</c:v>
                  </c:pt>
                  <c:pt idx="2">
                    <c:v>-1.6348760401578427E-3</c:v>
                  </c:pt>
                  <c:pt idx="3">
                    <c:v>-1.5585376587622052E-3</c:v>
                  </c:pt>
                  <c:pt idx="4">
                    <c:v>-5.7574302393142559E-3</c:v>
                  </c:pt>
                  <c:pt idx="5">
                    <c:v>-5.9575420856389305E-3</c:v>
                  </c:pt>
                  <c:pt idx="6">
                    <c:v>-9.9872625013398865E-3</c:v>
                  </c:pt>
                  <c:pt idx="7">
                    <c:v>-9.9282322114860235E-3</c:v>
                  </c:pt>
                  <c:pt idx="8">
                    <c:v>-1.492898159781115E-2</c:v>
                  </c:pt>
                  <c:pt idx="9">
                    <c:v>-1.4273782696230803E-2</c:v>
                  </c:pt>
                  <c:pt idx="10">
                    <c:v>-1.8417649591072196E-2</c:v>
                  </c:pt>
                  <c:pt idx="11">
                    <c:v>-1.8577396305916656E-2</c:v>
                  </c:pt>
                  <c:pt idx="12">
                    <c:v>-2.0929726415911766E-2</c:v>
                  </c:pt>
                  <c:pt idx="13">
                    <c:v>-2.0728099524969245E-2</c:v>
                  </c:pt>
                  <c:pt idx="14">
                    <c:v>-2.320611384114132E-2</c:v>
                  </c:pt>
                  <c:pt idx="15">
                    <c:v>-2.3393058080481619E-2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plus>
            <c:min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Test'!$AU$23:$AU$38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xVal>
          <c:yVal>
            <c:numRef>
              <c:f>'Wind Tunnel Test'!$AT$23:$AT$38</c:f>
              <c:numCache>
                <c:formatCode>General</c:formatCode>
                <c:ptCount val="16"/>
                <c:pt idx="0">
                  <c:v>2.5228658993135856E-2</c:v>
                </c:pt>
                <c:pt idx="1">
                  <c:v>2.1170845063221037E-2</c:v>
                </c:pt>
                <c:pt idx="2">
                  <c:v>-9.5721394904850314E-3</c:v>
                </c:pt>
                <c:pt idx="3">
                  <c:v>-9.1242869092340393E-3</c:v>
                </c:pt>
                <c:pt idx="4">
                  <c:v>-3.3813204505029532E-2</c:v>
                </c:pt>
                <c:pt idx="5">
                  <c:v>-3.4986922265502658E-2</c:v>
                </c:pt>
                <c:pt idx="6">
                  <c:v>-5.8705310399642746E-2</c:v>
                </c:pt>
                <c:pt idx="7">
                  <c:v>-5.8358699591592816E-2</c:v>
                </c:pt>
                <c:pt idx="8">
                  <c:v>-8.7785502921061617E-2</c:v>
                </c:pt>
                <c:pt idx="9">
                  <c:v>-8.3933395028693764E-2</c:v>
                </c:pt>
                <c:pt idx="10">
                  <c:v>-0.10832397273026345</c:v>
                </c:pt>
                <c:pt idx="11">
                  <c:v>-0.10926378492765305</c:v>
                </c:pt>
                <c:pt idx="12">
                  <c:v>-0.12311631076903633</c:v>
                </c:pt>
                <c:pt idx="13">
                  <c:v>-0.12193038983591981</c:v>
                </c:pt>
                <c:pt idx="14">
                  <c:v>-0.13651990246244308</c:v>
                </c:pt>
                <c:pt idx="15">
                  <c:v>-0.13761980963539652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9-467F-A346-D25FC23B708F}"/>
            </c:ext>
          </c:extLst>
        </c:ser>
        <c:ser>
          <c:idx val="1"/>
          <c:order val="2"/>
          <c:tx>
            <c:v>Tail On (i = -2)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758961416900974E-2"/>
                  <c:y val="-0.14649594517132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Test'!$BB$42:$BB$62</c:f>
                <c:numCache>
                  <c:formatCode>General</c:formatCode>
                  <c:ptCount val="21"/>
                  <c:pt idx="0">
                    <c:v>2.4791714021279707E-2</c:v>
                  </c:pt>
                  <c:pt idx="1">
                    <c:v>2.4313203238643017E-2</c:v>
                  </c:pt>
                  <c:pt idx="2">
                    <c:v>1.8170644047779894E-2</c:v>
                  </c:pt>
                  <c:pt idx="3">
                    <c:v>1.87933287798983E-2</c:v>
                  </c:pt>
                  <c:pt idx="4">
                    <c:v>1.3407972542011861E-2</c:v>
                  </c:pt>
                  <c:pt idx="5">
                    <c:v>1.3329143593858872E-2</c:v>
                  </c:pt>
                  <c:pt idx="6">
                    <c:v>9.2096301850007022E-3</c:v>
                  </c:pt>
                  <c:pt idx="7">
                    <c:v>8.9669903914426259E-3</c:v>
                  </c:pt>
                  <c:pt idx="8">
                    <c:v>5.8943132955459792E-3</c:v>
                  </c:pt>
                  <c:pt idx="9">
                    <c:v>5.5416680353780334E-3</c:v>
                  </c:pt>
                  <c:pt idx="10">
                    <c:v>2.6631850741936605E-3</c:v>
                  </c:pt>
                  <c:pt idx="11">
                    <c:v>2.087231573081447E-3</c:v>
                  </c:pt>
                  <c:pt idx="12">
                    <c:v>1.5411339436444962E-4</c:v>
                  </c:pt>
                  <c:pt idx="13">
                    <c:v>-3.4443339755910549E-3</c:v>
                  </c:pt>
                  <c:pt idx="14">
                    <c:v>-4.5577284333765591E-3</c:v>
                  </c:pt>
                  <c:pt idx="15">
                    <c:v>-5.413094153487244E-3</c:v>
                  </c:pt>
                  <c:pt idx="16">
                    <c:v>-8.231137687293005E-3</c:v>
                  </c:pt>
                  <c:pt idx="17">
                    <c:v>-8.2830292711590058E-3</c:v>
                  </c:pt>
                  <c:pt idx="18">
                    <c:v>-8.9774622598670882E-3</c:v>
                  </c:pt>
                  <c:pt idx="19">
                    <c:v>-1.0306757841376791E-2</c:v>
                  </c:pt>
                  <c:pt idx="20">
                    <c:v>-1.1015156461373198E-2</c:v>
                  </c:pt>
                </c:numCache>
              </c:numRef>
            </c:plus>
            <c:minus>
              <c:numRef>
                <c:f>'Wind Tunnel Test'!$BB$42:$BB$62</c:f>
                <c:numCache>
                  <c:formatCode>General</c:formatCode>
                  <c:ptCount val="21"/>
                  <c:pt idx="0">
                    <c:v>2.4791714021279707E-2</c:v>
                  </c:pt>
                  <c:pt idx="1">
                    <c:v>2.4313203238643017E-2</c:v>
                  </c:pt>
                  <c:pt idx="2">
                    <c:v>1.8170644047779894E-2</c:v>
                  </c:pt>
                  <c:pt idx="3">
                    <c:v>1.87933287798983E-2</c:v>
                  </c:pt>
                  <c:pt idx="4">
                    <c:v>1.3407972542011861E-2</c:v>
                  </c:pt>
                  <c:pt idx="5">
                    <c:v>1.3329143593858872E-2</c:v>
                  </c:pt>
                  <c:pt idx="6">
                    <c:v>9.2096301850007022E-3</c:v>
                  </c:pt>
                  <c:pt idx="7">
                    <c:v>8.9669903914426259E-3</c:v>
                  </c:pt>
                  <c:pt idx="8">
                    <c:v>5.8943132955459792E-3</c:v>
                  </c:pt>
                  <c:pt idx="9">
                    <c:v>5.5416680353780334E-3</c:v>
                  </c:pt>
                  <c:pt idx="10">
                    <c:v>2.6631850741936605E-3</c:v>
                  </c:pt>
                  <c:pt idx="11">
                    <c:v>2.087231573081447E-3</c:v>
                  </c:pt>
                  <c:pt idx="12">
                    <c:v>1.5411339436444962E-4</c:v>
                  </c:pt>
                  <c:pt idx="13">
                    <c:v>-3.4443339755910549E-3</c:v>
                  </c:pt>
                  <c:pt idx="14">
                    <c:v>-4.5577284333765591E-3</c:v>
                  </c:pt>
                  <c:pt idx="15">
                    <c:v>-5.413094153487244E-3</c:v>
                  </c:pt>
                  <c:pt idx="16">
                    <c:v>-8.231137687293005E-3</c:v>
                  </c:pt>
                  <c:pt idx="17">
                    <c:v>-8.2830292711590058E-3</c:v>
                  </c:pt>
                  <c:pt idx="18">
                    <c:v>-8.9774622598670882E-3</c:v>
                  </c:pt>
                  <c:pt idx="19">
                    <c:v>-1.0306757841376791E-2</c:v>
                  </c:pt>
                  <c:pt idx="20">
                    <c:v>-1.1015156461373198E-2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plus>
            <c:min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Test'!$AU$42:$AU$62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xVal>
          <c:yVal>
            <c:numRef>
              <c:f>'Wind Tunnel Test'!$AT$42:$AT$62</c:f>
              <c:numCache>
                <c:formatCode>General</c:formatCode>
                <c:ptCount val="21"/>
                <c:pt idx="0">
                  <c:v>0.14583956375858359</c:v>
                </c:pt>
                <c:pt idx="1">
                  <c:v>0.14296854985295465</c:v>
                </c:pt>
                <c:pt idx="2">
                  <c:v>0.10650831812589377</c:v>
                </c:pt>
                <c:pt idx="3">
                  <c:v>0.11016976606308308</c:v>
                </c:pt>
                <c:pt idx="4">
                  <c:v>7.8774857794614642E-2</c:v>
                </c:pt>
                <c:pt idx="5">
                  <c:v>7.83134348744879E-2</c:v>
                </c:pt>
                <c:pt idx="6">
                  <c:v>5.4144682562618132E-2</c:v>
                </c:pt>
                <c:pt idx="7">
                  <c:v>5.2718601815534755E-2</c:v>
                </c:pt>
                <c:pt idx="8">
                  <c:v>3.466478312489106E-2</c:v>
                </c:pt>
                <c:pt idx="9">
                  <c:v>3.259064764778985E-2</c:v>
                </c:pt>
                <c:pt idx="10">
                  <c:v>1.5665111139608629E-2</c:v>
                </c:pt>
                <c:pt idx="11">
                  <c:v>1.2277387103124855E-2</c:v>
                </c:pt>
                <c:pt idx="12">
                  <c:v>9.0658197766266355E-4</c:v>
                </c:pt>
                <c:pt idx="13">
                  <c:v>-2.0262187471740016E-2</c:v>
                </c:pt>
                <c:pt idx="14">
                  <c:v>-2.6812935951845945E-2</c:v>
                </c:pt>
                <c:pt idx="15">
                  <c:v>-3.1845300259426446E-2</c:v>
                </c:pt>
                <c:pt idx="16">
                  <c:v>-4.8425682541921186E-2</c:v>
                </c:pt>
                <c:pt idx="17">
                  <c:v>-4.8730813554497238E-2</c:v>
                </c:pt>
                <c:pt idx="18">
                  <c:v>-5.2817544303537342E-2</c:v>
                </c:pt>
                <c:pt idx="19">
                  <c:v>-6.0638971958487463E-2</c:v>
                </c:pt>
                <c:pt idx="20">
                  <c:v>-6.4807905550602715E-2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9-467F-A346-D25FC23B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  <c:majorUnit val="0.2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>
            <c:manualLayout>
              <c:xMode val="edge"/>
              <c:yMode val="edge"/>
              <c:x val="1.2976928951891797E-2"/>
              <c:y val="0.43271603065537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4180495677055734E-2"/>
          <c:y val="0.75438528158843887"/>
          <c:w val="0.23858066634440869"/>
          <c:h val="0.22839346827246945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Cd</a:t>
            </a:r>
            <a:r>
              <a:rPr lang="en-GB" baseline="0"/>
              <a:t> vs Cl^2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4EA72E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726104503607995E-2"/>
                  <c:y val="0.1609535787788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Test'!$AO$4:$AO$19</c:f>
              <c:numCache>
                <c:formatCode>General</c:formatCode>
                <c:ptCount val="16"/>
                <c:pt idx="0">
                  <c:v>2.4445777439859999E-8</c:v>
                </c:pt>
                <c:pt idx="1">
                  <c:v>4.4144454473159977E-8</c:v>
                </c:pt>
                <c:pt idx="2">
                  <c:v>1.9270640115803331E-2</c:v>
                </c:pt>
                <c:pt idx="3">
                  <c:v>1.8367650946362571E-2</c:v>
                </c:pt>
                <c:pt idx="4">
                  <c:v>7.7805608928751699E-2</c:v>
                </c:pt>
                <c:pt idx="5">
                  <c:v>7.7272399193206762E-2</c:v>
                </c:pt>
                <c:pt idx="6">
                  <c:v>0.17378994022293498</c:v>
                </c:pt>
                <c:pt idx="7">
                  <c:v>0.17438414941000299</c:v>
                </c:pt>
                <c:pt idx="8">
                  <c:v>0.30354290032847614</c:v>
                </c:pt>
                <c:pt idx="9">
                  <c:v>0.30315558157016648</c:v>
                </c:pt>
                <c:pt idx="10">
                  <c:v>0.43244098805677111</c:v>
                </c:pt>
                <c:pt idx="11">
                  <c:v>0.43335413801210121</c:v>
                </c:pt>
                <c:pt idx="12">
                  <c:v>0.56054153169823717</c:v>
                </c:pt>
                <c:pt idx="13">
                  <c:v>0.56134530254893333</c:v>
                </c:pt>
                <c:pt idx="14">
                  <c:v>0.68192617947479872</c:v>
                </c:pt>
                <c:pt idx="15">
                  <c:v>0.67723250461067008</c:v>
                </c:pt>
              </c:numCache>
            </c:numRef>
          </c:xVal>
          <c:yVal>
            <c:numRef>
              <c:f>'Wind Tunnel Test'!$AN$4:$AN$19</c:f>
              <c:numCache>
                <c:formatCode>General</c:formatCode>
                <c:ptCount val="16"/>
                <c:pt idx="0">
                  <c:v>6.8105913277845695E-2</c:v>
                </c:pt>
                <c:pt idx="1">
                  <c:v>6.5543281529057112E-2</c:v>
                </c:pt>
                <c:pt idx="2">
                  <c:v>6.5483720680458921E-2</c:v>
                </c:pt>
                <c:pt idx="3">
                  <c:v>6.4010762976521737E-2</c:v>
                </c:pt>
                <c:pt idx="4">
                  <c:v>6.9345370366792058E-2</c:v>
                </c:pt>
                <c:pt idx="5">
                  <c:v>6.8538761547839555E-2</c:v>
                </c:pt>
                <c:pt idx="6">
                  <c:v>7.650856491353783E-2</c:v>
                </c:pt>
                <c:pt idx="7">
                  <c:v>7.4500363225000671E-2</c:v>
                </c:pt>
                <c:pt idx="8">
                  <c:v>8.6689623955364309E-2</c:v>
                </c:pt>
                <c:pt idx="9">
                  <c:v>8.5777814581130332E-2</c:v>
                </c:pt>
                <c:pt idx="10">
                  <c:v>9.9767037904554309E-2</c:v>
                </c:pt>
                <c:pt idx="11">
                  <c:v>9.8079789700537365E-2</c:v>
                </c:pt>
                <c:pt idx="12">
                  <c:v>0.1166970957568616</c:v>
                </c:pt>
                <c:pt idx="13">
                  <c:v>0.11678421748708408</c:v>
                </c:pt>
                <c:pt idx="14">
                  <c:v>0.13535965913895737</c:v>
                </c:pt>
                <c:pt idx="15">
                  <c:v>0.13671236850854887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E-4CE7-B0B7-0C480C9EFE71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2253987982103"/>
                  <c:y val="-9.9748837563838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Test'!$AO$23:$AO$38</c:f>
              <c:numCache>
                <c:formatCode>General</c:formatCode>
                <c:ptCount val="16"/>
                <c:pt idx="0">
                  <c:v>9.7240961582329961E-4</c:v>
                </c:pt>
                <c:pt idx="1">
                  <c:v>8.6181860459841732E-4</c:v>
                </c:pt>
                <c:pt idx="2">
                  <c:v>1.7886229219256474E-2</c:v>
                </c:pt>
                <c:pt idx="3">
                  <c:v>1.7511790605785782E-2</c:v>
                </c:pt>
                <c:pt idx="4">
                  <c:v>8.8003817909377571E-2</c:v>
                </c:pt>
                <c:pt idx="5">
                  <c:v>8.7902555350428235E-2</c:v>
                </c:pt>
                <c:pt idx="6">
                  <c:v>0.21151260112741718</c:v>
                </c:pt>
                <c:pt idx="7">
                  <c:v>0.21423017381423703</c:v>
                </c:pt>
                <c:pt idx="8">
                  <c:v>0.38263564733949595</c:v>
                </c:pt>
                <c:pt idx="9">
                  <c:v>0.37893251470713907</c:v>
                </c:pt>
                <c:pt idx="10">
                  <c:v>0.55851462601793789</c:v>
                </c:pt>
                <c:pt idx="11">
                  <c:v>0.55968201651592353</c:v>
                </c:pt>
                <c:pt idx="12">
                  <c:v>0.72909323516825686</c:v>
                </c:pt>
                <c:pt idx="13">
                  <c:v>0.72710846170972421</c:v>
                </c:pt>
                <c:pt idx="14">
                  <c:v>0.88968031507227519</c:v>
                </c:pt>
                <c:pt idx="15">
                  <c:v>0.88987271367884224</c:v>
                </c:pt>
              </c:numCache>
            </c:numRef>
          </c:xVal>
          <c:yVal>
            <c:numRef>
              <c:f>'Wind Tunnel Test'!$AN$23:$AN$38</c:f>
              <c:numCache>
                <c:formatCode>General</c:formatCode>
                <c:ptCount val="16"/>
                <c:pt idx="0">
                  <c:v>6.9146262323847962E-2</c:v>
                </c:pt>
                <c:pt idx="1">
                  <c:v>6.8970769493236342E-2</c:v>
                </c:pt>
                <c:pt idx="2">
                  <c:v>7.0189901465742888E-2</c:v>
                </c:pt>
                <c:pt idx="3">
                  <c:v>6.9342280354427965E-2</c:v>
                </c:pt>
                <c:pt idx="4">
                  <c:v>7.2698418171225285E-2</c:v>
                </c:pt>
                <c:pt idx="5">
                  <c:v>7.0535251867755097E-2</c:v>
                </c:pt>
                <c:pt idx="6">
                  <c:v>8.0840519819041029E-2</c:v>
                </c:pt>
                <c:pt idx="7">
                  <c:v>8.0713632785310616E-2</c:v>
                </c:pt>
                <c:pt idx="8">
                  <c:v>9.0257433346576835E-2</c:v>
                </c:pt>
                <c:pt idx="9">
                  <c:v>9.0918432785353151E-2</c:v>
                </c:pt>
                <c:pt idx="10">
                  <c:v>0.10914791285808664</c:v>
                </c:pt>
                <c:pt idx="11">
                  <c:v>0.11016273568736761</c:v>
                </c:pt>
                <c:pt idx="12">
                  <c:v>0.13044395134272829</c:v>
                </c:pt>
                <c:pt idx="13">
                  <c:v>0.13054413087232056</c:v>
                </c:pt>
                <c:pt idx="14">
                  <c:v>0.15350218520731898</c:v>
                </c:pt>
                <c:pt idx="15">
                  <c:v>0.15446621688266063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E-4CE7-B0B7-0C480C9EFE71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lgDashDot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048516882440842E-2"/>
                  <c:y val="-0.12352895452778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Test'!$AO$42:$AO$62</c:f>
              <c:numCache>
                <c:formatCode>General</c:formatCode>
                <c:ptCount val="21"/>
                <c:pt idx="0">
                  <c:v>6.9914233580119804E-3</c:v>
                </c:pt>
                <c:pt idx="1">
                  <c:v>6.5446132194736896E-3</c:v>
                </c:pt>
                <c:pt idx="2">
                  <c:v>6.6179033964432893E-3</c:v>
                </c:pt>
                <c:pt idx="3">
                  <c:v>7.0825719103071415E-3</c:v>
                </c:pt>
                <c:pt idx="4">
                  <c:v>6.0461070660806922E-2</c:v>
                </c:pt>
                <c:pt idx="5">
                  <c:v>6.0923358039902641E-2</c:v>
                </c:pt>
                <c:pt idx="6">
                  <c:v>0.1660865092817104</c:v>
                </c:pt>
                <c:pt idx="7">
                  <c:v>0.16919186892218122</c:v>
                </c:pt>
                <c:pt idx="8">
                  <c:v>0.31860065361228485</c:v>
                </c:pt>
                <c:pt idx="9">
                  <c:v>0.31830686171455008</c:v>
                </c:pt>
                <c:pt idx="10">
                  <c:v>0.48198537385641765</c:v>
                </c:pt>
                <c:pt idx="11">
                  <c:v>0.4816853634024621</c:v>
                </c:pt>
                <c:pt idx="12">
                  <c:v>0.58503854552330037</c:v>
                </c:pt>
                <c:pt idx="13">
                  <c:v>0.65534940563842348</c:v>
                </c:pt>
                <c:pt idx="14">
                  <c:v>0.71897314494511866</c:v>
                </c:pt>
                <c:pt idx="15">
                  <c:v>0.74252171973453929</c:v>
                </c:pt>
                <c:pt idx="16">
                  <c:v>0.82134815428523311</c:v>
                </c:pt>
                <c:pt idx="17">
                  <c:v>0.82527568774602356</c:v>
                </c:pt>
                <c:pt idx="18">
                  <c:v>0.87061558556741248</c:v>
                </c:pt>
                <c:pt idx="19">
                  <c:v>0.88746648516239379</c:v>
                </c:pt>
                <c:pt idx="20">
                  <c:v>0.88783081899779293</c:v>
                </c:pt>
              </c:numCache>
            </c:numRef>
          </c:xVal>
          <c:yVal>
            <c:numRef>
              <c:f>'Wind Tunnel Test'!$AN$42:$AN$62</c:f>
              <c:numCache>
                <c:formatCode>General</c:formatCode>
                <c:ptCount val="21"/>
                <c:pt idx="0">
                  <c:v>7.6563835983897099E-2</c:v>
                </c:pt>
                <c:pt idx="1">
                  <c:v>7.3954394004364488E-2</c:v>
                </c:pt>
                <c:pt idx="2">
                  <c:v>7.1800529500979801E-2</c:v>
                </c:pt>
                <c:pt idx="3">
                  <c:v>7.214318532110385E-2</c:v>
                </c:pt>
                <c:pt idx="4">
                  <c:v>7.3097182930620785E-2</c:v>
                </c:pt>
                <c:pt idx="5">
                  <c:v>7.4716305488122775E-2</c:v>
                </c:pt>
                <c:pt idx="6">
                  <c:v>7.9126826660758778E-2</c:v>
                </c:pt>
                <c:pt idx="7">
                  <c:v>8.00657685971429E-2</c:v>
                </c:pt>
                <c:pt idx="8">
                  <c:v>8.9133631662455068E-2</c:v>
                </c:pt>
                <c:pt idx="9">
                  <c:v>8.8242083337748106E-2</c:v>
                </c:pt>
                <c:pt idx="10">
                  <c:v>0.10242386319905381</c:v>
                </c:pt>
                <c:pt idx="11">
                  <c:v>0.10635503612557737</c:v>
                </c:pt>
                <c:pt idx="12">
                  <c:v>0.10773009570781016</c:v>
                </c:pt>
                <c:pt idx="13">
                  <c:v>0.12455474593117523</c:v>
                </c:pt>
                <c:pt idx="14">
                  <c:v>0.13004102145173166</c:v>
                </c:pt>
                <c:pt idx="15">
                  <c:v>0.13483212917653103</c:v>
                </c:pt>
                <c:pt idx="16">
                  <c:v>0.14824086888771873</c:v>
                </c:pt>
                <c:pt idx="17">
                  <c:v>0.14629148791092308</c:v>
                </c:pt>
                <c:pt idx="18">
                  <c:v>0.1521235723895657</c:v>
                </c:pt>
                <c:pt idx="19">
                  <c:v>0.16165826129834426</c:v>
                </c:pt>
                <c:pt idx="20">
                  <c:v>0.16883126632555451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E-4CE7-B0B7-0C480C9EFE71}"/>
            </c:ext>
          </c:extLst>
        </c:ser>
        <c:ser>
          <c:idx val="3"/>
          <c:order val="3"/>
          <c:tx>
            <c:v>Tail on (i = -2) STALL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97132"/>
              </a:solidFill>
              <a:ln w="9525">
                <a:solidFill>
                  <a:srgbClr val="E97132"/>
                </a:solidFill>
              </a:ln>
              <a:effectLst/>
            </c:spPr>
          </c:marker>
          <c:xVal>
            <c:numRef>
              <c:f>'Wind Tunnel Test'!$AO$63:$AO$71</c:f>
              <c:numCache>
                <c:formatCode>General</c:formatCode>
                <c:ptCount val="9"/>
                <c:pt idx="0">
                  <c:v>0.82758343222833763</c:v>
                </c:pt>
                <c:pt idx="1">
                  <c:v>0.84904949859346091</c:v>
                </c:pt>
                <c:pt idx="2">
                  <c:v>0.85382138374577798</c:v>
                </c:pt>
                <c:pt idx="3">
                  <c:v>0.79868837588931296</c:v>
                </c:pt>
                <c:pt idx="4">
                  <c:v>0.80081316258005775</c:v>
                </c:pt>
                <c:pt idx="5">
                  <c:v>0.57269400812683513</c:v>
                </c:pt>
                <c:pt idx="6">
                  <c:v>0.6003874751873185</c:v>
                </c:pt>
                <c:pt idx="7">
                  <c:v>0.48031344856675939</c:v>
                </c:pt>
                <c:pt idx="8">
                  <c:v>0.4727771116498401</c:v>
                </c:pt>
              </c:numCache>
            </c:numRef>
          </c:xVal>
          <c:yVal>
            <c:numRef>
              <c:f>'Wind Tunnel Test'!$AN$63:$AN$71</c:f>
              <c:numCache>
                <c:formatCode>General</c:formatCode>
                <c:ptCount val="9"/>
                <c:pt idx="0">
                  <c:v>0.19774000141622883</c:v>
                </c:pt>
                <c:pt idx="1">
                  <c:v>0.21816900664516559</c:v>
                </c:pt>
                <c:pt idx="2">
                  <c:v>0.21983453020134458</c:v>
                </c:pt>
                <c:pt idx="3">
                  <c:v>0.25093781174427104</c:v>
                </c:pt>
                <c:pt idx="4">
                  <c:v>0.25246020007919795</c:v>
                </c:pt>
                <c:pt idx="5">
                  <c:v>0.27739560579959677</c:v>
                </c:pt>
                <c:pt idx="6">
                  <c:v>0.276415472413583</c:v>
                </c:pt>
                <c:pt idx="7">
                  <c:v>0.29930762139818251</c:v>
                </c:pt>
                <c:pt idx="8">
                  <c:v>0.2940818850042855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F-4C5A-8260-4B6FF9F8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0036800556358136"/>
          <c:y val="0.35083085601036668"/>
          <c:w val="0.29963212428101799"/>
          <c:h val="0.4291962039789618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</a:t>
            </a:r>
            <a:r>
              <a:rPr lang="en-GB" baseline="0"/>
              <a:t> vs Cd drag polar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'Wind Tunnel Test'!$AN$4:$AN$19</c:f>
              <c:numCache>
                <c:formatCode>General</c:formatCode>
                <c:ptCount val="16"/>
                <c:pt idx="0">
                  <c:v>6.8105913277845695E-2</c:v>
                </c:pt>
                <c:pt idx="1">
                  <c:v>6.5543281529057112E-2</c:v>
                </c:pt>
                <c:pt idx="2">
                  <c:v>6.5483720680458921E-2</c:v>
                </c:pt>
                <c:pt idx="3">
                  <c:v>6.4010762976521737E-2</c:v>
                </c:pt>
                <c:pt idx="4">
                  <c:v>6.9345370366792058E-2</c:v>
                </c:pt>
                <c:pt idx="5">
                  <c:v>6.8538761547839555E-2</c:v>
                </c:pt>
                <c:pt idx="6">
                  <c:v>7.650856491353783E-2</c:v>
                </c:pt>
                <c:pt idx="7">
                  <c:v>7.4500363225000671E-2</c:v>
                </c:pt>
                <c:pt idx="8">
                  <c:v>8.6689623955364309E-2</c:v>
                </c:pt>
                <c:pt idx="9">
                  <c:v>8.5777814581130332E-2</c:v>
                </c:pt>
                <c:pt idx="10">
                  <c:v>9.9767037904554309E-2</c:v>
                </c:pt>
                <c:pt idx="11">
                  <c:v>9.8079789700537365E-2</c:v>
                </c:pt>
                <c:pt idx="12">
                  <c:v>0.1166970957568616</c:v>
                </c:pt>
                <c:pt idx="13">
                  <c:v>0.11678421748708408</c:v>
                </c:pt>
                <c:pt idx="14">
                  <c:v>0.13535965913895737</c:v>
                </c:pt>
                <c:pt idx="15">
                  <c:v>0.13671236850854887</c:v>
                </c:pt>
              </c:numCache>
            </c:numRef>
          </c:xVal>
          <c:y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5-4ABB-AF14-7D8143B52266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Test'!$AN$23:$AN$38</c:f>
              <c:numCache>
                <c:formatCode>General</c:formatCode>
                <c:ptCount val="16"/>
                <c:pt idx="0">
                  <c:v>6.9146262323847962E-2</c:v>
                </c:pt>
                <c:pt idx="1">
                  <c:v>6.8970769493236342E-2</c:v>
                </c:pt>
                <c:pt idx="2">
                  <c:v>7.0189901465742888E-2</c:v>
                </c:pt>
                <c:pt idx="3">
                  <c:v>6.9342280354427965E-2</c:v>
                </c:pt>
                <c:pt idx="4">
                  <c:v>7.2698418171225285E-2</c:v>
                </c:pt>
                <c:pt idx="5">
                  <c:v>7.0535251867755097E-2</c:v>
                </c:pt>
                <c:pt idx="6">
                  <c:v>8.0840519819041029E-2</c:v>
                </c:pt>
                <c:pt idx="7">
                  <c:v>8.0713632785310616E-2</c:v>
                </c:pt>
                <c:pt idx="8">
                  <c:v>9.0257433346576835E-2</c:v>
                </c:pt>
                <c:pt idx="9">
                  <c:v>9.0918432785353151E-2</c:v>
                </c:pt>
                <c:pt idx="10">
                  <c:v>0.10914791285808664</c:v>
                </c:pt>
                <c:pt idx="11">
                  <c:v>0.11016273568736761</c:v>
                </c:pt>
                <c:pt idx="12">
                  <c:v>0.13044395134272829</c:v>
                </c:pt>
                <c:pt idx="13">
                  <c:v>0.13054413087232056</c:v>
                </c:pt>
                <c:pt idx="14">
                  <c:v>0.15350218520731898</c:v>
                </c:pt>
                <c:pt idx="15">
                  <c:v>0.15446621688266063</c:v>
                </c:pt>
              </c:numCache>
            </c:numRef>
          </c:xVal>
          <c:y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5-4ABB-AF14-7D8143B52266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Tunnel Test'!$AN$42:$AN$71</c:f>
              <c:numCache>
                <c:formatCode>General</c:formatCode>
                <c:ptCount val="30"/>
                <c:pt idx="0">
                  <c:v>7.6563835983897099E-2</c:v>
                </c:pt>
                <c:pt idx="1">
                  <c:v>7.3954394004364488E-2</c:v>
                </c:pt>
                <c:pt idx="2">
                  <c:v>7.1800529500979801E-2</c:v>
                </c:pt>
                <c:pt idx="3">
                  <c:v>7.214318532110385E-2</c:v>
                </c:pt>
                <c:pt idx="4">
                  <c:v>7.3097182930620785E-2</c:v>
                </c:pt>
                <c:pt idx="5">
                  <c:v>7.4716305488122775E-2</c:v>
                </c:pt>
                <c:pt idx="6">
                  <c:v>7.9126826660758778E-2</c:v>
                </c:pt>
                <c:pt idx="7">
                  <c:v>8.00657685971429E-2</c:v>
                </c:pt>
                <c:pt idx="8">
                  <c:v>8.9133631662455068E-2</c:v>
                </c:pt>
                <c:pt idx="9">
                  <c:v>8.8242083337748106E-2</c:v>
                </c:pt>
                <c:pt idx="10">
                  <c:v>0.10242386319905381</c:v>
                </c:pt>
                <c:pt idx="11">
                  <c:v>0.10635503612557737</c:v>
                </c:pt>
                <c:pt idx="12">
                  <c:v>0.10773009570781016</c:v>
                </c:pt>
                <c:pt idx="13">
                  <c:v>0.12455474593117523</c:v>
                </c:pt>
                <c:pt idx="14">
                  <c:v>0.13004102145173166</c:v>
                </c:pt>
                <c:pt idx="15">
                  <c:v>0.13483212917653103</c:v>
                </c:pt>
                <c:pt idx="16">
                  <c:v>0.14824086888771873</c:v>
                </c:pt>
                <c:pt idx="17">
                  <c:v>0.14629148791092308</c:v>
                </c:pt>
                <c:pt idx="18">
                  <c:v>0.1521235723895657</c:v>
                </c:pt>
                <c:pt idx="19">
                  <c:v>0.16165826129834426</c:v>
                </c:pt>
                <c:pt idx="20">
                  <c:v>0.16883126632555451</c:v>
                </c:pt>
                <c:pt idx="21">
                  <c:v>0.19774000141622883</c:v>
                </c:pt>
                <c:pt idx="22">
                  <c:v>0.21816900664516559</c:v>
                </c:pt>
                <c:pt idx="23">
                  <c:v>0.21983453020134458</c:v>
                </c:pt>
                <c:pt idx="24">
                  <c:v>0.25093781174427104</c:v>
                </c:pt>
                <c:pt idx="25">
                  <c:v>0.25246020007919795</c:v>
                </c:pt>
                <c:pt idx="26">
                  <c:v>0.27739560579959677</c:v>
                </c:pt>
                <c:pt idx="27">
                  <c:v>0.276415472413583</c:v>
                </c:pt>
                <c:pt idx="28">
                  <c:v>0.29930762139818251</c:v>
                </c:pt>
                <c:pt idx="29">
                  <c:v>0.2940818850042855</c:v>
                </c:pt>
              </c:numCache>
            </c:numRef>
          </c:xVal>
          <c:yVal>
            <c:numRef>
              <c:f>'Wind Tunnel Test'!$AM$42:$AM$71</c:f>
              <c:numCache>
                <c:formatCode>General</c:formatCode>
                <c:ptCount val="30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  <c:pt idx="21">
                  <c:v>0.90971612727726092</c:v>
                </c:pt>
                <c:pt idx="22">
                  <c:v>0.92143881977777609</c:v>
                </c:pt>
                <c:pt idx="23">
                  <c:v>0.92402455797764271</c:v>
                </c:pt>
                <c:pt idx="24">
                  <c:v>0.89369367005104883</c:v>
                </c:pt>
                <c:pt idx="25">
                  <c:v>0.89488164724730934</c:v>
                </c:pt>
                <c:pt idx="26">
                  <c:v>0.7567654908403495</c:v>
                </c:pt>
                <c:pt idx="27">
                  <c:v>0.77484674303201306</c:v>
                </c:pt>
                <c:pt idx="28">
                  <c:v>0.69304649812747732</c:v>
                </c:pt>
                <c:pt idx="29">
                  <c:v>0.68758789376329199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5-4ABB-AF14-7D8143B5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  <c:majorUnit val="0.1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081608310757992"/>
          <c:y val="0.42463023252750509"/>
          <c:w val="0.21451756109253323"/>
          <c:h val="0.19528404952658412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</a:t>
            </a:r>
            <a:r>
              <a:rPr lang="en-GB" baseline="0"/>
              <a:t> vs Cd drag polar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xVal>
          <c:yVal>
            <c:numRef>
              <c:f>'Wind Tunnel Test'!$AN$4:$AN$19</c:f>
              <c:numCache>
                <c:formatCode>General</c:formatCode>
                <c:ptCount val="16"/>
                <c:pt idx="0">
                  <c:v>6.8105913277845695E-2</c:v>
                </c:pt>
                <c:pt idx="1">
                  <c:v>6.5543281529057112E-2</c:v>
                </c:pt>
                <c:pt idx="2">
                  <c:v>6.5483720680458921E-2</c:v>
                </c:pt>
                <c:pt idx="3">
                  <c:v>6.4010762976521737E-2</c:v>
                </c:pt>
                <c:pt idx="4">
                  <c:v>6.9345370366792058E-2</c:v>
                </c:pt>
                <c:pt idx="5">
                  <c:v>6.8538761547839555E-2</c:v>
                </c:pt>
                <c:pt idx="6">
                  <c:v>7.650856491353783E-2</c:v>
                </c:pt>
                <c:pt idx="7">
                  <c:v>7.4500363225000671E-2</c:v>
                </c:pt>
                <c:pt idx="8">
                  <c:v>8.6689623955364309E-2</c:v>
                </c:pt>
                <c:pt idx="9">
                  <c:v>8.5777814581130332E-2</c:v>
                </c:pt>
                <c:pt idx="10">
                  <c:v>9.9767037904554309E-2</c:v>
                </c:pt>
                <c:pt idx="11">
                  <c:v>9.8079789700537365E-2</c:v>
                </c:pt>
                <c:pt idx="12">
                  <c:v>0.1166970957568616</c:v>
                </c:pt>
                <c:pt idx="13">
                  <c:v>0.11678421748708408</c:v>
                </c:pt>
                <c:pt idx="14">
                  <c:v>0.13535965913895737</c:v>
                </c:pt>
                <c:pt idx="15">
                  <c:v>0.13671236850854887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7-4520-A8B9-E7271D198FF2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xVal>
          <c:yVal>
            <c:numRef>
              <c:f>'Wind Tunnel Test'!$AN$23:$AN$38</c:f>
              <c:numCache>
                <c:formatCode>General</c:formatCode>
                <c:ptCount val="16"/>
                <c:pt idx="0">
                  <c:v>6.9146262323847962E-2</c:v>
                </c:pt>
                <c:pt idx="1">
                  <c:v>6.8970769493236342E-2</c:v>
                </c:pt>
                <c:pt idx="2">
                  <c:v>7.0189901465742888E-2</c:v>
                </c:pt>
                <c:pt idx="3">
                  <c:v>6.9342280354427965E-2</c:v>
                </c:pt>
                <c:pt idx="4">
                  <c:v>7.2698418171225285E-2</c:v>
                </c:pt>
                <c:pt idx="5">
                  <c:v>7.0535251867755097E-2</c:v>
                </c:pt>
                <c:pt idx="6">
                  <c:v>8.0840519819041029E-2</c:v>
                </c:pt>
                <c:pt idx="7">
                  <c:v>8.0713632785310616E-2</c:v>
                </c:pt>
                <c:pt idx="8">
                  <c:v>9.0257433346576835E-2</c:v>
                </c:pt>
                <c:pt idx="9">
                  <c:v>9.0918432785353151E-2</c:v>
                </c:pt>
                <c:pt idx="10">
                  <c:v>0.10914791285808664</c:v>
                </c:pt>
                <c:pt idx="11">
                  <c:v>0.11016273568736761</c:v>
                </c:pt>
                <c:pt idx="12">
                  <c:v>0.13044395134272829</c:v>
                </c:pt>
                <c:pt idx="13">
                  <c:v>0.13054413087232056</c:v>
                </c:pt>
                <c:pt idx="14">
                  <c:v>0.15350218520731898</c:v>
                </c:pt>
                <c:pt idx="15">
                  <c:v>0.15446621688266063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7-4520-A8B9-E7271D198FF2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Tunnel Test'!$AM$42:$AM$71</c:f>
              <c:numCache>
                <c:formatCode>General</c:formatCode>
                <c:ptCount val="30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  <c:pt idx="21">
                  <c:v>0.90971612727726092</c:v>
                </c:pt>
                <c:pt idx="22">
                  <c:v>0.92143881977777609</c:v>
                </c:pt>
                <c:pt idx="23">
                  <c:v>0.92402455797764271</c:v>
                </c:pt>
                <c:pt idx="24">
                  <c:v>0.89369367005104883</c:v>
                </c:pt>
                <c:pt idx="25">
                  <c:v>0.89488164724730934</c:v>
                </c:pt>
                <c:pt idx="26">
                  <c:v>0.7567654908403495</c:v>
                </c:pt>
                <c:pt idx="27">
                  <c:v>0.77484674303201306</c:v>
                </c:pt>
                <c:pt idx="28">
                  <c:v>0.69304649812747732</c:v>
                </c:pt>
                <c:pt idx="29">
                  <c:v>0.68758789376329199</c:v>
                </c:pt>
              </c:numCache>
            </c:numRef>
          </c:xVal>
          <c:yVal>
            <c:numRef>
              <c:f>'Wind Tunnel Test'!$AN$42:$AN$71</c:f>
              <c:numCache>
                <c:formatCode>General</c:formatCode>
                <c:ptCount val="30"/>
                <c:pt idx="0">
                  <c:v>7.6563835983897099E-2</c:v>
                </c:pt>
                <c:pt idx="1">
                  <c:v>7.3954394004364488E-2</c:v>
                </c:pt>
                <c:pt idx="2">
                  <c:v>7.1800529500979801E-2</c:v>
                </c:pt>
                <c:pt idx="3">
                  <c:v>7.214318532110385E-2</c:v>
                </c:pt>
                <c:pt idx="4">
                  <c:v>7.3097182930620785E-2</c:v>
                </c:pt>
                <c:pt idx="5">
                  <c:v>7.4716305488122775E-2</c:v>
                </c:pt>
                <c:pt idx="6">
                  <c:v>7.9126826660758778E-2</c:v>
                </c:pt>
                <c:pt idx="7">
                  <c:v>8.00657685971429E-2</c:v>
                </c:pt>
                <c:pt idx="8">
                  <c:v>8.9133631662455068E-2</c:v>
                </c:pt>
                <c:pt idx="9">
                  <c:v>8.8242083337748106E-2</c:v>
                </c:pt>
                <c:pt idx="10">
                  <c:v>0.10242386319905381</c:v>
                </c:pt>
                <c:pt idx="11">
                  <c:v>0.10635503612557737</c:v>
                </c:pt>
                <c:pt idx="12">
                  <c:v>0.10773009570781016</c:v>
                </c:pt>
                <c:pt idx="13">
                  <c:v>0.12455474593117523</c:v>
                </c:pt>
                <c:pt idx="14">
                  <c:v>0.13004102145173166</c:v>
                </c:pt>
                <c:pt idx="15">
                  <c:v>0.13483212917653103</c:v>
                </c:pt>
                <c:pt idx="16">
                  <c:v>0.14824086888771873</c:v>
                </c:pt>
                <c:pt idx="17">
                  <c:v>0.14629148791092308</c:v>
                </c:pt>
                <c:pt idx="18">
                  <c:v>0.1521235723895657</c:v>
                </c:pt>
                <c:pt idx="19">
                  <c:v>0.16165826129834426</c:v>
                </c:pt>
                <c:pt idx="20">
                  <c:v>0.16883126632555451</c:v>
                </c:pt>
                <c:pt idx="21">
                  <c:v>0.19774000141622883</c:v>
                </c:pt>
                <c:pt idx="22">
                  <c:v>0.21816900664516559</c:v>
                </c:pt>
                <c:pt idx="23">
                  <c:v>0.21983453020134458</c:v>
                </c:pt>
                <c:pt idx="24">
                  <c:v>0.25093781174427104</c:v>
                </c:pt>
                <c:pt idx="25">
                  <c:v>0.25246020007919795</c:v>
                </c:pt>
                <c:pt idx="26">
                  <c:v>0.27739560579959677</c:v>
                </c:pt>
                <c:pt idx="27">
                  <c:v>0.276415472413583</c:v>
                </c:pt>
                <c:pt idx="28">
                  <c:v>0.29930762139818251</c:v>
                </c:pt>
                <c:pt idx="29">
                  <c:v>0.2940818850042855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97-4520-A8B9-E7271D19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366608769717665"/>
          <c:y val="0.62188812511776759"/>
          <c:w val="0.21451756109253323"/>
          <c:h val="0.19528404952658412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0346511607233504E-2"/>
          <c:y val="0.14007634841497776"/>
          <c:w val="0.86394800124820204"/>
          <c:h val="0.73097177762767618"/>
        </c:manualLayout>
      </c:layout>
      <c:scatterChart>
        <c:scatterStyle val="lineMarker"/>
        <c:varyColors val="0"/>
        <c:ser>
          <c:idx val="2"/>
          <c:order val="0"/>
          <c:tx>
            <c:v>CG offset = -4 inches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5875">
                <a:solidFill>
                  <a:srgbClr val="4EA72E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4EA72E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899377663279123E-2"/>
                  <c:y val="-4.83527643202673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CG offset = -4 inch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-5.4703x + 1.3192</a:t>
                    </a:r>
                    <a:br>
                      <a:rPr lang="en-US" baseline="0">
                        <a:solidFill>
                          <a:schemeClr val="accent6"/>
                        </a:solidFill>
                      </a:rPr>
                    </a:br>
                    <a:r>
                      <a:rPr lang="en-US" baseline="0">
                        <a:solidFill>
                          <a:schemeClr val="accent6"/>
                        </a:solidFill>
                      </a:rPr>
                      <a:t>R² = 0.9851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'Flight Sim Test'!$S$3:$S$7</c:f>
                <c:numCache>
                  <c:formatCode>General</c:formatCode>
                  <c:ptCount val="5"/>
                  <c:pt idx="0">
                    <c:v>5.4110592963831083E-3</c:v>
                  </c:pt>
                  <c:pt idx="1">
                    <c:v>7.5062280577359647E-3</c:v>
                  </c:pt>
                  <c:pt idx="2">
                    <c:v>1.0561120723312042E-2</c:v>
                  </c:pt>
                  <c:pt idx="3">
                    <c:v>1.5838355344527263E-2</c:v>
                  </c:pt>
                  <c:pt idx="4">
                    <c:v>2.4434263531612335E-2</c:v>
                  </c:pt>
                </c:numCache>
              </c:numRef>
            </c:plus>
            <c:minus>
              <c:numRef>
                <c:f>'Flight Sim Test'!$S$3:$S$7</c:f>
                <c:numCache>
                  <c:formatCode>General</c:formatCode>
                  <c:ptCount val="5"/>
                  <c:pt idx="0">
                    <c:v>5.4110592963831083E-3</c:v>
                  </c:pt>
                  <c:pt idx="1">
                    <c:v>7.5062280577359647E-3</c:v>
                  </c:pt>
                  <c:pt idx="2">
                    <c:v>1.0561120723312042E-2</c:v>
                  </c:pt>
                  <c:pt idx="3">
                    <c:v>1.5838355344527263E-2</c:v>
                  </c:pt>
                  <c:pt idx="4">
                    <c:v>2.4434263531612335E-2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'Flight Sim Test'!$Q$3:$Q$7</c:f>
              <c:numCache>
                <c:formatCode>General</c:formatCode>
                <c:ptCount val="5"/>
                <c:pt idx="0">
                  <c:v>0.12030054849659456</c:v>
                </c:pt>
                <c:pt idx="1">
                  <c:v>0.15090500803412826</c:v>
                </c:pt>
                <c:pt idx="2">
                  <c:v>0.19098915079319356</c:v>
                </c:pt>
                <c:pt idx="3">
                  <c:v>0.25233075808322575</c:v>
                </c:pt>
                <c:pt idx="4">
                  <c:v>0.33953626807678861</c:v>
                </c:pt>
              </c:numCache>
            </c:numRef>
          </c:xVal>
          <c:yVal>
            <c:numRef>
              <c:f>'Flight Sim Test'!$L$3:$L$7</c:f>
              <c:numCache>
                <c:formatCode>General</c:formatCode>
                <c:ptCount val="5"/>
                <c:pt idx="0">
                  <c:v>0.7</c:v>
                </c:pt>
                <c:pt idx="1">
                  <c:v>0.52</c:v>
                </c:pt>
                <c:pt idx="2">
                  <c:v>0.23</c:v>
                </c:pt>
                <c:pt idx="3">
                  <c:v>-0.14000000000000001</c:v>
                </c:pt>
                <c:pt idx="4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A-4E97-A164-2F0D1C9E385F}"/>
            </c:ext>
          </c:extLst>
        </c:ser>
        <c:ser>
          <c:idx val="0"/>
          <c:order val="1"/>
          <c:tx>
            <c:v>CG offset = 0 inches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42871374582759"/>
                  <c:y val="0.16955423017291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CG offset = 0 inch</a:t>
                    </a:r>
                  </a:p>
                  <a:p>
                    <a:pPr>
                      <a:defRPr>
                        <a:solidFill>
                          <a:srgbClr val="0070C0"/>
                        </a:solidFill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-5.0254x + 1.3188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0.9873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'Flight Sim Test'!$S$8:$S$12</c:f>
                <c:numCache>
                  <c:formatCode>General</c:formatCode>
                  <c:ptCount val="5"/>
                  <c:pt idx="0">
                    <c:v>8.2254300172743284E-3</c:v>
                  </c:pt>
                  <c:pt idx="1">
                    <c:v>1.0409258171143052E-2</c:v>
                  </c:pt>
                  <c:pt idx="2">
                    <c:v>1.411867765673417E-2</c:v>
                  </c:pt>
                  <c:pt idx="3">
                    <c:v>1.9163369338982592E-2</c:v>
                  </c:pt>
                  <c:pt idx="4">
                    <c:v>2.2623639892564169E-2</c:v>
                  </c:pt>
                </c:numCache>
              </c:numRef>
            </c:plus>
            <c:minus>
              <c:numRef>
                <c:f>'Flight Sim Test'!$S$8:$S$12</c:f>
                <c:numCache>
                  <c:formatCode>General</c:formatCode>
                  <c:ptCount val="5"/>
                  <c:pt idx="0">
                    <c:v>8.2254300172743284E-3</c:v>
                  </c:pt>
                  <c:pt idx="1">
                    <c:v>1.0409258171143052E-2</c:v>
                  </c:pt>
                  <c:pt idx="2">
                    <c:v>1.411867765673417E-2</c:v>
                  </c:pt>
                  <c:pt idx="3">
                    <c:v>1.9163369338982592E-2</c:v>
                  </c:pt>
                  <c:pt idx="4">
                    <c:v>2.2623639892564169E-2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'Flight Sim Test'!$Q$8:$Q$12</c:f>
              <c:numCache>
                <c:formatCode>General</c:formatCode>
                <c:ptCount val="5"/>
                <c:pt idx="0">
                  <c:v>0.16075174715360119</c:v>
                </c:pt>
                <c:pt idx="1">
                  <c:v>0.18909348857027658</c:v>
                </c:pt>
                <c:pt idx="2">
                  <c:v>0.23319086815810697</c:v>
                </c:pt>
                <c:pt idx="3">
                  <c:v>0.28753682982903916</c:v>
                </c:pt>
                <c:pt idx="4">
                  <c:v>0.32212708853633587</c:v>
                </c:pt>
              </c:numCache>
            </c:numRef>
          </c:xVal>
          <c:yVal>
            <c:numRef>
              <c:f>'Flight Sim Test'!$L$8:$L$12</c:f>
              <c:numCache>
                <c:formatCode>General</c:formatCode>
                <c:ptCount val="5"/>
                <c:pt idx="0">
                  <c:v>0.52</c:v>
                </c:pt>
                <c:pt idx="1">
                  <c:v>0.33</c:v>
                </c:pt>
                <c:pt idx="2">
                  <c:v>0.17</c:v>
                </c:pt>
                <c:pt idx="3">
                  <c:v>-0.08</c:v>
                </c:pt>
                <c:pt idx="4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A-4E97-A164-2F0D1C9E385F}"/>
            </c:ext>
          </c:extLst>
        </c:ser>
        <c:ser>
          <c:idx val="1"/>
          <c:order val="2"/>
          <c:tx>
            <c:v>CG offset = +4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38896559484636E-2"/>
                  <c:y val="-0.224340130949068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CG offset = +4 inch</a:t>
                    </a:r>
                  </a:p>
                  <a:p>
                    <a:pPr>
                      <a:defRPr>
                        <a:solidFill>
                          <a:schemeClr val="accent2"/>
                        </a:solidFill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-3.1573x + 0.9560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0.9972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'Flight Sim Test'!$S$13:$S$18</c:f>
                <c:numCache>
                  <c:formatCode>General</c:formatCode>
                  <c:ptCount val="6"/>
                  <c:pt idx="0">
                    <c:v>4.6814102951560016E-3</c:v>
                  </c:pt>
                  <c:pt idx="1">
                    <c:v>8.0442313051886899E-2</c:v>
                  </c:pt>
                  <c:pt idx="2">
                    <c:v>1.0561120723312042E-2</c:v>
                  </c:pt>
                  <c:pt idx="3">
                    <c:v>1.5575939844262433E-2</c:v>
                  </c:pt>
                  <c:pt idx="4">
                    <c:v>4.1704435832596087E-2</c:v>
                  </c:pt>
                  <c:pt idx="5">
                    <c:v>5.5367866978432668E-3</c:v>
                  </c:pt>
                </c:numCache>
              </c:numRef>
            </c:plus>
            <c:minus>
              <c:numRef>
                <c:f>'Flight Sim Test'!$S$13:$S$18</c:f>
                <c:numCache>
                  <c:formatCode>General</c:formatCode>
                  <c:ptCount val="6"/>
                  <c:pt idx="0">
                    <c:v>4.6814102951560016E-3</c:v>
                  </c:pt>
                  <c:pt idx="1">
                    <c:v>8.0442313051886899E-2</c:v>
                  </c:pt>
                  <c:pt idx="2">
                    <c:v>1.0561120723312042E-2</c:v>
                  </c:pt>
                  <c:pt idx="3">
                    <c:v>1.5575939844262433E-2</c:v>
                  </c:pt>
                  <c:pt idx="4">
                    <c:v>4.1704435832596087E-2</c:v>
                  </c:pt>
                  <c:pt idx="5">
                    <c:v>5.5367866978432668E-3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'Flight Sim Test'!$Q$13:$Q$17</c:f>
              <c:numCache>
                <c:formatCode>General</c:formatCode>
                <c:ptCount val="5"/>
                <c:pt idx="0">
                  <c:v>0.10878698514386249</c:v>
                </c:pt>
                <c:pt idx="1">
                  <c:v>0.76395660317277425</c:v>
                </c:pt>
                <c:pt idx="2">
                  <c:v>0.19098915079319356</c:v>
                </c:pt>
                <c:pt idx="3">
                  <c:v>0.24945521736253853</c:v>
                </c:pt>
                <c:pt idx="4">
                  <c:v>0.48893222603057535</c:v>
                </c:pt>
              </c:numCache>
            </c:numRef>
          </c:xVal>
          <c:yVal>
            <c:numRef>
              <c:f>'Flight Sim Test'!$L$13:$L$17</c:f>
              <c:numCache>
                <c:formatCode>General</c:formatCode>
                <c:ptCount val="5"/>
                <c:pt idx="0">
                  <c:v>0.64</c:v>
                </c:pt>
                <c:pt idx="1">
                  <c:v>-1.47</c:v>
                </c:pt>
                <c:pt idx="2">
                  <c:v>0.36</c:v>
                </c:pt>
                <c:pt idx="3">
                  <c:v>0.1</c:v>
                </c:pt>
                <c:pt idx="4">
                  <c:v>-0.54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E-462F-975B-35A4981A44A1}"/>
            </c:ext>
          </c:extLst>
        </c:ser>
        <c:ser>
          <c:idx val="3"/>
          <c:order val="3"/>
          <c:tx>
            <c:v>CG offset = +4 inches (Outlier)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97132"/>
              </a:solidFill>
              <a:ln w="9525">
                <a:solidFill>
                  <a:srgbClr val="E9713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'Flight Sim Test'!$S$18</c:f>
                <c:numCache>
                  <c:formatCode>General</c:formatCode>
                  <c:ptCount val="1"/>
                  <c:pt idx="0">
                    <c:v>5.5367866978432668E-3</c:v>
                  </c:pt>
                </c:numCache>
              </c:numRef>
            </c:plus>
            <c:minus>
              <c:numRef>
                <c:f>'Flight Sim Test'!$S$18</c:f>
                <c:numCache>
                  <c:formatCode>General</c:formatCode>
                  <c:ptCount val="1"/>
                  <c:pt idx="0">
                    <c:v>5.5367866978432668E-3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'Flight Sim Test'!$Q$18</c:f>
              <c:numCache>
                <c:formatCode>General</c:formatCode>
                <c:ptCount val="1"/>
                <c:pt idx="0">
                  <c:v>0.12223305650764384</c:v>
                </c:pt>
              </c:numCache>
            </c:numRef>
          </c:xVal>
          <c:yVal>
            <c:numRef>
              <c:f>'Flight Sim Test'!$L$18</c:f>
              <c:numCache>
                <c:formatCode>General</c:formatCode>
                <c:ptCount val="1"/>
                <c:pt idx="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22-42F7-AEF2-51B163CA5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>
                    <a:effectLst/>
                  </a:rPr>
                  <a:t>Lift Coefficient, </a:t>
                </a:r>
                <a:r>
                  <a:rPr lang="en-GB" sz="1800" b="0" i="0" u="none" strike="noStrike" baseline="0">
                    <a:effectLst/>
                  </a:rPr>
                  <a:t>C</a:t>
                </a:r>
                <a:r>
                  <a:rPr lang="en-GB" sz="1800" b="0" i="0" u="none" strike="noStrike" baseline="-25000">
                    <a:effectLst/>
                  </a:rPr>
                  <a:t>L</a:t>
                </a:r>
                <a:endParaRPr lang="en-GB" sz="18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22933601324248"/>
              <c:y val="0.917637661155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0"/>
        <c:majorTickMark val="cross"/>
        <c:minorTickMark val="none"/>
        <c:tickLblPos val="low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  <c:max val="1"/>
          <c:min val="-1.5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>
                    <a:effectLst/>
                  </a:rPr>
                  <a:t>Tailplane Deflection, </a:t>
                </a:r>
                <a:r>
                  <a:rPr lang="en-GB" sz="1800" b="0" i="0" u="none" strike="noStrike" baseline="0">
                    <a:effectLst/>
                  </a:rPr>
                  <a:t>i</a:t>
                </a:r>
                <a:r>
                  <a:rPr lang="en-GB" sz="1800" b="0" i="0" u="none" strike="noStrike" baseline="-25000">
                    <a:effectLst/>
                  </a:rPr>
                  <a:t>H </a:t>
                </a:r>
                <a:r>
                  <a:rPr lang="en-GB" sz="1800" b="0" i="0">
                    <a:effectLst/>
                  </a:rPr>
                  <a:t>, (°)</a:t>
                </a:r>
              </a:p>
            </c:rich>
          </c:tx>
          <c:layout>
            <c:manualLayout>
              <c:xMode val="edge"/>
              <c:yMode val="edge"/>
              <c:x val="2.1843849881565833E-2"/>
              <c:y val="0.28165321973164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22225">
          <a:solidFill>
            <a:sysClr val="windowText" lastClr="000000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0.75766490768683026"/>
          <c:y val="0.1677950372157663"/>
          <c:w val="0.17557731510378002"/>
          <c:h val="0.31209607956598029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L/D</a:t>
            </a:r>
            <a:r>
              <a:rPr lang="en-GB" baseline="0"/>
              <a:t> vs Cl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9.7654834067479143E-2"/>
          <c:y val="0.10715312864360667"/>
          <c:w val="0.83762630281089134"/>
          <c:h val="0.83980805996661556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xVal>
          <c:yVal>
            <c:numRef>
              <c:f>'Wind Tunnel Test'!$AS$4:$AS$19</c:f>
              <c:numCache>
                <c:formatCode>General</c:formatCode>
                <c:ptCount val="16"/>
                <c:pt idx="0">
                  <c:v>-2.2957104213816044E-3</c:v>
                </c:pt>
                <c:pt idx="1">
                  <c:v>3.2056041812663343E-3</c:v>
                </c:pt>
                <c:pt idx="2">
                  <c:v>2.1198968186175065</c:v>
                </c:pt>
                <c:pt idx="3">
                  <c:v>2.117258109598291</c:v>
                </c:pt>
                <c:pt idx="4">
                  <c:v>4.0224252384108201</c:v>
                </c:pt>
                <c:pt idx="5">
                  <c:v>4.0557945340537254</c:v>
                </c:pt>
                <c:pt idx="6">
                  <c:v>5.4488174865027421</c:v>
                </c:pt>
                <c:pt idx="7">
                  <c:v>5.6052516284295875</c:v>
                </c:pt>
                <c:pt idx="8">
                  <c:v>6.3554004541088585</c:v>
                </c:pt>
                <c:pt idx="9">
                  <c:v>6.4188585752413854</c:v>
                </c:pt>
                <c:pt idx="10">
                  <c:v>6.5913799610575374</c:v>
                </c:pt>
                <c:pt idx="11">
                  <c:v>6.711845454732015</c:v>
                </c:pt>
                <c:pt idx="12">
                  <c:v>6.4156970758649221</c:v>
                </c:pt>
                <c:pt idx="13">
                  <c:v>6.4155056424171866</c:v>
                </c:pt>
                <c:pt idx="14">
                  <c:v>6.1006966354449794</c:v>
                </c:pt>
                <c:pt idx="15">
                  <c:v>6.019509300558104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9-495E-A01E-9872B01805F7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xVal>
          <c:yVal>
            <c:numRef>
              <c:f>'Wind Tunnel Test'!$AS$23:$AS$38</c:f>
              <c:numCache>
                <c:formatCode>General</c:formatCode>
                <c:ptCount val="16"/>
                <c:pt idx="0">
                  <c:v>-0.45097857806216307</c:v>
                </c:pt>
                <c:pt idx="1">
                  <c:v>-0.42564041823836757</c:v>
                </c:pt>
                <c:pt idx="2">
                  <c:v>1.9053938684063521</c:v>
                </c:pt>
                <c:pt idx="3">
                  <c:v>1.9083901145752047</c:v>
                </c:pt>
                <c:pt idx="4">
                  <c:v>4.0806166346050246</c:v>
                </c:pt>
                <c:pt idx="5">
                  <c:v>4.2033400777183179</c:v>
                </c:pt>
                <c:pt idx="6">
                  <c:v>5.6890405015131087</c:v>
                </c:pt>
                <c:pt idx="7">
                  <c:v>5.7344718538939832</c:v>
                </c:pt>
                <c:pt idx="8">
                  <c:v>6.8534576661479676</c:v>
                </c:pt>
                <c:pt idx="9">
                  <c:v>6.7706286569148659</c:v>
                </c:pt>
                <c:pt idx="10">
                  <c:v>6.8470238373010694</c:v>
                </c:pt>
                <c:pt idx="11">
                  <c:v>6.7910349254285478</c:v>
                </c:pt>
                <c:pt idx="12">
                  <c:v>6.5458732035887701</c:v>
                </c:pt>
                <c:pt idx="13">
                  <c:v>6.5319409234445756</c:v>
                </c:pt>
                <c:pt idx="14">
                  <c:v>6.1447246763378134</c:v>
                </c:pt>
                <c:pt idx="15">
                  <c:v>6.1070353648573592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9-495E-A01E-9872B01805F7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Test'!$BE$42:$BE$71</c:f>
                <c:numCache>
                  <c:formatCode>General</c:formatCode>
                  <c:ptCount val="30"/>
                  <c:pt idx="0">
                    <c:v>-0.13537412864341411</c:v>
                  </c:pt>
                  <c:pt idx="1">
                    <c:v>-0.13298118378505788</c:v>
                  </c:pt>
                  <c:pt idx="2">
                    <c:v>0.10293732777465552</c:v>
                  </c:pt>
                  <c:pt idx="3">
                    <c:v>0.10961598697015174</c:v>
                  </c:pt>
                  <c:pt idx="4">
                    <c:v>0.22551238230016576</c:v>
                  </c:pt>
                  <c:pt idx="5">
                    <c:v>0.22016525289432454</c:v>
                  </c:pt>
                  <c:pt idx="6">
                    <c:v>0.23716774562566187</c:v>
                  </c:pt>
                  <c:pt idx="7">
                    <c:v>0.23033480928100747</c:v>
                  </c:pt>
                  <c:pt idx="8">
                    <c:v>0.18663150128205352</c:v>
                  </c:pt>
                  <c:pt idx="9">
                    <c:v>0.17715677197571827</c:v>
                  </c:pt>
                  <c:pt idx="10">
                    <c:v>9.0258295931097132E-2</c:v>
                  </c:pt>
                  <c:pt idx="11">
                    <c:v>6.8102696108705674E-2</c:v>
                  </c:pt>
                  <c:pt idx="12">
                    <c:v>5.4709857670657801E-3</c:v>
                  </c:pt>
                  <c:pt idx="13">
                    <c:v>-0.11193127086172094</c:v>
                  </c:pt>
                  <c:pt idx="14">
                    <c:v>-0.14859165209385816</c:v>
                  </c:pt>
                  <c:pt idx="15">
                    <c:v>-0.17297238503282186</c:v>
                  </c:pt>
                  <c:pt idx="16">
                    <c:v>-0.25160864661694027</c:v>
                  </c:pt>
                  <c:pt idx="17">
                    <c:v>-0.25718146680696996</c:v>
                  </c:pt>
                  <c:pt idx="18">
                    <c:v>-0.27532160687346863</c:v>
                  </c:pt>
                  <c:pt idx="19">
                    <c:v>-0.30031024878525248</c:v>
                  </c:pt>
                  <c:pt idx="20">
                    <c:v>-0.30737808812744805</c:v>
                  </c:pt>
                  <c:pt idx="21">
                    <c:v>-0.38692355211670021</c:v>
                  </c:pt>
                  <c:pt idx="22">
                    <c:v>-0.34991593498897067</c:v>
                  </c:pt>
                  <c:pt idx="23">
                    <c:v>-0.36558359687161762</c:v>
                  </c:pt>
                  <c:pt idx="24">
                    <c:v>-0.36911663959786889</c:v>
                  </c:pt>
                  <c:pt idx="25">
                    <c:v>-0.37797764547741008</c:v>
                  </c:pt>
                  <c:pt idx="26">
                    <c:v>-0.50026958328907822</c:v>
                  </c:pt>
                  <c:pt idx="27">
                    <c:v>-0.4589281151560915</c:v>
                  </c:pt>
                  <c:pt idx="28">
                    <c:v>-0.5610298756724903</c:v>
                  </c:pt>
                  <c:pt idx="29">
                    <c:v>-0.53188987928064946</c:v>
                  </c:pt>
                </c:numCache>
              </c:numRef>
            </c:plus>
            <c:minus>
              <c:numRef>
                <c:f>'Wind Tunnel Test'!$BE$42:$BE$71</c:f>
                <c:numCache>
                  <c:formatCode>General</c:formatCode>
                  <c:ptCount val="30"/>
                  <c:pt idx="0">
                    <c:v>-0.13537412864341411</c:v>
                  </c:pt>
                  <c:pt idx="1">
                    <c:v>-0.13298118378505788</c:v>
                  </c:pt>
                  <c:pt idx="2">
                    <c:v>0.10293732777465552</c:v>
                  </c:pt>
                  <c:pt idx="3">
                    <c:v>0.10961598697015174</c:v>
                  </c:pt>
                  <c:pt idx="4">
                    <c:v>0.22551238230016576</c:v>
                  </c:pt>
                  <c:pt idx="5">
                    <c:v>0.22016525289432454</c:v>
                  </c:pt>
                  <c:pt idx="6">
                    <c:v>0.23716774562566187</c:v>
                  </c:pt>
                  <c:pt idx="7">
                    <c:v>0.23033480928100747</c:v>
                  </c:pt>
                  <c:pt idx="8">
                    <c:v>0.18663150128205352</c:v>
                  </c:pt>
                  <c:pt idx="9">
                    <c:v>0.17715677197571827</c:v>
                  </c:pt>
                  <c:pt idx="10">
                    <c:v>9.0258295931097132E-2</c:v>
                  </c:pt>
                  <c:pt idx="11">
                    <c:v>6.8102696108705674E-2</c:v>
                  </c:pt>
                  <c:pt idx="12">
                    <c:v>5.4709857670657801E-3</c:v>
                  </c:pt>
                  <c:pt idx="13">
                    <c:v>-0.11193127086172094</c:v>
                  </c:pt>
                  <c:pt idx="14">
                    <c:v>-0.14859165209385816</c:v>
                  </c:pt>
                  <c:pt idx="15">
                    <c:v>-0.17297238503282186</c:v>
                  </c:pt>
                  <c:pt idx="16">
                    <c:v>-0.25160864661694027</c:v>
                  </c:pt>
                  <c:pt idx="17">
                    <c:v>-0.25718146680696996</c:v>
                  </c:pt>
                  <c:pt idx="18">
                    <c:v>-0.27532160687346863</c:v>
                  </c:pt>
                  <c:pt idx="19">
                    <c:v>-0.30031024878525248</c:v>
                  </c:pt>
                  <c:pt idx="20">
                    <c:v>-0.30737808812744805</c:v>
                  </c:pt>
                  <c:pt idx="21">
                    <c:v>-0.38692355211670021</c:v>
                  </c:pt>
                  <c:pt idx="22">
                    <c:v>-0.34991593498897067</c:v>
                  </c:pt>
                  <c:pt idx="23">
                    <c:v>-0.36558359687161762</c:v>
                  </c:pt>
                  <c:pt idx="24">
                    <c:v>-0.36911663959786889</c:v>
                  </c:pt>
                  <c:pt idx="25">
                    <c:v>-0.37797764547741008</c:v>
                  </c:pt>
                  <c:pt idx="26">
                    <c:v>-0.50026958328907822</c:v>
                  </c:pt>
                  <c:pt idx="27">
                    <c:v>-0.4589281151560915</c:v>
                  </c:pt>
                  <c:pt idx="28">
                    <c:v>-0.5610298756724903</c:v>
                  </c:pt>
                  <c:pt idx="29">
                    <c:v>-0.53188987928064946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Test'!$BC$42:$BC$71</c:f>
                <c:numCache>
                  <c:formatCode>General</c:formatCode>
                  <c:ptCount val="30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  <c:pt idx="21">
                    <c:v>8.5527218117332229E-2</c:v>
                  </c:pt>
                  <c:pt idx="22">
                    <c:v>8.6623622573311063E-2</c:v>
                  </c:pt>
                  <c:pt idx="23">
                    <c:v>8.6866815128663857E-2</c:v>
                  </c:pt>
                  <c:pt idx="24">
                    <c:v>8.4012491814424259E-2</c:v>
                  </c:pt>
                  <c:pt idx="25">
                    <c:v>8.4124245690459037E-2</c:v>
                  </c:pt>
                  <c:pt idx="26">
                    <c:v>7.1152353072424609E-2</c:v>
                  </c:pt>
                  <c:pt idx="27">
                    <c:v>7.284850016942232E-2</c:v>
                  </c:pt>
                  <c:pt idx="28">
                    <c:v>6.5170516340336743E-2</c:v>
                  </c:pt>
                  <c:pt idx="29">
                    <c:v>6.4655813239939214E-2</c:v>
                  </c:pt>
                </c:numCache>
              </c:numRef>
            </c:plus>
            <c:minus>
              <c:numRef>
                <c:f>'Wind Tunnel Test'!$BC$42:$BC$71</c:f>
                <c:numCache>
                  <c:formatCode>General</c:formatCode>
                  <c:ptCount val="30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  <c:pt idx="21">
                    <c:v>8.5527218117332229E-2</c:v>
                  </c:pt>
                  <c:pt idx="22">
                    <c:v>8.6623622573311063E-2</c:v>
                  </c:pt>
                  <c:pt idx="23">
                    <c:v>8.6866815128663857E-2</c:v>
                  </c:pt>
                  <c:pt idx="24">
                    <c:v>8.4012491814424259E-2</c:v>
                  </c:pt>
                  <c:pt idx="25">
                    <c:v>8.4124245690459037E-2</c:v>
                  </c:pt>
                  <c:pt idx="26">
                    <c:v>7.1152353072424609E-2</c:v>
                  </c:pt>
                  <c:pt idx="27">
                    <c:v>7.284850016942232E-2</c:v>
                  </c:pt>
                  <c:pt idx="28">
                    <c:v>6.5170516340336743E-2</c:v>
                  </c:pt>
                  <c:pt idx="29">
                    <c:v>6.4655813239939214E-2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Test'!$AM$42:$AM$71</c:f>
              <c:numCache>
                <c:formatCode>General</c:formatCode>
                <c:ptCount val="30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  <c:pt idx="21">
                  <c:v>0.90971612727726092</c:v>
                </c:pt>
                <c:pt idx="22">
                  <c:v>0.92143881977777609</c:v>
                </c:pt>
                <c:pt idx="23">
                  <c:v>0.92402455797764271</c:v>
                </c:pt>
                <c:pt idx="24">
                  <c:v>0.89369367005104883</c:v>
                </c:pt>
                <c:pt idx="25">
                  <c:v>0.89488164724730934</c:v>
                </c:pt>
                <c:pt idx="26">
                  <c:v>0.7567654908403495</c:v>
                </c:pt>
                <c:pt idx="27">
                  <c:v>0.77484674303201306</c:v>
                </c:pt>
                <c:pt idx="28">
                  <c:v>0.69304649812747732</c:v>
                </c:pt>
                <c:pt idx="29">
                  <c:v>0.68758789376329199</c:v>
                </c:pt>
              </c:numCache>
            </c:numRef>
          </c:xVal>
          <c:yVal>
            <c:numRef>
              <c:f>'Wind Tunnel Test'!$AS$42:$AS$71</c:f>
              <c:numCache>
                <c:formatCode>General</c:formatCode>
                <c:ptCount val="30"/>
                <c:pt idx="0">
                  <c:v>-1.0920917248982234</c:v>
                </c:pt>
                <c:pt idx="1">
                  <c:v>-1.0939009761881127</c:v>
                </c:pt>
                <c:pt idx="2">
                  <c:v>1.1330069259403328</c:v>
                </c:pt>
                <c:pt idx="3">
                  <c:v>1.1665414706882484</c:v>
                </c:pt>
                <c:pt idx="4">
                  <c:v>3.3638550734431578</c:v>
                </c:pt>
                <c:pt idx="5">
                  <c:v>3.3035168590390329</c:v>
                </c:pt>
                <c:pt idx="6">
                  <c:v>5.1504292976264345</c:v>
                </c:pt>
                <c:pt idx="7">
                  <c:v>5.1373939131421507</c:v>
                </c:pt>
                <c:pt idx="8">
                  <c:v>6.3325952294758778</c:v>
                </c:pt>
                <c:pt idx="9">
                  <c:v>6.3936262816447558</c:v>
                </c:pt>
                <c:pt idx="10">
                  <c:v>6.7782218221108703</c:v>
                </c:pt>
                <c:pt idx="11">
                  <c:v>6.5256483264253689</c:v>
                </c:pt>
                <c:pt idx="12">
                  <c:v>7.0999484368346497</c:v>
                </c:pt>
                <c:pt idx="13">
                  <c:v>6.4994435298634654</c:v>
                </c:pt>
                <c:pt idx="14">
                  <c:v>6.5204258773169226</c:v>
                </c:pt>
                <c:pt idx="15">
                  <c:v>6.3908877299460585</c:v>
                </c:pt>
                <c:pt idx="16">
                  <c:v>6.1135812854975438</c:v>
                </c:pt>
                <c:pt idx="17">
                  <c:v>6.2098408296698864</c:v>
                </c:pt>
                <c:pt idx="18">
                  <c:v>6.1336176951535242</c:v>
                </c:pt>
                <c:pt idx="19">
                  <c:v>5.827443574538016</c:v>
                </c:pt>
                <c:pt idx="20">
                  <c:v>5.5810026703720368</c:v>
                </c:pt>
                <c:pt idx="21">
                  <c:v>4.6005670110337071</c:v>
                </c:pt>
                <c:pt idx="22">
                  <c:v>4.2235092598483641</c:v>
                </c:pt>
                <c:pt idx="23">
                  <c:v>4.2032730578373494</c:v>
                </c:pt>
                <c:pt idx="24">
                  <c:v>3.5614149332018794</c:v>
                </c:pt>
                <c:pt idx="25">
                  <c:v>3.5446444507553299</c:v>
                </c:pt>
                <c:pt idx="26">
                  <c:v>2.7281091517616591</c:v>
                </c:pt>
                <c:pt idx="27">
                  <c:v>2.8031959870634839</c:v>
                </c:pt>
                <c:pt idx="28">
                  <c:v>2.3154990002926992</c:v>
                </c:pt>
                <c:pt idx="29">
                  <c:v>2.3380831286268182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9-495E-A01E-9872B018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L/D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366608769717665"/>
          <c:y val="0.62188812511776759"/>
          <c:w val="0.21451756109253323"/>
          <c:h val="0.19528404952658412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Cd</a:t>
            </a:r>
            <a:r>
              <a:rPr lang="en-GB" sz="2400" baseline="0"/>
              <a:t> vs Cl^2 Wind Tunnel Test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7.951943721392836E-2"/>
          <c:y val="6.066800480502757E-2"/>
          <c:w val="0.89012413661792222"/>
          <c:h val="0.84329941972947664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4EA72E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26507480570753"/>
                  <c:y val="0.201244640379350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solidFill>
                          <a:srgbClr val="00B050"/>
                        </a:solidFill>
                      </a:rPr>
                      <a:t>y = 0.0999x + 0.0612</a:t>
                    </a:r>
                    <a:br>
                      <a:rPr lang="en-US" sz="2000" baseline="0">
                        <a:solidFill>
                          <a:srgbClr val="00B050"/>
                        </a:solidFill>
                      </a:rPr>
                    </a:br>
                    <a:r>
                      <a:rPr lang="en-US" sz="2000" baseline="0">
                        <a:solidFill>
                          <a:srgbClr val="00B050"/>
                        </a:solidFill>
                      </a:rPr>
                      <a:t>R² = 0.9672</a:t>
                    </a:r>
                    <a:endParaRPr lang="en-US" sz="2000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Test'!$AO$4:$AO$19</c:f>
              <c:numCache>
                <c:formatCode>General</c:formatCode>
                <c:ptCount val="16"/>
                <c:pt idx="0">
                  <c:v>2.4445777439859999E-8</c:v>
                </c:pt>
                <c:pt idx="1">
                  <c:v>4.4144454473159977E-8</c:v>
                </c:pt>
                <c:pt idx="2">
                  <c:v>1.9270640115803331E-2</c:v>
                </c:pt>
                <c:pt idx="3">
                  <c:v>1.8367650946362571E-2</c:v>
                </c:pt>
                <c:pt idx="4">
                  <c:v>7.7805608928751699E-2</c:v>
                </c:pt>
                <c:pt idx="5">
                  <c:v>7.7272399193206762E-2</c:v>
                </c:pt>
                <c:pt idx="6">
                  <c:v>0.17378994022293498</c:v>
                </c:pt>
                <c:pt idx="7">
                  <c:v>0.17438414941000299</c:v>
                </c:pt>
                <c:pt idx="8">
                  <c:v>0.30354290032847614</c:v>
                </c:pt>
                <c:pt idx="9">
                  <c:v>0.30315558157016648</c:v>
                </c:pt>
                <c:pt idx="10">
                  <c:v>0.43244098805677111</c:v>
                </c:pt>
                <c:pt idx="11">
                  <c:v>0.43335413801210121</c:v>
                </c:pt>
                <c:pt idx="12">
                  <c:v>0.56054153169823717</c:v>
                </c:pt>
                <c:pt idx="13">
                  <c:v>0.56134530254893333</c:v>
                </c:pt>
                <c:pt idx="14">
                  <c:v>0.68192617947479872</c:v>
                </c:pt>
                <c:pt idx="15">
                  <c:v>0.67723250461067008</c:v>
                </c:pt>
              </c:numCache>
            </c:numRef>
          </c:xVal>
          <c:yVal>
            <c:numRef>
              <c:f>'Wind Tunnel Test'!$AN$4:$AN$19</c:f>
              <c:numCache>
                <c:formatCode>General</c:formatCode>
                <c:ptCount val="16"/>
                <c:pt idx="0">
                  <c:v>6.8105913277845695E-2</c:v>
                </c:pt>
                <c:pt idx="1">
                  <c:v>6.5543281529057112E-2</c:v>
                </c:pt>
                <c:pt idx="2">
                  <c:v>6.5483720680458921E-2</c:v>
                </c:pt>
                <c:pt idx="3">
                  <c:v>6.4010762976521737E-2</c:v>
                </c:pt>
                <c:pt idx="4">
                  <c:v>6.9345370366792058E-2</c:v>
                </c:pt>
                <c:pt idx="5">
                  <c:v>6.8538761547839555E-2</c:v>
                </c:pt>
                <c:pt idx="6">
                  <c:v>7.650856491353783E-2</c:v>
                </c:pt>
                <c:pt idx="7">
                  <c:v>7.4500363225000671E-2</c:v>
                </c:pt>
                <c:pt idx="8">
                  <c:v>8.6689623955364309E-2</c:v>
                </c:pt>
                <c:pt idx="9">
                  <c:v>8.5777814581130332E-2</c:v>
                </c:pt>
                <c:pt idx="10">
                  <c:v>9.9767037904554309E-2</c:v>
                </c:pt>
                <c:pt idx="11">
                  <c:v>9.8079789700537365E-2</c:v>
                </c:pt>
                <c:pt idx="12">
                  <c:v>0.1166970957568616</c:v>
                </c:pt>
                <c:pt idx="13">
                  <c:v>0.11678421748708408</c:v>
                </c:pt>
                <c:pt idx="14">
                  <c:v>0.13535965913895737</c:v>
                </c:pt>
                <c:pt idx="15">
                  <c:v>0.13671236850854887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A-4D46-BFA0-7E6D8384AC4E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64967236890593"/>
                  <c:y val="0.19486717794010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Test'!$AO$23:$AO$38</c:f>
              <c:numCache>
                <c:formatCode>General</c:formatCode>
                <c:ptCount val="16"/>
                <c:pt idx="0">
                  <c:v>9.7240961582329961E-4</c:v>
                </c:pt>
                <c:pt idx="1">
                  <c:v>8.6181860459841732E-4</c:v>
                </c:pt>
                <c:pt idx="2">
                  <c:v>1.7886229219256474E-2</c:v>
                </c:pt>
                <c:pt idx="3">
                  <c:v>1.7511790605785782E-2</c:v>
                </c:pt>
                <c:pt idx="4">
                  <c:v>8.8003817909377571E-2</c:v>
                </c:pt>
                <c:pt idx="5">
                  <c:v>8.7902555350428235E-2</c:v>
                </c:pt>
                <c:pt idx="6">
                  <c:v>0.21151260112741718</c:v>
                </c:pt>
                <c:pt idx="7">
                  <c:v>0.21423017381423703</c:v>
                </c:pt>
                <c:pt idx="8">
                  <c:v>0.38263564733949595</c:v>
                </c:pt>
                <c:pt idx="9">
                  <c:v>0.37893251470713907</c:v>
                </c:pt>
                <c:pt idx="10">
                  <c:v>0.55851462601793789</c:v>
                </c:pt>
                <c:pt idx="11">
                  <c:v>0.55968201651592353</c:v>
                </c:pt>
                <c:pt idx="12">
                  <c:v>0.72909323516825686</c:v>
                </c:pt>
                <c:pt idx="13">
                  <c:v>0.72710846170972421</c:v>
                </c:pt>
                <c:pt idx="14">
                  <c:v>0.88968031507227519</c:v>
                </c:pt>
                <c:pt idx="15">
                  <c:v>0.88987271367884224</c:v>
                </c:pt>
              </c:numCache>
            </c:numRef>
          </c:xVal>
          <c:yVal>
            <c:numRef>
              <c:f>'Wind Tunnel Test'!$AN$23:$AN$38</c:f>
              <c:numCache>
                <c:formatCode>General</c:formatCode>
                <c:ptCount val="16"/>
                <c:pt idx="0">
                  <c:v>6.9146262323847962E-2</c:v>
                </c:pt>
                <c:pt idx="1">
                  <c:v>6.8970769493236342E-2</c:v>
                </c:pt>
                <c:pt idx="2">
                  <c:v>7.0189901465742888E-2</c:v>
                </c:pt>
                <c:pt idx="3">
                  <c:v>6.9342280354427965E-2</c:v>
                </c:pt>
                <c:pt idx="4">
                  <c:v>7.2698418171225285E-2</c:v>
                </c:pt>
                <c:pt idx="5">
                  <c:v>7.0535251867755097E-2</c:v>
                </c:pt>
                <c:pt idx="6">
                  <c:v>8.0840519819041029E-2</c:v>
                </c:pt>
                <c:pt idx="7">
                  <c:v>8.0713632785310616E-2</c:v>
                </c:pt>
                <c:pt idx="8">
                  <c:v>9.0257433346576835E-2</c:v>
                </c:pt>
                <c:pt idx="9">
                  <c:v>9.0918432785353151E-2</c:v>
                </c:pt>
                <c:pt idx="10">
                  <c:v>0.10914791285808664</c:v>
                </c:pt>
                <c:pt idx="11">
                  <c:v>0.11016273568736761</c:v>
                </c:pt>
                <c:pt idx="12">
                  <c:v>0.13044395134272829</c:v>
                </c:pt>
                <c:pt idx="13">
                  <c:v>0.13054413087232056</c:v>
                </c:pt>
                <c:pt idx="14">
                  <c:v>0.15350218520731898</c:v>
                </c:pt>
                <c:pt idx="15">
                  <c:v>0.15446621688266063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A-4D46-BFA0-7E6D8384AC4E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lgDashDot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31512164083743"/>
                  <c:y val="-8.2020946793394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Test'!$AO$42:$AO$62</c:f>
              <c:numCache>
                <c:formatCode>General</c:formatCode>
                <c:ptCount val="21"/>
                <c:pt idx="0">
                  <c:v>6.9914233580119804E-3</c:v>
                </c:pt>
                <c:pt idx="1">
                  <c:v>6.5446132194736896E-3</c:v>
                </c:pt>
                <c:pt idx="2">
                  <c:v>6.6179033964432893E-3</c:v>
                </c:pt>
                <c:pt idx="3">
                  <c:v>7.0825719103071415E-3</c:v>
                </c:pt>
                <c:pt idx="4">
                  <c:v>6.0461070660806922E-2</c:v>
                </c:pt>
                <c:pt idx="5">
                  <c:v>6.0923358039902641E-2</c:v>
                </c:pt>
                <c:pt idx="6">
                  <c:v>0.1660865092817104</c:v>
                </c:pt>
                <c:pt idx="7">
                  <c:v>0.16919186892218122</c:v>
                </c:pt>
                <c:pt idx="8">
                  <c:v>0.31860065361228485</c:v>
                </c:pt>
                <c:pt idx="9">
                  <c:v>0.31830686171455008</c:v>
                </c:pt>
                <c:pt idx="10">
                  <c:v>0.48198537385641765</c:v>
                </c:pt>
                <c:pt idx="11">
                  <c:v>0.4816853634024621</c:v>
                </c:pt>
                <c:pt idx="12">
                  <c:v>0.58503854552330037</c:v>
                </c:pt>
                <c:pt idx="13">
                  <c:v>0.65534940563842348</c:v>
                </c:pt>
                <c:pt idx="14">
                  <c:v>0.71897314494511866</c:v>
                </c:pt>
                <c:pt idx="15">
                  <c:v>0.74252171973453929</c:v>
                </c:pt>
                <c:pt idx="16">
                  <c:v>0.82134815428523311</c:v>
                </c:pt>
                <c:pt idx="17">
                  <c:v>0.82527568774602356</c:v>
                </c:pt>
                <c:pt idx="18">
                  <c:v>0.87061558556741248</c:v>
                </c:pt>
                <c:pt idx="19">
                  <c:v>0.88746648516239379</c:v>
                </c:pt>
                <c:pt idx="20">
                  <c:v>0.88783081899779293</c:v>
                </c:pt>
              </c:numCache>
            </c:numRef>
          </c:xVal>
          <c:yVal>
            <c:numRef>
              <c:f>'Wind Tunnel Test'!$AN$42:$AN$62</c:f>
              <c:numCache>
                <c:formatCode>General</c:formatCode>
                <c:ptCount val="21"/>
                <c:pt idx="0">
                  <c:v>7.6563835983897099E-2</c:v>
                </c:pt>
                <c:pt idx="1">
                  <c:v>7.3954394004364488E-2</c:v>
                </c:pt>
                <c:pt idx="2">
                  <c:v>7.1800529500979801E-2</c:v>
                </c:pt>
                <c:pt idx="3">
                  <c:v>7.214318532110385E-2</c:v>
                </c:pt>
                <c:pt idx="4">
                  <c:v>7.3097182930620785E-2</c:v>
                </c:pt>
                <c:pt idx="5">
                  <c:v>7.4716305488122775E-2</c:v>
                </c:pt>
                <c:pt idx="6">
                  <c:v>7.9126826660758778E-2</c:v>
                </c:pt>
                <c:pt idx="7">
                  <c:v>8.00657685971429E-2</c:v>
                </c:pt>
                <c:pt idx="8">
                  <c:v>8.9133631662455068E-2</c:v>
                </c:pt>
                <c:pt idx="9">
                  <c:v>8.8242083337748106E-2</c:v>
                </c:pt>
                <c:pt idx="10">
                  <c:v>0.10242386319905381</c:v>
                </c:pt>
                <c:pt idx="11">
                  <c:v>0.10635503612557737</c:v>
                </c:pt>
                <c:pt idx="12">
                  <c:v>0.10773009570781016</c:v>
                </c:pt>
                <c:pt idx="13">
                  <c:v>0.12455474593117523</c:v>
                </c:pt>
                <c:pt idx="14">
                  <c:v>0.13004102145173166</c:v>
                </c:pt>
                <c:pt idx="15">
                  <c:v>0.13483212917653103</c:v>
                </c:pt>
                <c:pt idx="16">
                  <c:v>0.14824086888771873</c:v>
                </c:pt>
                <c:pt idx="17">
                  <c:v>0.14629148791092308</c:v>
                </c:pt>
                <c:pt idx="18">
                  <c:v>0.1521235723895657</c:v>
                </c:pt>
                <c:pt idx="19">
                  <c:v>0.16165826129834426</c:v>
                </c:pt>
                <c:pt idx="20">
                  <c:v>0.16883126632555451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A-4D46-BFA0-7E6D8384AC4E}"/>
            </c:ext>
          </c:extLst>
        </c:ser>
        <c:ser>
          <c:idx val="3"/>
          <c:order val="3"/>
          <c:tx>
            <c:v>Tail on (i = -2) STALL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97132"/>
              </a:solidFill>
              <a:ln w="9525">
                <a:solidFill>
                  <a:srgbClr val="E97132"/>
                </a:solidFill>
              </a:ln>
              <a:effectLst/>
            </c:spPr>
          </c:marker>
          <c:xVal>
            <c:numRef>
              <c:f>'Wind Tunnel Test'!$AO$63:$AO$71</c:f>
              <c:numCache>
                <c:formatCode>General</c:formatCode>
                <c:ptCount val="9"/>
                <c:pt idx="0">
                  <c:v>0.82758343222833763</c:v>
                </c:pt>
                <c:pt idx="1">
                  <c:v>0.84904949859346091</c:v>
                </c:pt>
                <c:pt idx="2">
                  <c:v>0.85382138374577798</c:v>
                </c:pt>
                <c:pt idx="3">
                  <c:v>0.79868837588931296</c:v>
                </c:pt>
                <c:pt idx="4">
                  <c:v>0.80081316258005775</c:v>
                </c:pt>
                <c:pt idx="5">
                  <c:v>0.57269400812683513</c:v>
                </c:pt>
                <c:pt idx="6">
                  <c:v>0.6003874751873185</c:v>
                </c:pt>
                <c:pt idx="7">
                  <c:v>0.48031344856675939</c:v>
                </c:pt>
                <c:pt idx="8">
                  <c:v>0.4727771116498401</c:v>
                </c:pt>
              </c:numCache>
            </c:numRef>
          </c:xVal>
          <c:yVal>
            <c:numRef>
              <c:f>'Wind Tunnel Test'!$AN$63:$AN$71</c:f>
              <c:numCache>
                <c:formatCode>General</c:formatCode>
                <c:ptCount val="9"/>
                <c:pt idx="0">
                  <c:v>0.19774000141622883</c:v>
                </c:pt>
                <c:pt idx="1">
                  <c:v>0.21816900664516559</c:v>
                </c:pt>
                <c:pt idx="2">
                  <c:v>0.21983453020134458</c:v>
                </c:pt>
                <c:pt idx="3">
                  <c:v>0.25093781174427104</c:v>
                </c:pt>
                <c:pt idx="4">
                  <c:v>0.25246020007919795</c:v>
                </c:pt>
                <c:pt idx="5">
                  <c:v>0.27739560579959677</c:v>
                </c:pt>
                <c:pt idx="6">
                  <c:v>0.276415472413583</c:v>
                </c:pt>
                <c:pt idx="7">
                  <c:v>0.29930762139818251</c:v>
                </c:pt>
                <c:pt idx="8">
                  <c:v>0.2940818850042855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A-4D46-BFA0-7E6D8384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Cd</a:t>
                </a:r>
              </a:p>
            </c:rich>
          </c:tx>
          <c:layout>
            <c:manualLayout>
              <c:xMode val="edge"/>
              <c:yMode val="edge"/>
              <c:x val="1.2864757910013609E-2"/>
              <c:y val="0.4576467567263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056932485212582"/>
          <c:y val="0.17153127485915037"/>
          <c:w val="0.18073995645362934"/>
          <c:h val="0.3363622650213548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L/D</a:t>
            </a:r>
            <a:r>
              <a:rPr lang="en-GB" baseline="0"/>
              <a:t> vs Cl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xVal>
          <c:yVal>
            <c:numRef>
              <c:f>'Wind Tunnel Test'!$AS$4:$AS$19</c:f>
              <c:numCache>
                <c:formatCode>General</c:formatCode>
                <c:ptCount val="16"/>
                <c:pt idx="0">
                  <c:v>-2.2957104213816044E-3</c:v>
                </c:pt>
                <c:pt idx="1">
                  <c:v>3.2056041812663343E-3</c:v>
                </c:pt>
                <c:pt idx="2">
                  <c:v>2.1198968186175065</c:v>
                </c:pt>
                <c:pt idx="3">
                  <c:v>2.117258109598291</c:v>
                </c:pt>
                <c:pt idx="4">
                  <c:v>4.0224252384108201</c:v>
                </c:pt>
                <c:pt idx="5">
                  <c:v>4.0557945340537254</c:v>
                </c:pt>
                <c:pt idx="6">
                  <c:v>5.4488174865027421</c:v>
                </c:pt>
                <c:pt idx="7">
                  <c:v>5.6052516284295875</c:v>
                </c:pt>
                <c:pt idx="8">
                  <c:v>6.3554004541088585</c:v>
                </c:pt>
                <c:pt idx="9">
                  <c:v>6.4188585752413854</c:v>
                </c:pt>
                <c:pt idx="10">
                  <c:v>6.5913799610575374</c:v>
                </c:pt>
                <c:pt idx="11">
                  <c:v>6.711845454732015</c:v>
                </c:pt>
                <c:pt idx="12">
                  <c:v>6.4156970758649221</c:v>
                </c:pt>
                <c:pt idx="13">
                  <c:v>6.4155056424171866</c:v>
                </c:pt>
                <c:pt idx="14">
                  <c:v>6.1006966354449794</c:v>
                </c:pt>
                <c:pt idx="15">
                  <c:v>6.019509300558104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E67-B97E-52EFA23F5430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xVal>
          <c:yVal>
            <c:numRef>
              <c:f>'Wind Tunnel Test'!$AS$23:$AS$38</c:f>
              <c:numCache>
                <c:formatCode>General</c:formatCode>
                <c:ptCount val="16"/>
                <c:pt idx="0">
                  <c:v>-0.45097857806216307</c:v>
                </c:pt>
                <c:pt idx="1">
                  <c:v>-0.42564041823836757</c:v>
                </c:pt>
                <c:pt idx="2">
                  <c:v>1.9053938684063521</c:v>
                </c:pt>
                <c:pt idx="3">
                  <c:v>1.9083901145752047</c:v>
                </c:pt>
                <c:pt idx="4">
                  <c:v>4.0806166346050246</c:v>
                </c:pt>
                <c:pt idx="5">
                  <c:v>4.2033400777183179</c:v>
                </c:pt>
                <c:pt idx="6">
                  <c:v>5.6890405015131087</c:v>
                </c:pt>
                <c:pt idx="7">
                  <c:v>5.7344718538939832</c:v>
                </c:pt>
                <c:pt idx="8">
                  <c:v>6.8534576661479676</c:v>
                </c:pt>
                <c:pt idx="9">
                  <c:v>6.7706286569148659</c:v>
                </c:pt>
                <c:pt idx="10">
                  <c:v>6.8470238373010694</c:v>
                </c:pt>
                <c:pt idx="11">
                  <c:v>6.7910349254285478</c:v>
                </c:pt>
                <c:pt idx="12">
                  <c:v>6.5458732035887701</c:v>
                </c:pt>
                <c:pt idx="13">
                  <c:v>6.5319409234445756</c:v>
                </c:pt>
                <c:pt idx="14">
                  <c:v>6.1447246763378134</c:v>
                </c:pt>
                <c:pt idx="15">
                  <c:v>6.1070353648573592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E-4E67-B97E-52EFA23F5430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634427200169132E-3"/>
                  <c:y val="-9.8840247501128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Test'!$BE$42:$BE$62</c:f>
                <c:numCache>
                  <c:formatCode>General</c:formatCode>
                  <c:ptCount val="21"/>
                  <c:pt idx="0">
                    <c:v>-0.13537412864341411</c:v>
                  </c:pt>
                  <c:pt idx="1">
                    <c:v>-0.13298118378505788</c:v>
                  </c:pt>
                  <c:pt idx="2">
                    <c:v>0.10293732777465552</c:v>
                  </c:pt>
                  <c:pt idx="3">
                    <c:v>0.10961598697015174</c:v>
                  </c:pt>
                  <c:pt idx="4">
                    <c:v>0.22551238230016576</c:v>
                  </c:pt>
                  <c:pt idx="5">
                    <c:v>0.22016525289432454</c:v>
                  </c:pt>
                  <c:pt idx="6">
                    <c:v>0.23716774562566187</c:v>
                  </c:pt>
                  <c:pt idx="7">
                    <c:v>0.23033480928100747</c:v>
                  </c:pt>
                  <c:pt idx="8">
                    <c:v>0.18663150128205352</c:v>
                  </c:pt>
                  <c:pt idx="9">
                    <c:v>0.17715677197571827</c:v>
                  </c:pt>
                  <c:pt idx="10">
                    <c:v>9.0258295931097132E-2</c:v>
                  </c:pt>
                  <c:pt idx="11">
                    <c:v>6.8102696108705674E-2</c:v>
                  </c:pt>
                  <c:pt idx="12">
                    <c:v>5.4709857670657801E-3</c:v>
                  </c:pt>
                  <c:pt idx="13">
                    <c:v>-0.11193127086172094</c:v>
                  </c:pt>
                  <c:pt idx="14">
                    <c:v>-0.14859165209385816</c:v>
                  </c:pt>
                  <c:pt idx="15">
                    <c:v>-0.17297238503282186</c:v>
                  </c:pt>
                  <c:pt idx="16">
                    <c:v>-0.25160864661694027</c:v>
                  </c:pt>
                  <c:pt idx="17">
                    <c:v>-0.25718146680696996</c:v>
                  </c:pt>
                  <c:pt idx="18">
                    <c:v>-0.27532160687346863</c:v>
                  </c:pt>
                  <c:pt idx="19">
                    <c:v>-0.30031024878525248</c:v>
                  </c:pt>
                  <c:pt idx="20">
                    <c:v>-0.30737808812744805</c:v>
                  </c:pt>
                </c:numCache>
              </c:numRef>
            </c:plus>
            <c:minus>
              <c:numRef>
                <c:f>'Wind Tunnel Test'!$BE$42:$BE$62</c:f>
                <c:numCache>
                  <c:formatCode>General</c:formatCode>
                  <c:ptCount val="21"/>
                  <c:pt idx="0">
                    <c:v>-0.13537412864341411</c:v>
                  </c:pt>
                  <c:pt idx="1">
                    <c:v>-0.13298118378505788</c:v>
                  </c:pt>
                  <c:pt idx="2">
                    <c:v>0.10293732777465552</c:v>
                  </c:pt>
                  <c:pt idx="3">
                    <c:v>0.10961598697015174</c:v>
                  </c:pt>
                  <c:pt idx="4">
                    <c:v>0.22551238230016576</c:v>
                  </c:pt>
                  <c:pt idx="5">
                    <c:v>0.22016525289432454</c:v>
                  </c:pt>
                  <c:pt idx="6">
                    <c:v>0.23716774562566187</c:v>
                  </c:pt>
                  <c:pt idx="7">
                    <c:v>0.23033480928100747</c:v>
                  </c:pt>
                  <c:pt idx="8">
                    <c:v>0.18663150128205352</c:v>
                  </c:pt>
                  <c:pt idx="9">
                    <c:v>0.17715677197571827</c:v>
                  </c:pt>
                  <c:pt idx="10">
                    <c:v>9.0258295931097132E-2</c:v>
                  </c:pt>
                  <c:pt idx="11">
                    <c:v>6.8102696108705674E-2</c:v>
                  </c:pt>
                  <c:pt idx="12">
                    <c:v>5.4709857670657801E-3</c:v>
                  </c:pt>
                  <c:pt idx="13">
                    <c:v>-0.11193127086172094</c:v>
                  </c:pt>
                  <c:pt idx="14">
                    <c:v>-0.14859165209385816</c:v>
                  </c:pt>
                  <c:pt idx="15">
                    <c:v>-0.17297238503282186</c:v>
                  </c:pt>
                  <c:pt idx="16">
                    <c:v>-0.25160864661694027</c:v>
                  </c:pt>
                  <c:pt idx="17">
                    <c:v>-0.25718146680696996</c:v>
                  </c:pt>
                  <c:pt idx="18">
                    <c:v>-0.27532160687346863</c:v>
                  </c:pt>
                  <c:pt idx="19">
                    <c:v>-0.30031024878525248</c:v>
                  </c:pt>
                  <c:pt idx="20">
                    <c:v>-0.30737808812744805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plus>
            <c:min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Test'!$AM$42:$AM$62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xVal>
          <c:yVal>
            <c:numRef>
              <c:f>'Wind Tunnel Test'!$AS$42:$AS$62</c:f>
              <c:numCache>
                <c:formatCode>General</c:formatCode>
                <c:ptCount val="21"/>
                <c:pt idx="0">
                  <c:v>-1.0920917248982234</c:v>
                </c:pt>
                <c:pt idx="1">
                  <c:v>-1.0939009761881127</c:v>
                </c:pt>
                <c:pt idx="2">
                  <c:v>1.1330069259403328</c:v>
                </c:pt>
                <c:pt idx="3">
                  <c:v>1.1665414706882484</c:v>
                </c:pt>
                <c:pt idx="4">
                  <c:v>3.3638550734431578</c:v>
                </c:pt>
                <c:pt idx="5">
                  <c:v>3.3035168590390329</c:v>
                </c:pt>
                <c:pt idx="6">
                  <c:v>5.1504292976264345</c:v>
                </c:pt>
                <c:pt idx="7">
                  <c:v>5.1373939131421507</c:v>
                </c:pt>
                <c:pt idx="8">
                  <c:v>6.3325952294758778</c:v>
                </c:pt>
                <c:pt idx="9">
                  <c:v>6.3936262816447558</c:v>
                </c:pt>
                <c:pt idx="10">
                  <c:v>6.7782218221108703</c:v>
                </c:pt>
                <c:pt idx="11">
                  <c:v>6.5256483264253689</c:v>
                </c:pt>
                <c:pt idx="12">
                  <c:v>7.0999484368346497</c:v>
                </c:pt>
                <c:pt idx="13">
                  <c:v>6.4994435298634654</c:v>
                </c:pt>
                <c:pt idx="14">
                  <c:v>6.5204258773169226</c:v>
                </c:pt>
                <c:pt idx="15">
                  <c:v>6.3908877299460585</c:v>
                </c:pt>
                <c:pt idx="16">
                  <c:v>6.1135812854975438</c:v>
                </c:pt>
                <c:pt idx="17">
                  <c:v>6.2098408296698864</c:v>
                </c:pt>
                <c:pt idx="18">
                  <c:v>6.1336176951535242</c:v>
                </c:pt>
                <c:pt idx="19">
                  <c:v>5.827443574538016</c:v>
                </c:pt>
                <c:pt idx="20">
                  <c:v>5.5810026703720368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E-4E67-B97E-52EFA23F5430}"/>
            </c:ext>
          </c:extLst>
        </c:ser>
        <c:ser>
          <c:idx val="3"/>
          <c:order val="3"/>
          <c:tx>
            <c:v>Flight 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Test'!$AP$3:$AP$14</c:f>
                <c:numCache>
                  <c:formatCode>General</c:formatCode>
                  <c:ptCount val="12"/>
                  <c:pt idx="0">
                    <c:v>0.28704166975931156</c:v>
                  </c:pt>
                  <c:pt idx="1">
                    <c:v>0.28122692900404289</c:v>
                  </c:pt>
                  <c:pt idx="2">
                    <c:v>0.34167015661355166</c:v>
                  </c:pt>
                  <c:pt idx="3">
                    <c:v>0.31999019646998517</c:v>
                  </c:pt>
                  <c:pt idx="4">
                    <c:v>0.48034270075312469</c:v>
                  </c:pt>
                  <c:pt idx="5">
                    <c:v>0.53443984060731453</c:v>
                  </c:pt>
                  <c:pt idx="6">
                    <c:v>0.59308250366570903</c:v>
                  </c:pt>
                  <c:pt idx="7">
                    <c:v>0.63618677586791206</c:v>
                  </c:pt>
                  <c:pt idx="8">
                    <c:v>0.69358728999600006</c:v>
                  </c:pt>
                  <c:pt idx="9">
                    <c:v>0.75858305860028052</c:v>
                  </c:pt>
                  <c:pt idx="10">
                    <c:v>0.84421514163670741</c:v>
                  </c:pt>
                  <c:pt idx="11">
                    <c:v>0.77216749605439983</c:v>
                  </c:pt>
                </c:numCache>
              </c:numRef>
            </c:plus>
            <c:minus>
              <c:numRef>
                <c:f>'Flight Sim Test'!$AP$3:$AP$14</c:f>
                <c:numCache>
                  <c:formatCode>General</c:formatCode>
                  <c:ptCount val="12"/>
                  <c:pt idx="0">
                    <c:v>0.28704166975931156</c:v>
                  </c:pt>
                  <c:pt idx="1">
                    <c:v>0.28122692900404289</c:v>
                  </c:pt>
                  <c:pt idx="2">
                    <c:v>0.34167015661355166</c:v>
                  </c:pt>
                  <c:pt idx="3">
                    <c:v>0.31999019646998517</c:v>
                  </c:pt>
                  <c:pt idx="4">
                    <c:v>0.48034270075312469</c:v>
                  </c:pt>
                  <c:pt idx="5">
                    <c:v>0.53443984060731453</c:v>
                  </c:pt>
                  <c:pt idx="6">
                    <c:v>0.59308250366570903</c:v>
                  </c:pt>
                  <c:pt idx="7">
                    <c:v>0.63618677586791206</c:v>
                  </c:pt>
                  <c:pt idx="8">
                    <c:v>0.69358728999600006</c:v>
                  </c:pt>
                  <c:pt idx="9">
                    <c:v>0.75858305860028052</c:v>
                  </c:pt>
                  <c:pt idx="10">
                    <c:v>0.84421514163670741</c:v>
                  </c:pt>
                  <c:pt idx="11">
                    <c:v>0.77216749605439983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'Flight Sim Test'!$AN$3:$AN$14</c:f>
                <c:numCache>
                  <c:formatCode>General</c:formatCode>
                  <c:ptCount val="12"/>
                  <c:pt idx="0">
                    <c:v>6.0562306189967663E-3</c:v>
                  </c:pt>
                  <c:pt idx="1">
                    <c:v>6.8485954274623249E-3</c:v>
                  </c:pt>
                  <c:pt idx="2">
                    <c:v>7.7885414213802531E-3</c:v>
                  </c:pt>
                  <c:pt idx="3">
                    <c:v>8.9124195598509637E-3</c:v>
                  </c:pt>
                  <c:pt idx="4">
                    <c:v>1.0267930754087823E-2</c:v>
                  </c:pt>
                  <c:pt idx="5">
                    <c:v>1.1918497524657444E-2</c:v>
                  </c:pt>
                  <c:pt idx="6">
                    <c:v>1.3949674727460261E-2</c:v>
                  </c:pt>
                  <c:pt idx="7">
                    <c:v>1.6478736311718107E-2</c:v>
                  </c:pt>
                  <c:pt idx="8">
                    <c:v>1.9669326169041469E-2</c:v>
                  </c:pt>
                  <c:pt idx="9">
                    <c:v>2.3754396585871619E-2</c:v>
                  </c:pt>
                  <c:pt idx="10">
                    <c:v>2.9073111139300119E-2</c:v>
                  </c:pt>
                  <c:pt idx="11">
                    <c:v>3.613206438559962E-2</c:v>
                  </c:pt>
                </c:numCache>
              </c:numRef>
            </c:plus>
            <c:minus>
              <c:numRef>
                <c:f>'Flight Sim Test'!$AN$3:$AN$14</c:f>
                <c:numCache>
                  <c:formatCode>General</c:formatCode>
                  <c:ptCount val="12"/>
                  <c:pt idx="0">
                    <c:v>6.0562306189967663E-3</c:v>
                  </c:pt>
                  <c:pt idx="1">
                    <c:v>6.8485954274623249E-3</c:v>
                  </c:pt>
                  <c:pt idx="2">
                    <c:v>7.7885414213802531E-3</c:v>
                  </c:pt>
                  <c:pt idx="3">
                    <c:v>8.9124195598509637E-3</c:v>
                  </c:pt>
                  <c:pt idx="4">
                    <c:v>1.0267930754087823E-2</c:v>
                  </c:pt>
                  <c:pt idx="5">
                    <c:v>1.1918497524657444E-2</c:v>
                  </c:pt>
                  <c:pt idx="6">
                    <c:v>1.3949674727460261E-2</c:v>
                  </c:pt>
                  <c:pt idx="7">
                    <c:v>1.6478736311718107E-2</c:v>
                  </c:pt>
                  <c:pt idx="8">
                    <c:v>1.9669326169041469E-2</c:v>
                  </c:pt>
                  <c:pt idx="9">
                    <c:v>2.3754396585871619E-2</c:v>
                  </c:pt>
                  <c:pt idx="10">
                    <c:v>2.9073111139300119E-2</c:v>
                  </c:pt>
                  <c:pt idx="11">
                    <c:v>3.613206438559962E-2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Test'!$AG$3:$AG$14</c:f>
              <c:numCache>
                <c:formatCode>General</c:formatCode>
                <c:ptCount val="12"/>
                <c:pt idx="0">
                  <c:v>0.12891322189437335</c:v>
                </c:pt>
                <c:pt idx="1">
                  <c:v>0.14036675956740841</c:v>
                </c:pt>
                <c:pt idx="2">
                  <c:v>0.15341738803958482</c:v>
                </c:pt>
                <c:pt idx="3">
                  <c:v>0.16837645308652849</c:v>
                </c:pt>
                <c:pt idx="4">
                  <c:v>0.18563503952789764</c:v>
                </c:pt>
                <c:pt idx="5">
                  <c:v>0.20568979449074531</c:v>
                </c:pt>
                <c:pt idx="6">
                  <c:v>0.22917906114555264</c:v>
                </c:pt>
                <c:pt idx="7">
                  <c:v>0.25693431076525625</c:v>
                </c:pt>
                <c:pt idx="8">
                  <c:v>0.29005474926233998</c:v>
                </c:pt>
                <c:pt idx="9">
                  <c:v>0.33001784804959583</c:v>
                </c:pt>
                <c:pt idx="10">
                  <c:v>0.37884701944468907</c:v>
                </c:pt>
                <c:pt idx="11">
                  <c:v>0.439372874622243</c:v>
                </c:pt>
              </c:numCache>
            </c:numRef>
          </c:xVal>
          <c:yVal>
            <c:numRef>
              <c:f>'Flight Sim Test'!$AI$3:$AI$14</c:f>
              <c:numCache>
                <c:formatCode>General</c:formatCode>
                <c:ptCount val="12"/>
                <c:pt idx="0">
                  <c:v>8.4627335935577079</c:v>
                </c:pt>
                <c:pt idx="1">
                  <c:v>8.1848290871162455</c:v>
                </c:pt>
                <c:pt idx="2">
                  <c:v>9.8775201718051608</c:v>
                </c:pt>
                <c:pt idx="3">
                  <c:v>9.0988461813539168</c:v>
                </c:pt>
                <c:pt idx="4">
                  <c:v>13.574011022420052</c:v>
                </c:pt>
                <c:pt idx="5">
                  <c:v>14.863379657825416</c:v>
                </c:pt>
                <c:pt idx="6">
                  <c:v>16.198945405989878</c:v>
                </c:pt>
                <c:pt idx="7">
                  <c:v>17.020026902294202</c:v>
                </c:pt>
                <c:pt idx="8">
                  <c:v>18.135254077494359</c:v>
                </c:pt>
                <c:pt idx="9">
                  <c:v>19.332408944853235</c:v>
                </c:pt>
                <c:pt idx="10">
                  <c:v>20.905998098210091</c:v>
                </c:pt>
                <c:pt idx="11">
                  <c:v>18.48606340250878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3E-4E67-B97E-52EFA23F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L/D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107313477396379"/>
          <c:y val="0.12376178791403865"/>
          <c:w val="0.14035752647724592"/>
          <c:h val="0.23525777767822709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</a:t>
            </a:r>
            <a:r>
              <a:rPr lang="en-GB" baseline="0"/>
              <a:t> vs Cl CORRECTED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8.4933575300389738E-2"/>
          <c:y val="0.10715312864360667"/>
          <c:w val="0.85034753704132504"/>
          <c:h val="0.7946525980218051"/>
        </c:manualLayout>
      </c:layout>
      <c:scatterChart>
        <c:scatterStyle val="lineMarker"/>
        <c:varyColors val="0"/>
        <c:ser>
          <c:idx val="2"/>
          <c:order val="0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4EA72E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99221220447262E-3"/>
                  <c:y val="-7.00217207781698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41275" cap="rnd">
                <a:solidFill>
                  <a:srgbClr val="4EA72E"/>
                </a:solidFill>
                <a:prstDash val="lgDash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Test'!$BB$4:$BB$19</c:f>
                <c:numCache>
                  <c:formatCode>General</c:formatCode>
                  <c:ptCount val="16"/>
                  <c:pt idx="0">
                    <c:v>-5.5959611690577843E-3</c:v>
                  </c:pt>
                  <c:pt idx="1">
                    <c:v>-5.3382535852022038E-3</c:v>
                  </c:pt>
                  <c:pt idx="2">
                    <c:v>-4.2302629606316309E-3</c:v>
                  </c:pt>
                  <c:pt idx="3">
                    <c:v>-4.2816906106721234E-3</c:v>
                  </c:pt>
                  <c:pt idx="4">
                    <c:v>-1.0292577965983181E-3</c:v>
                  </c:pt>
                  <c:pt idx="5">
                    <c:v>-8.6100416393548689E-4</c:v>
                  </c:pt>
                  <c:pt idx="6">
                    <c:v>2.946774622227128E-3</c:v>
                  </c:pt>
                  <c:pt idx="7">
                    <c:v>3.469110131592225E-3</c:v>
                  </c:pt>
                  <c:pt idx="8">
                    <c:v>7.0204798531612123E-3</c:v>
                  </c:pt>
                  <c:pt idx="9">
                    <c:v>7.1054545281513297E-3</c:v>
                  </c:pt>
                  <c:pt idx="10">
                    <c:v>1.1863803740661335E-2</c:v>
                  </c:pt>
                  <c:pt idx="11">
                    <c:v>1.1848136411937668E-2</c:v>
                  </c:pt>
                  <c:pt idx="12">
                    <c:v>1.5591507622267744E-2</c:v>
                  </c:pt>
                  <c:pt idx="13">
                    <c:v>1.5955000613081069E-2</c:v>
                  </c:pt>
                  <c:pt idx="14">
                    <c:v>1.9281160897968407E-2</c:v>
                  </c:pt>
                  <c:pt idx="15">
                    <c:v>1.9916480040917079E-2</c:v>
                  </c:pt>
                </c:numCache>
              </c:numRef>
            </c:plus>
            <c:minus>
              <c:numRef>
                <c:f>'Wind Tunnel Test'!$BB$4:$BB$19</c:f>
                <c:numCache>
                  <c:formatCode>General</c:formatCode>
                  <c:ptCount val="16"/>
                  <c:pt idx="0">
                    <c:v>-5.5959611690577843E-3</c:v>
                  </c:pt>
                  <c:pt idx="1">
                    <c:v>-5.3382535852022038E-3</c:v>
                  </c:pt>
                  <c:pt idx="2">
                    <c:v>-4.2302629606316309E-3</c:v>
                  </c:pt>
                  <c:pt idx="3">
                    <c:v>-4.2816906106721234E-3</c:v>
                  </c:pt>
                  <c:pt idx="4">
                    <c:v>-1.0292577965983181E-3</c:v>
                  </c:pt>
                  <c:pt idx="5">
                    <c:v>-8.6100416393548689E-4</c:v>
                  </c:pt>
                  <c:pt idx="6">
                    <c:v>2.946774622227128E-3</c:v>
                  </c:pt>
                  <c:pt idx="7">
                    <c:v>3.469110131592225E-3</c:v>
                  </c:pt>
                  <c:pt idx="8">
                    <c:v>7.0204798531612123E-3</c:v>
                  </c:pt>
                  <c:pt idx="9">
                    <c:v>7.1054545281513297E-3</c:v>
                  </c:pt>
                  <c:pt idx="10">
                    <c:v>1.1863803740661335E-2</c:v>
                  </c:pt>
                  <c:pt idx="11">
                    <c:v>1.1848136411937668E-2</c:v>
                  </c:pt>
                  <c:pt idx="12">
                    <c:v>1.5591507622267744E-2</c:v>
                  </c:pt>
                  <c:pt idx="13">
                    <c:v>1.5955000613081069E-2</c:v>
                  </c:pt>
                  <c:pt idx="14">
                    <c:v>1.9281160897968407E-2</c:v>
                  </c:pt>
                  <c:pt idx="15">
                    <c:v>1.9916480040917079E-2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plus>
            <c:min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xVal>
          <c:yVal>
            <c:numRef>
              <c:f>'Wind Tunnel Test'!$AL$4:$AL$19</c:f>
              <c:numCache>
                <c:formatCode>General</c:formatCode>
                <c:ptCount val="16"/>
                <c:pt idx="0">
                  <c:v>-3.6094880756762759E-2</c:v>
                </c:pt>
                <c:pt idx="1">
                  <c:v>-3.9885384436831178E-2</c:v>
                </c:pt>
                <c:pt idx="2">
                  <c:v>-2.4756681212531974E-2</c:v>
                </c:pt>
                <c:pt idx="3">
                  <c:v>-2.5050588300110893E-2</c:v>
                </c:pt>
                <c:pt idx="4">
                  <c:v>-6.0453081601726799E-3</c:v>
                </c:pt>
                <c:pt idx="5">
                  <c:v>-5.0570115097375613E-3</c:v>
                </c:pt>
                <c:pt idx="6">
                  <c:v>1.7323062194589692E-2</c:v>
                </c:pt>
                <c:pt idx="7">
                  <c:v>2.0393667947206397E-2</c:v>
                </c:pt>
                <c:pt idx="8">
                  <c:v>4.1287331960259292E-2</c:v>
                </c:pt>
                <c:pt idx="9">
                  <c:v>4.1786922776703435E-2</c:v>
                </c:pt>
                <c:pt idx="10">
                  <c:v>6.9785659134004863E-2</c:v>
                </c:pt>
                <c:pt idx="11">
                  <c:v>6.9693164891830306E-2</c:v>
                </c:pt>
                <c:pt idx="12">
                  <c:v>9.1725123174782361E-2</c:v>
                </c:pt>
                <c:pt idx="13">
                  <c:v>9.3863719259095521E-2</c:v>
                </c:pt>
                <c:pt idx="14">
                  <c:v>0.11344187784518875</c:v>
                </c:pt>
                <c:pt idx="15">
                  <c:v>0.11718033837257724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7-45EB-9A75-5EC2CE375E84}"/>
            </c:ext>
          </c:extLst>
        </c:ser>
        <c:ser>
          <c:idx val="0"/>
          <c:order val="1"/>
          <c:tx>
            <c:v>Tail On (i = +1)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02937230893171"/>
                  <c:y val="-3.969118874984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8100" cap="rnd">
                <a:solidFill>
                  <a:schemeClr val="accent1"/>
                </a:solidFill>
                <a:prstDash val="lgDashDot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Test'!$BB$23:$BB$38</c:f>
                <c:numCache>
                  <c:formatCode>General</c:formatCode>
                  <c:ptCount val="16"/>
                  <c:pt idx="0">
                    <c:v>3.1309067903476356E-3</c:v>
                  </c:pt>
                  <c:pt idx="1">
                    <c:v>3.264609722485655E-3</c:v>
                  </c:pt>
                  <c:pt idx="2">
                    <c:v>-1.6348760401578427E-3</c:v>
                  </c:pt>
                  <c:pt idx="3">
                    <c:v>-1.5585376587622052E-3</c:v>
                  </c:pt>
                  <c:pt idx="4">
                    <c:v>-5.7574302393142559E-3</c:v>
                  </c:pt>
                  <c:pt idx="5">
                    <c:v>-5.9575420856389305E-3</c:v>
                  </c:pt>
                  <c:pt idx="6">
                    <c:v>-9.9872625013398865E-3</c:v>
                  </c:pt>
                  <c:pt idx="7">
                    <c:v>-9.9282322114860235E-3</c:v>
                  </c:pt>
                  <c:pt idx="8">
                    <c:v>-1.492898159781115E-2</c:v>
                  </c:pt>
                  <c:pt idx="9">
                    <c:v>-1.4273782696230803E-2</c:v>
                  </c:pt>
                  <c:pt idx="10">
                    <c:v>-1.8417649591072196E-2</c:v>
                  </c:pt>
                  <c:pt idx="11">
                    <c:v>-1.8577396305916656E-2</c:v>
                  </c:pt>
                  <c:pt idx="12">
                    <c:v>-2.0929726415911766E-2</c:v>
                  </c:pt>
                  <c:pt idx="13">
                    <c:v>-2.0728099524969245E-2</c:v>
                  </c:pt>
                  <c:pt idx="14">
                    <c:v>-2.320611384114132E-2</c:v>
                  </c:pt>
                  <c:pt idx="15">
                    <c:v>-2.3393058080481619E-2</c:v>
                  </c:pt>
                </c:numCache>
              </c:numRef>
            </c:plus>
            <c:minus>
              <c:numRef>
                <c:f>'Wind Tunnel Test'!$BB$23:$BB$38</c:f>
                <c:numCache>
                  <c:formatCode>General</c:formatCode>
                  <c:ptCount val="16"/>
                  <c:pt idx="0">
                    <c:v>3.1309067903476356E-3</c:v>
                  </c:pt>
                  <c:pt idx="1">
                    <c:v>3.264609722485655E-3</c:v>
                  </c:pt>
                  <c:pt idx="2">
                    <c:v>-1.6348760401578427E-3</c:v>
                  </c:pt>
                  <c:pt idx="3">
                    <c:v>-1.5585376587622052E-3</c:v>
                  </c:pt>
                  <c:pt idx="4">
                    <c:v>-5.7574302393142559E-3</c:v>
                  </c:pt>
                  <c:pt idx="5">
                    <c:v>-5.9575420856389305E-3</c:v>
                  </c:pt>
                  <c:pt idx="6">
                    <c:v>-9.9872625013398865E-3</c:v>
                  </c:pt>
                  <c:pt idx="7">
                    <c:v>-9.9282322114860235E-3</c:v>
                  </c:pt>
                  <c:pt idx="8">
                    <c:v>-1.492898159781115E-2</c:v>
                  </c:pt>
                  <c:pt idx="9">
                    <c:v>-1.4273782696230803E-2</c:v>
                  </c:pt>
                  <c:pt idx="10">
                    <c:v>-1.8417649591072196E-2</c:v>
                  </c:pt>
                  <c:pt idx="11">
                    <c:v>-1.8577396305916656E-2</c:v>
                  </c:pt>
                  <c:pt idx="12">
                    <c:v>-2.0929726415911766E-2</c:v>
                  </c:pt>
                  <c:pt idx="13">
                    <c:v>-2.0728099524969245E-2</c:v>
                  </c:pt>
                  <c:pt idx="14">
                    <c:v>-2.320611384114132E-2</c:v>
                  </c:pt>
                  <c:pt idx="15">
                    <c:v>-2.3393058080481619E-2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plus>
            <c:min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xVal>
          <c:yVal>
            <c:numRef>
              <c:f>'Wind Tunnel Test'!$AL$23:$AL$38</c:f>
              <c:numCache>
                <c:formatCode>General</c:formatCode>
                <c:ptCount val="16"/>
                <c:pt idx="0">
                  <c:v>2.6144201735816972E-2</c:v>
                </c:pt>
                <c:pt idx="1">
                  <c:v>2.203275509330262E-2</c:v>
                </c:pt>
                <c:pt idx="2">
                  <c:v>-1.3498709978205715E-2</c:v>
                </c:pt>
                <c:pt idx="3">
                  <c:v>-1.3009539688858044E-2</c:v>
                </c:pt>
                <c:pt idx="4">
                  <c:v>-4.2522935843404518E-2</c:v>
                </c:pt>
                <c:pt idx="5">
                  <c:v>-4.3691641187586283E-2</c:v>
                </c:pt>
                <c:pt idx="6">
                  <c:v>-7.2208057234770084E-2</c:v>
                </c:pt>
                <c:pt idx="7">
                  <c:v>-7.1947913098324559E-2</c:v>
                </c:pt>
                <c:pt idx="8">
                  <c:v>-0.1059467938627518</c:v>
                </c:pt>
                <c:pt idx="9">
                  <c:v>-0.10200659017823943</c:v>
                </c:pt>
                <c:pt idx="10">
                  <c:v>-0.13026572348079823</c:v>
                </c:pt>
                <c:pt idx="11">
                  <c:v>-0.13122845470250721</c:v>
                </c:pt>
                <c:pt idx="12">
                  <c:v>-0.1481858029264134</c:v>
                </c:pt>
                <c:pt idx="13">
                  <c:v>-0.1469657360368278</c:v>
                </c:pt>
                <c:pt idx="14">
                  <c:v>-0.16421296540622832</c:v>
                </c:pt>
                <c:pt idx="15">
                  <c:v>-0.16531586681126953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7-45EB-9A75-5EC2CE375E84}"/>
            </c:ext>
          </c:extLst>
        </c:ser>
        <c:ser>
          <c:idx val="1"/>
          <c:order val="2"/>
          <c:tx>
            <c:v>Tail On (i = -2)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551077912848691E-2"/>
                  <c:y val="-0.14024928039915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Test'!$BB$42:$BB$62</c:f>
                <c:numCache>
                  <c:formatCode>General</c:formatCode>
                  <c:ptCount val="21"/>
                  <c:pt idx="0">
                    <c:v>2.4791714021279707E-2</c:v>
                  </c:pt>
                  <c:pt idx="1">
                    <c:v>2.4313203238643017E-2</c:v>
                  </c:pt>
                  <c:pt idx="2">
                    <c:v>1.8170644047779894E-2</c:v>
                  </c:pt>
                  <c:pt idx="3">
                    <c:v>1.87933287798983E-2</c:v>
                  </c:pt>
                  <c:pt idx="4">
                    <c:v>1.3407972542011861E-2</c:v>
                  </c:pt>
                  <c:pt idx="5">
                    <c:v>1.3329143593858872E-2</c:v>
                  </c:pt>
                  <c:pt idx="6">
                    <c:v>9.2096301850007022E-3</c:v>
                  </c:pt>
                  <c:pt idx="7">
                    <c:v>8.9669903914426259E-3</c:v>
                  </c:pt>
                  <c:pt idx="8">
                    <c:v>5.8943132955459792E-3</c:v>
                  </c:pt>
                  <c:pt idx="9">
                    <c:v>5.5416680353780334E-3</c:v>
                  </c:pt>
                  <c:pt idx="10">
                    <c:v>2.6631850741936605E-3</c:v>
                  </c:pt>
                  <c:pt idx="11">
                    <c:v>2.087231573081447E-3</c:v>
                  </c:pt>
                  <c:pt idx="12">
                    <c:v>1.5411339436444962E-4</c:v>
                  </c:pt>
                  <c:pt idx="13">
                    <c:v>-3.4443339755910549E-3</c:v>
                  </c:pt>
                  <c:pt idx="14">
                    <c:v>-4.5577284333765591E-3</c:v>
                  </c:pt>
                  <c:pt idx="15">
                    <c:v>-5.413094153487244E-3</c:v>
                  </c:pt>
                  <c:pt idx="16">
                    <c:v>-8.231137687293005E-3</c:v>
                  </c:pt>
                  <c:pt idx="17">
                    <c:v>-8.2830292711590058E-3</c:v>
                  </c:pt>
                  <c:pt idx="18">
                    <c:v>-8.9774622598670882E-3</c:v>
                  </c:pt>
                  <c:pt idx="19">
                    <c:v>-1.0306757841376791E-2</c:v>
                  </c:pt>
                  <c:pt idx="20">
                    <c:v>-1.1015156461373198E-2</c:v>
                  </c:pt>
                </c:numCache>
              </c:numRef>
            </c:plus>
            <c:minus>
              <c:numRef>
                <c:f>'Wind Tunnel Test'!$BB$42:$BB$62</c:f>
                <c:numCache>
                  <c:formatCode>General</c:formatCode>
                  <c:ptCount val="21"/>
                  <c:pt idx="0">
                    <c:v>2.4791714021279707E-2</c:v>
                  </c:pt>
                  <c:pt idx="1">
                    <c:v>2.4313203238643017E-2</c:v>
                  </c:pt>
                  <c:pt idx="2">
                    <c:v>1.8170644047779894E-2</c:v>
                  </c:pt>
                  <c:pt idx="3">
                    <c:v>1.87933287798983E-2</c:v>
                  </c:pt>
                  <c:pt idx="4">
                    <c:v>1.3407972542011861E-2</c:v>
                  </c:pt>
                  <c:pt idx="5">
                    <c:v>1.3329143593858872E-2</c:v>
                  </c:pt>
                  <c:pt idx="6">
                    <c:v>9.2096301850007022E-3</c:v>
                  </c:pt>
                  <c:pt idx="7">
                    <c:v>8.9669903914426259E-3</c:v>
                  </c:pt>
                  <c:pt idx="8">
                    <c:v>5.8943132955459792E-3</c:v>
                  </c:pt>
                  <c:pt idx="9">
                    <c:v>5.5416680353780334E-3</c:v>
                  </c:pt>
                  <c:pt idx="10">
                    <c:v>2.6631850741936605E-3</c:v>
                  </c:pt>
                  <c:pt idx="11">
                    <c:v>2.087231573081447E-3</c:v>
                  </c:pt>
                  <c:pt idx="12">
                    <c:v>1.5411339436444962E-4</c:v>
                  </c:pt>
                  <c:pt idx="13">
                    <c:v>-3.4443339755910549E-3</c:v>
                  </c:pt>
                  <c:pt idx="14">
                    <c:v>-4.5577284333765591E-3</c:v>
                  </c:pt>
                  <c:pt idx="15">
                    <c:v>-5.413094153487244E-3</c:v>
                  </c:pt>
                  <c:pt idx="16">
                    <c:v>-8.231137687293005E-3</c:v>
                  </c:pt>
                  <c:pt idx="17">
                    <c:v>-8.2830292711590058E-3</c:v>
                  </c:pt>
                  <c:pt idx="18">
                    <c:v>-8.9774622598670882E-3</c:v>
                  </c:pt>
                  <c:pt idx="19">
                    <c:v>-1.0306757841376791E-2</c:v>
                  </c:pt>
                  <c:pt idx="20">
                    <c:v>-1.1015156461373198E-2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plus>
            <c:min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Test'!$AM$42:$AM$62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xVal>
          <c:yVal>
            <c:numRef>
              <c:f>'Wind Tunnel Test'!$AL$42:$AL$62</c:f>
              <c:numCache>
                <c:formatCode>General</c:formatCode>
                <c:ptCount val="21"/>
                <c:pt idx="0">
                  <c:v>0.14829448069788811</c:v>
                </c:pt>
                <c:pt idx="1">
                  <c:v>0.14534372693788319</c:v>
                </c:pt>
                <c:pt idx="2">
                  <c:v>0.10411987879764889</c:v>
                </c:pt>
                <c:pt idx="3">
                  <c:v>0.10769889832795047</c:v>
                </c:pt>
                <c:pt idx="4">
                  <c:v>7.1555610499984851E-2</c:v>
                </c:pt>
                <c:pt idx="5">
                  <c:v>7.1066640831659519E-2</c:v>
                </c:pt>
                <c:pt idx="6">
                  <c:v>4.2179448993592203E-2</c:v>
                </c:pt>
                <c:pt idx="7">
                  <c:v>4.0642027842689596E-2</c:v>
                </c:pt>
                <c:pt idx="8">
                  <c:v>1.8092691215668533E-2</c:v>
                </c:pt>
                <c:pt idx="9">
                  <c:v>1.6026198330007239E-2</c:v>
                </c:pt>
                <c:pt idx="10">
                  <c:v>-4.718021556320097E-3</c:v>
                </c:pt>
                <c:pt idx="11">
                  <c:v>-8.0994008932433349E-3</c:v>
                </c:pt>
                <c:pt idx="12">
                  <c:v>-2.1550133799065452E-2</c:v>
                </c:pt>
                <c:pt idx="13">
                  <c:v>-4.4030068065514613E-2</c:v>
                </c:pt>
                <c:pt idx="14">
                  <c:v>-5.1707833108248197E-2</c:v>
                </c:pt>
                <c:pt idx="15">
                  <c:v>-5.7144604803251245E-2</c:v>
                </c:pt>
                <c:pt idx="16">
                  <c:v>-7.5034014178560773E-2</c:v>
                </c:pt>
                <c:pt idx="17">
                  <c:v>-7.5402687356003348E-2</c:v>
                </c:pt>
                <c:pt idx="18">
                  <c:v>-8.0212286690360499E-2</c:v>
                </c:pt>
                <c:pt idx="19">
                  <c:v>-8.8297558520029046E-2</c:v>
                </c:pt>
                <c:pt idx="20">
                  <c:v>-9.2472168903930008E-2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27-45EB-9A75-5EC2CE37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>
            <c:manualLayout>
              <c:xMode val="edge"/>
              <c:yMode val="edge"/>
              <c:x val="1.2976928951891797E-2"/>
              <c:y val="0.43271603065537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4572218448656494"/>
          <c:y val="0.59392355998150959"/>
          <c:w val="0.22088664825880019"/>
          <c:h val="0.27583146543109827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</a:t>
            </a:r>
            <a:r>
              <a:rPr lang="en-GB" baseline="0"/>
              <a:t> vs Cl NOT CORRECTED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4EA72E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47166864253782E-2"/>
                  <c:y val="-6.9416976598845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Test'!$BB$4:$BB$19</c:f>
                <c:numCache>
                  <c:formatCode>General</c:formatCode>
                  <c:ptCount val="16"/>
                  <c:pt idx="0">
                    <c:v>-5.5959611690577843E-3</c:v>
                  </c:pt>
                  <c:pt idx="1">
                    <c:v>-5.3382535852022038E-3</c:v>
                  </c:pt>
                  <c:pt idx="2">
                    <c:v>-4.2302629606316309E-3</c:v>
                  </c:pt>
                  <c:pt idx="3">
                    <c:v>-4.2816906106721234E-3</c:v>
                  </c:pt>
                  <c:pt idx="4">
                    <c:v>-1.0292577965983181E-3</c:v>
                  </c:pt>
                  <c:pt idx="5">
                    <c:v>-8.6100416393548689E-4</c:v>
                  </c:pt>
                  <c:pt idx="6">
                    <c:v>2.946774622227128E-3</c:v>
                  </c:pt>
                  <c:pt idx="7">
                    <c:v>3.469110131592225E-3</c:v>
                  </c:pt>
                  <c:pt idx="8">
                    <c:v>7.0204798531612123E-3</c:v>
                  </c:pt>
                  <c:pt idx="9">
                    <c:v>7.1054545281513297E-3</c:v>
                  </c:pt>
                  <c:pt idx="10">
                    <c:v>1.1863803740661335E-2</c:v>
                  </c:pt>
                  <c:pt idx="11">
                    <c:v>1.1848136411937668E-2</c:v>
                  </c:pt>
                  <c:pt idx="12">
                    <c:v>1.5591507622267744E-2</c:v>
                  </c:pt>
                  <c:pt idx="13">
                    <c:v>1.5955000613081069E-2</c:v>
                  </c:pt>
                  <c:pt idx="14">
                    <c:v>1.9281160897968407E-2</c:v>
                  </c:pt>
                  <c:pt idx="15">
                    <c:v>1.9916480040917079E-2</c:v>
                  </c:pt>
                </c:numCache>
              </c:numRef>
            </c:plus>
            <c:minus>
              <c:numRef>
                <c:f>'Wind Tunnel Test'!$BB$4:$BB$19</c:f>
                <c:numCache>
                  <c:formatCode>General</c:formatCode>
                  <c:ptCount val="16"/>
                  <c:pt idx="0">
                    <c:v>-5.5959611690577843E-3</c:v>
                  </c:pt>
                  <c:pt idx="1">
                    <c:v>-5.3382535852022038E-3</c:v>
                  </c:pt>
                  <c:pt idx="2">
                    <c:v>-4.2302629606316309E-3</c:v>
                  </c:pt>
                  <c:pt idx="3">
                    <c:v>-4.2816906106721234E-3</c:v>
                  </c:pt>
                  <c:pt idx="4">
                    <c:v>-1.0292577965983181E-3</c:v>
                  </c:pt>
                  <c:pt idx="5">
                    <c:v>-8.6100416393548689E-4</c:v>
                  </c:pt>
                  <c:pt idx="6">
                    <c:v>2.946774622227128E-3</c:v>
                  </c:pt>
                  <c:pt idx="7">
                    <c:v>3.469110131592225E-3</c:v>
                  </c:pt>
                  <c:pt idx="8">
                    <c:v>7.0204798531612123E-3</c:v>
                  </c:pt>
                  <c:pt idx="9">
                    <c:v>7.1054545281513297E-3</c:v>
                  </c:pt>
                  <c:pt idx="10">
                    <c:v>1.1863803740661335E-2</c:v>
                  </c:pt>
                  <c:pt idx="11">
                    <c:v>1.1848136411937668E-2</c:v>
                  </c:pt>
                  <c:pt idx="12">
                    <c:v>1.5591507622267744E-2</c:v>
                  </c:pt>
                  <c:pt idx="13">
                    <c:v>1.5955000613081069E-2</c:v>
                  </c:pt>
                  <c:pt idx="14">
                    <c:v>1.9281160897968407E-2</c:v>
                  </c:pt>
                  <c:pt idx="15">
                    <c:v>1.9916480040917079E-2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plus>
            <c:min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Test'!$AU$4:$AU$19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xVal>
          <c:yVal>
            <c:numRef>
              <c:f>'Wind Tunnel Test'!$AT$4:$AT$19</c:f>
              <c:numCache>
                <c:formatCode>General</c:formatCode>
                <c:ptCount val="16"/>
                <c:pt idx="0">
                  <c:v>-3.6099471213817638E-2</c:v>
                </c:pt>
                <c:pt idx="1">
                  <c:v>-3.9879215759141502E-2</c:v>
                </c:pt>
                <c:pt idx="2">
                  <c:v>-2.0680982497417066E-2</c:v>
                </c:pt>
                <c:pt idx="3">
                  <c:v>-2.1071525341421472E-2</c:v>
                </c:pt>
                <c:pt idx="4">
                  <c:v>2.1442308318773487E-3</c:v>
                </c:pt>
                <c:pt idx="5">
                  <c:v>3.1044173681596954E-3</c:v>
                </c:pt>
                <c:pt idx="6">
                  <c:v>2.9562636661058583E-2</c:v>
                </c:pt>
                <c:pt idx="7">
                  <c:v>3.2654148863963409E-2</c:v>
                </c:pt>
                <c:pt idx="8">
                  <c:v>5.7463067642246013E-2</c:v>
                </c:pt>
                <c:pt idx="9">
                  <c:v>5.795233509796241E-2</c:v>
                </c:pt>
                <c:pt idx="10">
                  <c:v>8.9092776094984824E-2</c:v>
                </c:pt>
                <c:pt idx="11">
                  <c:v>8.902065572598826E-2</c:v>
                </c:pt>
                <c:pt idx="12">
                  <c:v>0.11370665227684811</c:v>
                </c:pt>
                <c:pt idx="13">
                  <c:v>0.11586100257581441</c:v>
                </c:pt>
                <c:pt idx="14">
                  <c:v>0.13768690549848006</c:v>
                </c:pt>
                <c:pt idx="15">
                  <c:v>0.14134178309963177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4-49CB-B306-87159B81631A}"/>
            </c:ext>
          </c:extLst>
        </c:ser>
        <c:ser>
          <c:idx val="0"/>
          <c:order val="1"/>
          <c:tx>
            <c:v>Tail On (i = +1)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242215412272595E-2"/>
                  <c:y val="3.6615507646555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Test'!$BB$23:$BB$38</c:f>
                <c:numCache>
                  <c:formatCode>General</c:formatCode>
                  <c:ptCount val="16"/>
                  <c:pt idx="0">
                    <c:v>3.1309067903476356E-3</c:v>
                  </c:pt>
                  <c:pt idx="1">
                    <c:v>3.264609722485655E-3</c:v>
                  </c:pt>
                  <c:pt idx="2">
                    <c:v>-1.6348760401578427E-3</c:v>
                  </c:pt>
                  <c:pt idx="3">
                    <c:v>-1.5585376587622052E-3</c:v>
                  </c:pt>
                  <c:pt idx="4">
                    <c:v>-5.7574302393142559E-3</c:v>
                  </c:pt>
                  <c:pt idx="5">
                    <c:v>-5.9575420856389305E-3</c:v>
                  </c:pt>
                  <c:pt idx="6">
                    <c:v>-9.9872625013398865E-3</c:v>
                  </c:pt>
                  <c:pt idx="7">
                    <c:v>-9.9282322114860235E-3</c:v>
                  </c:pt>
                  <c:pt idx="8">
                    <c:v>-1.492898159781115E-2</c:v>
                  </c:pt>
                  <c:pt idx="9">
                    <c:v>-1.4273782696230803E-2</c:v>
                  </c:pt>
                  <c:pt idx="10">
                    <c:v>-1.8417649591072196E-2</c:v>
                  </c:pt>
                  <c:pt idx="11">
                    <c:v>-1.8577396305916656E-2</c:v>
                  </c:pt>
                  <c:pt idx="12">
                    <c:v>-2.0929726415911766E-2</c:v>
                  </c:pt>
                  <c:pt idx="13">
                    <c:v>-2.0728099524969245E-2</c:v>
                  </c:pt>
                  <c:pt idx="14">
                    <c:v>-2.320611384114132E-2</c:v>
                  </c:pt>
                  <c:pt idx="15">
                    <c:v>-2.3393058080481619E-2</c:v>
                  </c:pt>
                </c:numCache>
              </c:numRef>
            </c:plus>
            <c:minus>
              <c:numRef>
                <c:f>'Wind Tunnel Test'!$BB$23:$BB$38</c:f>
                <c:numCache>
                  <c:formatCode>General</c:formatCode>
                  <c:ptCount val="16"/>
                  <c:pt idx="0">
                    <c:v>3.1309067903476356E-3</c:v>
                  </c:pt>
                  <c:pt idx="1">
                    <c:v>3.264609722485655E-3</c:v>
                  </c:pt>
                  <c:pt idx="2">
                    <c:v>-1.6348760401578427E-3</c:v>
                  </c:pt>
                  <c:pt idx="3">
                    <c:v>-1.5585376587622052E-3</c:v>
                  </c:pt>
                  <c:pt idx="4">
                    <c:v>-5.7574302393142559E-3</c:v>
                  </c:pt>
                  <c:pt idx="5">
                    <c:v>-5.9575420856389305E-3</c:v>
                  </c:pt>
                  <c:pt idx="6">
                    <c:v>-9.9872625013398865E-3</c:v>
                  </c:pt>
                  <c:pt idx="7">
                    <c:v>-9.9282322114860235E-3</c:v>
                  </c:pt>
                  <c:pt idx="8">
                    <c:v>-1.492898159781115E-2</c:v>
                  </c:pt>
                  <c:pt idx="9">
                    <c:v>-1.4273782696230803E-2</c:v>
                  </c:pt>
                  <c:pt idx="10">
                    <c:v>-1.8417649591072196E-2</c:v>
                  </c:pt>
                  <c:pt idx="11">
                    <c:v>-1.8577396305916656E-2</c:v>
                  </c:pt>
                  <c:pt idx="12">
                    <c:v>-2.0929726415911766E-2</c:v>
                  </c:pt>
                  <c:pt idx="13">
                    <c:v>-2.0728099524969245E-2</c:v>
                  </c:pt>
                  <c:pt idx="14">
                    <c:v>-2.320611384114132E-2</c:v>
                  </c:pt>
                  <c:pt idx="15">
                    <c:v>-2.3393058080481619E-2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plus>
            <c:min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Test'!$AU$23:$AU$38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xVal>
          <c:yVal>
            <c:numRef>
              <c:f>'Wind Tunnel Test'!$AT$23:$AT$38</c:f>
              <c:numCache>
                <c:formatCode>General</c:formatCode>
                <c:ptCount val="16"/>
                <c:pt idx="0">
                  <c:v>2.5228658993135856E-2</c:v>
                </c:pt>
                <c:pt idx="1">
                  <c:v>2.1170845063221037E-2</c:v>
                </c:pt>
                <c:pt idx="2">
                  <c:v>-9.5721394904850314E-3</c:v>
                </c:pt>
                <c:pt idx="3">
                  <c:v>-9.1242869092340393E-3</c:v>
                </c:pt>
                <c:pt idx="4">
                  <c:v>-3.3813204505029532E-2</c:v>
                </c:pt>
                <c:pt idx="5">
                  <c:v>-3.4986922265502658E-2</c:v>
                </c:pt>
                <c:pt idx="6">
                  <c:v>-5.8705310399642746E-2</c:v>
                </c:pt>
                <c:pt idx="7">
                  <c:v>-5.8358699591592816E-2</c:v>
                </c:pt>
                <c:pt idx="8">
                  <c:v>-8.7785502921061617E-2</c:v>
                </c:pt>
                <c:pt idx="9">
                  <c:v>-8.3933395028693764E-2</c:v>
                </c:pt>
                <c:pt idx="10">
                  <c:v>-0.10832397273026345</c:v>
                </c:pt>
                <c:pt idx="11">
                  <c:v>-0.10926378492765305</c:v>
                </c:pt>
                <c:pt idx="12">
                  <c:v>-0.12311631076903633</c:v>
                </c:pt>
                <c:pt idx="13">
                  <c:v>-0.12193038983591981</c:v>
                </c:pt>
                <c:pt idx="14">
                  <c:v>-0.13651990246244308</c:v>
                </c:pt>
                <c:pt idx="15">
                  <c:v>-0.13761980963539652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A4-49CB-B306-87159B81631A}"/>
            </c:ext>
          </c:extLst>
        </c:ser>
        <c:ser>
          <c:idx val="1"/>
          <c:order val="2"/>
          <c:tx>
            <c:v>Tail On (i = -2)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052532380900004E-2"/>
                  <c:y val="-0.13742825964746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'Wind Tunnel Test'!$BB$42:$BB$62</c:f>
                <c:numCache>
                  <c:formatCode>General</c:formatCode>
                  <c:ptCount val="21"/>
                  <c:pt idx="0">
                    <c:v>2.4791714021279707E-2</c:v>
                  </c:pt>
                  <c:pt idx="1">
                    <c:v>2.4313203238643017E-2</c:v>
                  </c:pt>
                  <c:pt idx="2">
                    <c:v>1.8170644047779894E-2</c:v>
                  </c:pt>
                  <c:pt idx="3">
                    <c:v>1.87933287798983E-2</c:v>
                  </c:pt>
                  <c:pt idx="4">
                    <c:v>1.3407972542011861E-2</c:v>
                  </c:pt>
                  <c:pt idx="5">
                    <c:v>1.3329143593858872E-2</c:v>
                  </c:pt>
                  <c:pt idx="6">
                    <c:v>9.2096301850007022E-3</c:v>
                  </c:pt>
                  <c:pt idx="7">
                    <c:v>8.9669903914426259E-3</c:v>
                  </c:pt>
                  <c:pt idx="8">
                    <c:v>5.8943132955459792E-3</c:v>
                  </c:pt>
                  <c:pt idx="9">
                    <c:v>5.5416680353780334E-3</c:v>
                  </c:pt>
                  <c:pt idx="10">
                    <c:v>2.6631850741936605E-3</c:v>
                  </c:pt>
                  <c:pt idx="11">
                    <c:v>2.087231573081447E-3</c:v>
                  </c:pt>
                  <c:pt idx="12">
                    <c:v>1.5411339436444962E-4</c:v>
                  </c:pt>
                  <c:pt idx="13">
                    <c:v>-3.4443339755910549E-3</c:v>
                  </c:pt>
                  <c:pt idx="14">
                    <c:v>-4.5577284333765591E-3</c:v>
                  </c:pt>
                  <c:pt idx="15">
                    <c:v>-5.413094153487244E-3</c:v>
                  </c:pt>
                  <c:pt idx="16">
                    <c:v>-8.231137687293005E-3</c:v>
                  </c:pt>
                  <c:pt idx="17">
                    <c:v>-8.2830292711590058E-3</c:v>
                  </c:pt>
                  <c:pt idx="18">
                    <c:v>-8.9774622598670882E-3</c:v>
                  </c:pt>
                  <c:pt idx="19">
                    <c:v>-1.0306757841376791E-2</c:v>
                  </c:pt>
                  <c:pt idx="20">
                    <c:v>-1.1015156461373198E-2</c:v>
                  </c:pt>
                </c:numCache>
              </c:numRef>
            </c:plus>
            <c:minus>
              <c:numRef>
                <c:f>'Wind Tunnel Test'!$BB$42:$BB$62</c:f>
                <c:numCache>
                  <c:formatCode>General</c:formatCode>
                  <c:ptCount val="21"/>
                  <c:pt idx="0">
                    <c:v>2.4791714021279707E-2</c:v>
                  </c:pt>
                  <c:pt idx="1">
                    <c:v>2.4313203238643017E-2</c:v>
                  </c:pt>
                  <c:pt idx="2">
                    <c:v>1.8170644047779894E-2</c:v>
                  </c:pt>
                  <c:pt idx="3">
                    <c:v>1.87933287798983E-2</c:v>
                  </c:pt>
                  <c:pt idx="4">
                    <c:v>1.3407972542011861E-2</c:v>
                  </c:pt>
                  <c:pt idx="5">
                    <c:v>1.3329143593858872E-2</c:v>
                  </c:pt>
                  <c:pt idx="6">
                    <c:v>9.2096301850007022E-3</c:v>
                  </c:pt>
                  <c:pt idx="7">
                    <c:v>8.9669903914426259E-3</c:v>
                  </c:pt>
                  <c:pt idx="8">
                    <c:v>5.8943132955459792E-3</c:v>
                  </c:pt>
                  <c:pt idx="9">
                    <c:v>5.5416680353780334E-3</c:v>
                  </c:pt>
                  <c:pt idx="10">
                    <c:v>2.6631850741936605E-3</c:v>
                  </c:pt>
                  <c:pt idx="11">
                    <c:v>2.087231573081447E-3</c:v>
                  </c:pt>
                  <c:pt idx="12">
                    <c:v>1.5411339436444962E-4</c:v>
                  </c:pt>
                  <c:pt idx="13">
                    <c:v>-3.4443339755910549E-3</c:v>
                  </c:pt>
                  <c:pt idx="14">
                    <c:v>-4.5577284333765591E-3</c:v>
                  </c:pt>
                  <c:pt idx="15">
                    <c:v>-5.413094153487244E-3</c:v>
                  </c:pt>
                  <c:pt idx="16">
                    <c:v>-8.231137687293005E-3</c:v>
                  </c:pt>
                  <c:pt idx="17">
                    <c:v>-8.2830292711590058E-3</c:v>
                  </c:pt>
                  <c:pt idx="18">
                    <c:v>-8.9774622598670882E-3</c:v>
                  </c:pt>
                  <c:pt idx="19">
                    <c:v>-1.0306757841376791E-2</c:v>
                  </c:pt>
                  <c:pt idx="20">
                    <c:v>-1.1015156461373198E-2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plus>
            <c:min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Test'!$AU$42:$AU$62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xVal>
          <c:yVal>
            <c:numRef>
              <c:f>'Wind Tunnel Test'!$AT$42:$AT$62</c:f>
              <c:numCache>
                <c:formatCode>General</c:formatCode>
                <c:ptCount val="21"/>
                <c:pt idx="0">
                  <c:v>0.14583956375858359</c:v>
                </c:pt>
                <c:pt idx="1">
                  <c:v>0.14296854985295465</c:v>
                </c:pt>
                <c:pt idx="2">
                  <c:v>0.10650831812589377</c:v>
                </c:pt>
                <c:pt idx="3">
                  <c:v>0.11016976606308308</c:v>
                </c:pt>
                <c:pt idx="4">
                  <c:v>7.8774857794614642E-2</c:v>
                </c:pt>
                <c:pt idx="5">
                  <c:v>7.83134348744879E-2</c:v>
                </c:pt>
                <c:pt idx="6">
                  <c:v>5.4144682562618132E-2</c:v>
                </c:pt>
                <c:pt idx="7">
                  <c:v>5.2718601815534755E-2</c:v>
                </c:pt>
                <c:pt idx="8">
                  <c:v>3.466478312489106E-2</c:v>
                </c:pt>
                <c:pt idx="9">
                  <c:v>3.259064764778985E-2</c:v>
                </c:pt>
                <c:pt idx="10">
                  <c:v>1.5665111139608629E-2</c:v>
                </c:pt>
                <c:pt idx="11">
                  <c:v>1.2277387103124855E-2</c:v>
                </c:pt>
                <c:pt idx="12">
                  <c:v>9.0658197766266355E-4</c:v>
                </c:pt>
                <c:pt idx="13">
                  <c:v>-2.0262187471740016E-2</c:v>
                </c:pt>
                <c:pt idx="14">
                  <c:v>-2.6812935951845945E-2</c:v>
                </c:pt>
                <c:pt idx="15">
                  <c:v>-3.1845300259426446E-2</c:v>
                </c:pt>
                <c:pt idx="16">
                  <c:v>-4.8425682541921186E-2</c:v>
                </c:pt>
                <c:pt idx="17">
                  <c:v>-4.8730813554497238E-2</c:v>
                </c:pt>
                <c:pt idx="18">
                  <c:v>-5.2817544303537342E-2</c:v>
                </c:pt>
                <c:pt idx="19">
                  <c:v>-6.0638971958487463E-2</c:v>
                </c:pt>
                <c:pt idx="20">
                  <c:v>-6.4807905550602715E-2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A4-49CB-B306-87159B81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  <c:majorUnit val="0.2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>
            <c:manualLayout>
              <c:xMode val="edge"/>
              <c:yMode val="edge"/>
              <c:x val="1.2976928951891797E-2"/>
              <c:y val="0.43271603065537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8373047022524706"/>
          <c:y val="0.58476771544551909"/>
          <c:w val="0.19960774634365847"/>
          <c:h val="0.2402964593418703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200"/>
              <a:t>Figure 2</a:t>
            </a:r>
            <a:r>
              <a:rPr lang="en-GB" sz="2200" baseline="0"/>
              <a:t>: </a:t>
            </a:r>
            <a:r>
              <a:rPr lang="en-GB" sz="2200"/>
              <a:t>Wind</a:t>
            </a:r>
            <a:r>
              <a:rPr lang="en-GB" sz="2200" baseline="0"/>
              <a:t> Tunnel Test, </a:t>
            </a:r>
            <a:r>
              <a:rPr lang="en-GB" sz="2200" b="0" i="0" u="none" strike="noStrike" kern="1200" spc="0" baseline="0">
                <a:solidFill>
                  <a:sysClr val="windowText" lastClr="000000"/>
                </a:solidFill>
                <a:effectLst/>
              </a:rPr>
              <a:t>C</a:t>
            </a:r>
            <a:r>
              <a:rPr lang="en-GB" sz="2200" b="0" i="0" u="none" strike="noStrike" kern="1200" spc="0" baseline="-25000">
                <a:solidFill>
                  <a:sysClr val="windowText" lastClr="000000"/>
                </a:solidFill>
                <a:effectLst/>
              </a:rPr>
              <a:t>L</a:t>
            </a:r>
            <a:r>
              <a:rPr lang="en-GB" sz="2200" baseline="0"/>
              <a:t> vs Angle of Attack</a:t>
            </a:r>
            <a:endParaRPr lang="en-GB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853342191975148E-2"/>
          <c:y val="0.10715312864360667"/>
          <c:w val="0.89411375573492313"/>
          <c:h val="0.80368089339151072"/>
        </c:manualLayout>
      </c:layout>
      <c:scatterChart>
        <c:scatterStyle val="lineMarker"/>
        <c:varyColors val="0"/>
        <c:ser>
          <c:idx val="5"/>
          <c:order val="0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plus>
            <c:minus>
              <c:numRef>
                <c:f>'Wind Tunnel Test'!$BC$4:$BC$19</c:f>
                <c:numCache>
                  <c:formatCode>General</c:formatCode>
                  <c:ptCount val="16"/>
                  <c:pt idx="0">
                    <c:v>-1.2365116213364772E-5</c:v>
                  </c:pt>
                  <c:pt idx="1">
                    <c:v>1.2163125725959971E-5</c:v>
                  </c:pt>
                  <c:pt idx="2">
                    <c:v>1.3177259984941837E-2</c:v>
                  </c:pt>
                  <c:pt idx="3">
                    <c:v>1.287135248627082E-2</c:v>
                  </c:pt>
                  <c:pt idx="4">
                    <c:v>2.6305928900730396E-2</c:v>
                  </c:pt>
                  <c:pt idx="5">
                    <c:v>2.6216244323521657E-2</c:v>
                  </c:pt>
                  <c:pt idx="6">
                    <c:v>3.9252559184021478E-2</c:v>
                  </c:pt>
                  <c:pt idx="7">
                    <c:v>3.931968626643495E-2</c:v>
                  </c:pt>
                  <c:pt idx="8">
                    <c:v>5.1838736673203968E-2</c:v>
                  </c:pt>
                  <c:pt idx="9">
                    <c:v>5.1805975611345714E-2</c:v>
                  </c:pt>
                  <c:pt idx="10">
                    <c:v>6.1850204509221768E-2</c:v>
                  </c:pt>
                  <c:pt idx="11">
                    <c:v>6.1916010581349337E-2</c:v>
                  </c:pt>
                  <c:pt idx="12">
                    <c:v>7.0400677995356695E-2</c:v>
                  </c:pt>
                  <c:pt idx="13">
                    <c:v>7.0450916967214533E-2</c:v>
                  </c:pt>
                  <c:pt idx="14">
                    <c:v>7.7637090179062562E-2</c:v>
                  </c:pt>
                  <c:pt idx="15">
                    <c:v>7.7368819165523059E-2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Test'!$M$4:$M$19</c:f>
              <c:numCache>
                <c:formatCode>General</c:formatCode>
                <c:ptCount val="16"/>
                <c:pt idx="0">
                  <c:v>-2.0001297717075417</c:v>
                </c:pt>
                <c:pt idx="1">
                  <c:v>-1.9998256121716214</c:v>
                </c:pt>
                <c:pt idx="2">
                  <c:v>0.1152195468476461</c:v>
                </c:pt>
                <c:pt idx="3">
                  <c:v>0.11248766482130018</c:v>
                </c:pt>
                <c:pt idx="4">
                  <c:v>2.2315173513821742</c:v>
                </c:pt>
                <c:pt idx="5">
                  <c:v>2.2307226815989276</c:v>
                </c:pt>
                <c:pt idx="6">
                  <c:v>4.3460114012855353</c:v>
                </c:pt>
                <c:pt idx="7">
                  <c:v>4.3466024242969903</c:v>
                </c:pt>
                <c:pt idx="8">
                  <c:v>6.4572862386255325</c:v>
                </c:pt>
                <c:pt idx="9">
                  <c:v>6.4569943983723297</c:v>
                </c:pt>
                <c:pt idx="10">
                  <c:v>8.5458100371670618</c:v>
                </c:pt>
                <c:pt idx="11">
                  <c:v>8.5463860042831783</c:v>
                </c:pt>
                <c:pt idx="12">
                  <c:v>10.621415369287657</c:v>
                </c:pt>
                <c:pt idx="13">
                  <c:v>10.621860739173941</c:v>
                </c:pt>
                <c:pt idx="14">
                  <c:v>12.685404220179734</c:v>
                </c:pt>
                <c:pt idx="15">
                  <c:v>12.683041340202985</c:v>
                </c:pt>
              </c:numCache>
            </c:numRef>
          </c:xVal>
          <c:y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D-46C3-BA52-655B3A8F66A5}"/>
            </c:ext>
          </c:extLst>
        </c:ser>
        <c:ser>
          <c:idx val="6"/>
          <c:order val="1"/>
          <c:tx>
            <c:v>Tail on (i = +1)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plus>
            <c:minus>
              <c:numRef>
                <c:f>'Wind Tunnel Test'!$BC$23:$BC$38</c:f>
                <c:numCache>
                  <c:formatCode>General</c:formatCode>
                  <c:ptCount val="16"/>
                  <c:pt idx="0">
                    <c:v>-1.5015417854993076E-3</c:v>
                  </c:pt>
                  <c:pt idx="1">
                    <c:v>-2.2972747530927359E-3</c:v>
                  </c:pt>
                  <c:pt idx="2">
                    <c:v>1.2684633377625376E-2</c:v>
                  </c:pt>
                  <c:pt idx="3">
                    <c:v>1.2553373011520229E-2</c:v>
                  </c:pt>
                  <c:pt idx="4">
                    <c:v>2.7981118860096323E-2</c:v>
                  </c:pt>
                  <c:pt idx="5">
                    <c:v>2.796722743539734E-2</c:v>
                  </c:pt>
                  <c:pt idx="6">
                    <c:v>4.3312012624552525E-2</c:v>
                  </c:pt>
                  <c:pt idx="7">
                    <c:v>4.3588867323464023E-2</c:v>
                  </c:pt>
                  <c:pt idx="8">
                    <c:v>5.8215792776183384E-2</c:v>
                  </c:pt>
                  <c:pt idx="9">
                    <c:v>5.7932657810873985E-2</c:v>
                  </c:pt>
                  <c:pt idx="10">
                    <c:v>7.0305405722803041E-2</c:v>
                  </c:pt>
                  <c:pt idx="11">
                    <c:v>7.0378543333998483E-2</c:v>
                  </c:pt>
                  <c:pt idx="12">
                    <c:v>8.0306651165876958E-2</c:v>
                  </c:pt>
                  <c:pt idx="13">
                    <c:v>8.0197123998065542E-2</c:v>
                  </c:pt>
                  <c:pt idx="14">
                    <c:v>8.8695572231840519E-2</c:v>
                  </c:pt>
                  <c:pt idx="15">
                    <c:v>8.87050134749129E-2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Test'!$M$23:$M$38</c:f>
              <c:numCache>
                <c:formatCode>General</c:formatCode>
                <c:ptCount val="16"/>
                <c:pt idx="0">
                  <c:v>-2.0258822909407312</c:v>
                </c:pt>
                <c:pt idx="1">
                  <c:v>-2.0243661001538582</c:v>
                </c:pt>
                <c:pt idx="2">
                  <c:v>0.11100370853780418</c:v>
                </c:pt>
                <c:pt idx="3">
                  <c:v>0.10983566155090897</c:v>
                </c:pt>
                <c:pt idx="4">
                  <c:v>2.2462231308341485</c:v>
                </c:pt>
                <c:pt idx="5">
                  <c:v>2.2460814303861834</c:v>
                </c:pt>
                <c:pt idx="6">
                  <c:v>4.381721142873535</c:v>
                </c:pt>
                <c:pt idx="7">
                  <c:v>4.3841655460093056</c:v>
                </c:pt>
                <c:pt idx="8">
                  <c:v>6.5134176637516266</c:v>
                </c:pt>
                <c:pt idx="9">
                  <c:v>6.5109272055603888</c:v>
                </c:pt>
                <c:pt idx="10">
                  <c:v>8.620290839738713</c:v>
                </c:pt>
                <c:pt idx="11">
                  <c:v>8.6209387579929437</c:v>
                </c:pt>
                <c:pt idx="12">
                  <c:v>10.70871173950162</c:v>
                </c:pt>
                <c:pt idx="13">
                  <c:v>10.707746437131144</c:v>
                </c:pt>
                <c:pt idx="14">
                  <c:v>12.782879792211608</c:v>
                </c:pt>
                <c:pt idx="15">
                  <c:v>12.782964438817853</c:v>
                </c:pt>
              </c:numCache>
            </c:numRef>
          </c:xVal>
          <c:y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D-46C3-BA52-655B3A8F66A5}"/>
            </c:ext>
          </c:extLst>
        </c:ser>
        <c:ser>
          <c:idx val="7"/>
          <c:order val="2"/>
          <c:tx>
            <c:v>Tail on (i = -2)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plus>
            <c:minus>
              <c:numRef>
                <c:f>'Wind Tunnel Test'!$BC$42:$BC$62</c:f>
                <c:numCache>
                  <c:formatCode>General</c:formatCode>
                  <c:ptCount val="21"/>
                  <c:pt idx="0">
                    <c:v>-7.8634383283832168E-3</c:v>
                  </c:pt>
                  <c:pt idx="1">
                    <c:v>-7.6134197032022575E-3</c:v>
                  </c:pt>
                  <c:pt idx="2">
                    <c:v>7.7001242632498057E-3</c:v>
                  </c:pt>
                  <c:pt idx="3">
                    <c:v>7.9643619454021191E-3</c:v>
                  </c:pt>
                  <c:pt idx="4">
                    <c:v>2.3176665632605408E-2</c:v>
                  </c:pt>
                  <c:pt idx="5">
                    <c:v>2.3264181728277052E-2</c:v>
                  </c:pt>
                  <c:pt idx="6">
                    <c:v>3.8367015781606048E-2</c:v>
                  </c:pt>
                  <c:pt idx="7">
                    <c:v>3.8723460104758044E-2</c:v>
                  </c:pt>
                  <c:pt idx="8">
                    <c:v>5.3107788002896034E-2</c:v>
                  </c:pt>
                  <c:pt idx="9">
                    <c:v>5.3083911834901853E-2</c:v>
                  </c:pt>
                  <c:pt idx="10">
                    <c:v>6.5299957383961521E-2</c:v>
                  </c:pt>
                  <c:pt idx="11">
                    <c:v>6.5278767005069002E-2</c:v>
                  </c:pt>
                  <c:pt idx="12">
                    <c:v>7.1932596102879165E-2</c:v>
                  </c:pt>
                  <c:pt idx="13">
                    <c:v>7.6127919102925851E-2</c:v>
                  </c:pt>
                  <c:pt idx="14">
                    <c:v>7.9732795323337602E-2</c:v>
                  </c:pt>
                  <c:pt idx="15">
                    <c:v>8.1026726465528082E-2</c:v>
                  </c:pt>
                  <c:pt idx="16">
                    <c:v>8.5213463922883911E-2</c:v>
                  </c:pt>
                  <c:pt idx="17">
                    <c:v>8.5417462677832803E-2</c:v>
                  </c:pt>
                  <c:pt idx="18">
                    <c:v>8.7728763552357009E-2</c:v>
                  </c:pt>
                  <c:pt idx="19">
                    <c:v>8.8571801398501293E-2</c:v>
                  </c:pt>
                  <c:pt idx="20">
                    <c:v>8.8587193084567167E-2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Test'!$M$42:$M$62</c:f>
              <c:numCache>
                <c:formatCode>General</c:formatCode>
                <c:ptCount val="21"/>
                <c:pt idx="0">
                  <c:v>-2.0694002273147172</c:v>
                </c:pt>
                <c:pt idx="1">
                  <c:v>-2.0671459905496627</c:v>
                </c:pt>
                <c:pt idx="2">
                  <c:v>6.752091268495844E-2</c:v>
                </c:pt>
                <c:pt idx="3">
                  <c:v>6.9851154528830728E-2</c:v>
                </c:pt>
                <c:pt idx="4">
                  <c:v>2.2040873136141244</c:v>
                </c:pt>
                <c:pt idx="5">
                  <c:v>2.2048660571048533</c:v>
                </c:pt>
                <c:pt idx="6">
                  <c:v>4.3382558147972778</c:v>
                </c:pt>
                <c:pt idx="7">
                  <c:v>4.3414033955608682</c:v>
                </c:pt>
                <c:pt idx="8">
                  <c:v>6.4684911848407642</c:v>
                </c:pt>
                <c:pt idx="9">
                  <c:v>6.4682751296355097</c:v>
                </c:pt>
                <c:pt idx="10">
                  <c:v>8.5762288816518009</c:v>
                </c:pt>
                <c:pt idx="11">
                  <c:v>8.5760495177048206</c:v>
                </c:pt>
                <c:pt idx="12">
                  <c:v>10.634848843435192</c:v>
                </c:pt>
                <c:pt idx="13">
                  <c:v>10.671915326171616</c:v>
                </c:pt>
                <c:pt idx="14">
                  <c:v>11.703775958350874</c:v>
                </c:pt>
                <c:pt idx="15">
                  <c:v>11.715208509964139</c:v>
                </c:pt>
                <c:pt idx="16">
                  <c:v>12.752214559475618</c:v>
                </c:pt>
                <c:pt idx="17">
                  <c:v>12.754010889369798</c:v>
                </c:pt>
                <c:pt idx="18">
                  <c:v>13.774446303430645</c:v>
                </c:pt>
                <c:pt idx="19">
                  <c:v>13.781905148741441</c:v>
                </c:pt>
                <c:pt idx="20">
                  <c:v>14.782065631010326</c:v>
                </c:pt>
              </c:numCache>
            </c:numRef>
          </c:xVal>
          <c:yVal>
            <c:numRef>
              <c:f>'Wind Tunnel Test'!$AM$42:$AM$62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D-46C3-BA52-655B3A8F66A5}"/>
            </c:ext>
          </c:extLst>
        </c:ser>
        <c:ser>
          <c:idx val="8"/>
          <c:order val="3"/>
          <c:tx>
            <c:v>Tail on (i = -2) STALL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Test'!$BC$63:$BC$71</c:f>
                <c:numCache>
                  <c:formatCode>General</c:formatCode>
                  <c:ptCount val="9"/>
                  <c:pt idx="0">
                    <c:v>8.5527218117332229E-2</c:v>
                  </c:pt>
                  <c:pt idx="1">
                    <c:v>8.6623622573311063E-2</c:v>
                  </c:pt>
                  <c:pt idx="2">
                    <c:v>8.6866815128663857E-2</c:v>
                  </c:pt>
                  <c:pt idx="3">
                    <c:v>8.4012491814424259E-2</c:v>
                  </c:pt>
                  <c:pt idx="4">
                    <c:v>8.4124245690459037E-2</c:v>
                  </c:pt>
                  <c:pt idx="5">
                    <c:v>7.1152353072424609E-2</c:v>
                  </c:pt>
                  <c:pt idx="6">
                    <c:v>7.284850016942232E-2</c:v>
                  </c:pt>
                  <c:pt idx="7">
                    <c:v>6.5170516340336743E-2</c:v>
                  </c:pt>
                  <c:pt idx="8">
                    <c:v>6.4655813239939214E-2</c:v>
                  </c:pt>
                </c:numCache>
              </c:numRef>
            </c:plus>
            <c:minus>
              <c:numRef>
                <c:f>'Wind Tunnel Test'!$BC$63:$BC$71</c:f>
                <c:numCache>
                  <c:formatCode>General</c:formatCode>
                  <c:ptCount val="9"/>
                  <c:pt idx="0">
                    <c:v>8.5527218117332229E-2</c:v>
                  </c:pt>
                  <c:pt idx="1">
                    <c:v>8.6623622573311063E-2</c:v>
                  </c:pt>
                  <c:pt idx="2">
                    <c:v>8.6866815128663857E-2</c:v>
                  </c:pt>
                  <c:pt idx="3">
                    <c:v>8.4012491814424259E-2</c:v>
                  </c:pt>
                  <c:pt idx="4">
                    <c:v>8.4124245690459037E-2</c:v>
                  </c:pt>
                  <c:pt idx="5">
                    <c:v>7.1152353072424609E-2</c:v>
                  </c:pt>
                  <c:pt idx="6">
                    <c:v>7.284850016942232E-2</c:v>
                  </c:pt>
                  <c:pt idx="7">
                    <c:v>6.5170516340336743E-2</c:v>
                  </c:pt>
                  <c:pt idx="8">
                    <c:v>6.4655813239939214E-2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Test'!$M$63:$M$71</c:f>
              <c:numCache>
                <c:formatCode>General</c:formatCode>
                <c:ptCount val="9"/>
                <c:pt idx="0">
                  <c:v>14.755064385640127</c:v>
                </c:pt>
                <c:pt idx="1">
                  <c:v>15.764794220415554</c:v>
                </c:pt>
                <c:pt idx="2">
                  <c:v>15.766940383121444</c:v>
                </c:pt>
                <c:pt idx="3">
                  <c:v>16.74176574614237</c:v>
                </c:pt>
                <c:pt idx="4">
                  <c:v>16.742751767215267</c:v>
                </c:pt>
                <c:pt idx="5">
                  <c:v>17.62811535739749</c:v>
                </c:pt>
                <c:pt idx="6">
                  <c:v>17.643122796716572</c:v>
                </c:pt>
                <c:pt idx="7">
                  <c:v>18.575228593445807</c:v>
                </c:pt>
                <c:pt idx="8">
                  <c:v>18.570697951823533</c:v>
                </c:pt>
              </c:numCache>
            </c:numRef>
          </c:xVal>
          <c:yVal>
            <c:numRef>
              <c:f>'Wind Tunnel Test'!$AM$63:$AM$71</c:f>
              <c:numCache>
                <c:formatCode>General</c:formatCode>
                <c:ptCount val="9"/>
                <c:pt idx="0">
                  <c:v>0.90971612727726092</c:v>
                </c:pt>
                <c:pt idx="1">
                  <c:v>0.92143881977777609</c:v>
                </c:pt>
                <c:pt idx="2">
                  <c:v>0.92402455797764271</c:v>
                </c:pt>
                <c:pt idx="3">
                  <c:v>0.89369367005104883</c:v>
                </c:pt>
                <c:pt idx="4">
                  <c:v>0.89488164724730934</c:v>
                </c:pt>
                <c:pt idx="5">
                  <c:v>0.7567654908403495</c:v>
                </c:pt>
                <c:pt idx="6">
                  <c:v>0.77484674303201306</c:v>
                </c:pt>
                <c:pt idx="7">
                  <c:v>0.69304649812747732</c:v>
                </c:pt>
                <c:pt idx="8">
                  <c:v>0.68758789376329199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DD-46C3-BA52-655B3A8F66A5}"/>
            </c:ext>
          </c:extLst>
        </c:ser>
        <c:ser>
          <c:idx val="2"/>
          <c:order val="4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593507038322407E-2"/>
                  <c:y val="-9.7581569124739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Test'!$M$4:$M$19</c:f>
              <c:numCache>
                <c:formatCode>General</c:formatCode>
                <c:ptCount val="16"/>
                <c:pt idx="0">
                  <c:v>-2.0001297717075417</c:v>
                </c:pt>
                <c:pt idx="1">
                  <c:v>-1.9998256121716214</c:v>
                </c:pt>
                <c:pt idx="2">
                  <c:v>0.1152195468476461</c:v>
                </c:pt>
                <c:pt idx="3">
                  <c:v>0.11248766482130018</c:v>
                </c:pt>
                <c:pt idx="4">
                  <c:v>2.2315173513821742</c:v>
                </c:pt>
                <c:pt idx="5">
                  <c:v>2.2307226815989276</c:v>
                </c:pt>
                <c:pt idx="6">
                  <c:v>4.3460114012855353</c:v>
                </c:pt>
                <c:pt idx="7">
                  <c:v>4.3466024242969903</c:v>
                </c:pt>
                <c:pt idx="8">
                  <c:v>6.4572862386255325</c:v>
                </c:pt>
                <c:pt idx="9">
                  <c:v>6.4569943983723297</c:v>
                </c:pt>
                <c:pt idx="10">
                  <c:v>8.5458100371670618</c:v>
                </c:pt>
                <c:pt idx="11">
                  <c:v>8.5463860042831783</c:v>
                </c:pt>
                <c:pt idx="12">
                  <c:v>10.621415369287657</c:v>
                </c:pt>
                <c:pt idx="13">
                  <c:v>10.621860739173941</c:v>
                </c:pt>
                <c:pt idx="14">
                  <c:v>12.685404220179734</c:v>
                </c:pt>
                <c:pt idx="15">
                  <c:v>12.683041340202985</c:v>
                </c:pt>
              </c:numCache>
            </c:numRef>
          </c:xVal>
          <c:y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DD-46C3-BA52-655B3A8F66A5}"/>
            </c:ext>
          </c:extLst>
        </c:ser>
        <c:ser>
          <c:idx val="0"/>
          <c:order val="5"/>
          <c:tx>
            <c:v>Tail on (i = +1)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64930678211439"/>
                  <c:y val="0.19879706849179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Test'!$M$23:$M$38</c:f>
              <c:numCache>
                <c:formatCode>General</c:formatCode>
                <c:ptCount val="16"/>
                <c:pt idx="0">
                  <c:v>-2.0258822909407312</c:v>
                </c:pt>
                <c:pt idx="1">
                  <c:v>-2.0243661001538582</c:v>
                </c:pt>
                <c:pt idx="2">
                  <c:v>0.11100370853780418</c:v>
                </c:pt>
                <c:pt idx="3">
                  <c:v>0.10983566155090897</c:v>
                </c:pt>
                <c:pt idx="4">
                  <c:v>2.2462231308341485</c:v>
                </c:pt>
                <c:pt idx="5">
                  <c:v>2.2460814303861834</c:v>
                </c:pt>
                <c:pt idx="6">
                  <c:v>4.381721142873535</c:v>
                </c:pt>
                <c:pt idx="7">
                  <c:v>4.3841655460093056</c:v>
                </c:pt>
                <c:pt idx="8">
                  <c:v>6.5134176637516266</c:v>
                </c:pt>
                <c:pt idx="9">
                  <c:v>6.5109272055603888</c:v>
                </c:pt>
                <c:pt idx="10">
                  <c:v>8.620290839738713</c:v>
                </c:pt>
                <c:pt idx="11">
                  <c:v>8.6209387579929437</c:v>
                </c:pt>
                <c:pt idx="12">
                  <c:v>10.70871173950162</c:v>
                </c:pt>
                <c:pt idx="13">
                  <c:v>10.707746437131144</c:v>
                </c:pt>
                <c:pt idx="14">
                  <c:v>12.782879792211608</c:v>
                </c:pt>
                <c:pt idx="15">
                  <c:v>12.782964438817853</c:v>
                </c:pt>
              </c:numCache>
            </c:numRef>
          </c:xVal>
          <c:y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DD-46C3-BA52-655B3A8F66A5}"/>
            </c:ext>
          </c:extLst>
        </c:ser>
        <c:ser>
          <c:idx val="1"/>
          <c:order val="6"/>
          <c:tx>
            <c:v>Tail on (i = -2)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lg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36241516456794"/>
                  <c:y val="-3.2562192297611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Test'!$M$42:$M$62</c:f>
              <c:numCache>
                <c:formatCode>General</c:formatCode>
                <c:ptCount val="21"/>
                <c:pt idx="0">
                  <c:v>-2.0694002273147172</c:v>
                </c:pt>
                <c:pt idx="1">
                  <c:v>-2.0671459905496627</c:v>
                </c:pt>
                <c:pt idx="2">
                  <c:v>6.752091268495844E-2</c:v>
                </c:pt>
                <c:pt idx="3">
                  <c:v>6.9851154528830728E-2</c:v>
                </c:pt>
                <c:pt idx="4">
                  <c:v>2.2040873136141244</c:v>
                </c:pt>
                <c:pt idx="5">
                  <c:v>2.2048660571048533</c:v>
                </c:pt>
                <c:pt idx="6">
                  <c:v>4.3382558147972778</c:v>
                </c:pt>
                <c:pt idx="7">
                  <c:v>4.3414033955608682</c:v>
                </c:pt>
                <c:pt idx="8">
                  <c:v>6.4684911848407642</c:v>
                </c:pt>
                <c:pt idx="9">
                  <c:v>6.4682751296355097</c:v>
                </c:pt>
                <c:pt idx="10">
                  <c:v>8.5762288816518009</c:v>
                </c:pt>
                <c:pt idx="11">
                  <c:v>8.5760495177048206</c:v>
                </c:pt>
                <c:pt idx="12">
                  <c:v>10.634848843435192</c:v>
                </c:pt>
                <c:pt idx="13">
                  <c:v>10.671915326171616</c:v>
                </c:pt>
                <c:pt idx="14">
                  <c:v>11.703775958350874</c:v>
                </c:pt>
                <c:pt idx="15">
                  <c:v>11.715208509964139</c:v>
                </c:pt>
                <c:pt idx="16">
                  <c:v>12.752214559475618</c:v>
                </c:pt>
                <c:pt idx="17">
                  <c:v>12.754010889369798</c:v>
                </c:pt>
                <c:pt idx="18">
                  <c:v>13.774446303430645</c:v>
                </c:pt>
                <c:pt idx="19">
                  <c:v>13.781905148741441</c:v>
                </c:pt>
                <c:pt idx="20">
                  <c:v>14.782065631010326</c:v>
                </c:pt>
              </c:numCache>
            </c:numRef>
          </c:xVal>
          <c:yVal>
            <c:numRef>
              <c:f>'Wind Tunnel Test'!$AM$42:$AM$62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DD-46C3-BA52-655B3A8F66A5}"/>
            </c:ext>
          </c:extLst>
        </c:ser>
        <c:ser>
          <c:idx val="3"/>
          <c:order val="7"/>
          <c:tx>
            <c:v>Tail on (i = -2) STALL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xVal>
            <c:numRef>
              <c:f>'Wind Tunnel Test'!$M$63:$M$71</c:f>
              <c:numCache>
                <c:formatCode>General</c:formatCode>
                <c:ptCount val="9"/>
                <c:pt idx="0">
                  <c:v>14.755064385640127</c:v>
                </c:pt>
                <c:pt idx="1">
                  <c:v>15.764794220415554</c:v>
                </c:pt>
                <c:pt idx="2">
                  <c:v>15.766940383121444</c:v>
                </c:pt>
                <c:pt idx="3">
                  <c:v>16.74176574614237</c:v>
                </c:pt>
                <c:pt idx="4">
                  <c:v>16.742751767215267</c:v>
                </c:pt>
                <c:pt idx="5">
                  <c:v>17.62811535739749</c:v>
                </c:pt>
                <c:pt idx="6">
                  <c:v>17.643122796716572</c:v>
                </c:pt>
                <c:pt idx="7">
                  <c:v>18.575228593445807</c:v>
                </c:pt>
                <c:pt idx="8">
                  <c:v>18.570697951823533</c:v>
                </c:pt>
              </c:numCache>
            </c:numRef>
          </c:xVal>
          <c:yVal>
            <c:numRef>
              <c:f>'Wind Tunnel Test'!$AM$63:$AM$71</c:f>
              <c:numCache>
                <c:formatCode>General</c:formatCode>
                <c:ptCount val="9"/>
                <c:pt idx="0">
                  <c:v>0.90971612727726092</c:v>
                </c:pt>
                <c:pt idx="1">
                  <c:v>0.92143881977777609</c:v>
                </c:pt>
                <c:pt idx="2">
                  <c:v>0.92402455797764271</c:v>
                </c:pt>
                <c:pt idx="3">
                  <c:v>0.89369367005104883</c:v>
                </c:pt>
                <c:pt idx="4">
                  <c:v>0.89488164724730934</c:v>
                </c:pt>
                <c:pt idx="5">
                  <c:v>0.7567654908403495</c:v>
                </c:pt>
                <c:pt idx="6">
                  <c:v>0.77484674303201306</c:v>
                </c:pt>
                <c:pt idx="7">
                  <c:v>0.69304649812747732</c:v>
                </c:pt>
                <c:pt idx="8">
                  <c:v>0.68758789376329199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DD-46C3-BA52-655B3A8F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0" i="0" u="none" strike="noStrike" kern="1200" baseline="0">
                    <a:solidFill>
                      <a:sysClr val="windowText" lastClr="000000"/>
                    </a:solidFill>
                  </a:rPr>
                  <a:t>Angle of Attack, </a:t>
                </a:r>
                <a:r>
                  <a:rPr lang="en-GB" sz="2200" b="0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α </a:t>
                </a:r>
                <a:r>
                  <a:rPr lang="en-GB" sz="2200" b="0" i="0" u="none" strike="noStrike" kern="1200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 sz="2200" b="0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°</a:t>
                </a:r>
                <a:r>
                  <a:rPr lang="en-GB" sz="2200" b="0" i="0" u="none" strike="noStrike" kern="1200" baseline="0">
                    <a:solidFill>
                      <a:sysClr val="windowText" lastClr="000000"/>
                    </a:solidFill>
                  </a:rPr>
                  <a:t>)</a:t>
                </a:r>
                <a:r>
                  <a:rPr lang="en-GB" sz="2200" baseline="0"/>
                  <a:t> </a:t>
                </a:r>
                <a:endParaRPr lang="en-GB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0" i="0" u="none" strike="noStrike" baseline="0">
                    <a:effectLst/>
                  </a:rPr>
                  <a:t>Lift Coefficient, C</a:t>
                </a:r>
                <a:r>
                  <a:rPr lang="en-GB" sz="2200" b="0" i="0" u="none" strike="noStrike" baseline="-25000">
                    <a:effectLst/>
                  </a:rPr>
                  <a:t>L</a:t>
                </a:r>
                <a:endParaRPr lang="en-GB" sz="2200"/>
              </a:p>
            </c:rich>
          </c:tx>
          <c:layout>
            <c:manualLayout>
              <c:xMode val="edge"/>
              <c:yMode val="edge"/>
              <c:x val="2.3575922098154459E-2"/>
              <c:y val="0.35598837105179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6589425201786823"/>
          <c:y val="0.38847679166406207"/>
          <c:w val="0.19697772979322387"/>
          <c:h val="0.39245147539042902"/>
        </c:manualLayout>
      </c:layout>
      <c:overlay val="0"/>
      <c:spPr>
        <a:solidFill>
          <a:sysClr val="window" lastClr="FFFFFF"/>
        </a:solidFill>
        <a:ln w="2222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254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Flight</a:t>
            </a:r>
            <a:r>
              <a:rPr lang="en-GB" baseline="0"/>
              <a:t> Sim Cl against Cd</a:t>
            </a:r>
            <a:endParaRPr lang="en-GB"/>
          </a:p>
        </c:rich>
      </c:tx>
      <c:layout>
        <c:manualLayout>
          <c:xMode val="edge"/>
          <c:yMode val="edge"/>
          <c:x val="0.3478905164212216"/>
          <c:y val="4.51128897041437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543801711081124"/>
          <c:y val="0.24875889654327885"/>
          <c:w val="0.78813431191181971"/>
          <c:h val="0.71819590896017171"/>
        </c:manualLayout>
      </c:layout>
      <c:scatterChart>
        <c:scatterStyle val="lineMarker"/>
        <c:varyColors val="0"/>
        <c:ser>
          <c:idx val="2"/>
          <c:order val="0"/>
          <c:tx>
            <c:v>CD VS Cl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5875">
                <a:solidFill>
                  <a:srgbClr val="4EA72E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 Sim Test'!$AG$3:$AG$14</c:f>
              <c:numCache>
                <c:formatCode>General</c:formatCode>
                <c:ptCount val="12"/>
                <c:pt idx="0">
                  <c:v>0.12891322189437335</c:v>
                </c:pt>
                <c:pt idx="1">
                  <c:v>0.14036675956740841</c:v>
                </c:pt>
                <c:pt idx="2">
                  <c:v>0.15341738803958482</c:v>
                </c:pt>
                <c:pt idx="3">
                  <c:v>0.16837645308652849</c:v>
                </c:pt>
                <c:pt idx="4">
                  <c:v>0.18563503952789764</c:v>
                </c:pt>
                <c:pt idx="5">
                  <c:v>0.20568979449074531</c:v>
                </c:pt>
                <c:pt idx="6">
                  <c:v>0.22917906114555264</c:v>
                </c:pt>
                <c:pt idx="7">
                  <c:v>0.25693431076525625</c:v>
                </c:pt>
                <c:pt idx="8">
                  <c:v>0.29005474926233998</c:v>
                </c:pt>
                <c:pt idx="9">
                  <c:v>0.33001784804959583</c:v>
                </c:pt>
                <c:pt idx="10">
                  <c:v>0.37884701944468907</c:v>
                </c:pt>
                <c:pt idx="11">
                  <c:v>0.439372874622243</c:v>
                </c:pt>
              </c:numCache>
            </c:numRef>
          </c:xVal>
          <c:yVal>
            <c:numRef>
              <c:f>'Flight Sim Test'!$AH$3:$AH$14</c:f>
              <c:numCache>
                <c:formatCode>General</c:formatCode>
                <c:ptCount val="12"/>
                <c:pt idx="0">
                  <c:v>1.5233047391744563E-2</c:v>
                </c:pt>
                <c:pt idx="1">
                  <c:v>1.7149626225959926E-2</c:v>
                </c:pt>
                <c:pt idx="2">
                  <c:v>1.5531974156580954E-2</c:v>
                </c:pt>
                <c:pt idx="3">
                  <c:v>1.8505253273934773E-2</c:v>
                </c:pt>
                <c:pt idx="4">
                  <c:v>1.3675769028129283E-2</c:v>
                </c:pt>
                <c:pt idx="5">
                  <c:v>1.3838696126049082E-2</c:v>
                </c:pt>
                <c:pt idx="6">
                  <c:v>1.4147776623829425E-2</c:v>
                </c:pt>
                <c:pt idx="7">
                  <c:v>1.5095999098016876E-2</c:v>
                </c:pt>
                <c:pt idx="8">
                  <c:v>1.5993972183841337E-2</c:v>
                </c:pt>
                <c:pt idx="9">
                  <c:v>1.7070704897200858E-2</c:v>
                </c:pt>
                <c:pt idx="10">
                  <c:v>1.8121450966606795E-2</c:v>
                </c:pt>
                <c:pt idx="11">
                  <c:v>2.3767790094380768E-2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8-4BD8-83BB-016A6492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layout>
            <c:manualLayout>
              <c:xMode val="edge"/>
              <c:yMode val="edge"/>
              <c:x val="0.47244803563521259"/>
              <c:y val="6.7978518353981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in"/>
        <c:minorTickMark val="none"/>
        <c:tickLblPos val="high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layout>
            <c:manualLayout>
              <c:xMode val="edge"/>
              <c:yMode val="edge"/>
              <c:x val="3.025397980612831E-2"/>
              <c:y val="0.3647845744871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22225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Figure 1:</a:t>
            </a:r>
            <a:r>
              <a:rPr lang="en-GB" sz="1600" baseline="0"/>
              <a:t> </a:t>
            </a:r>
            <a:r>
              <a:rPr lang="en-GB" sz="1600"/>
              <a:t>Flight</a:t>
            </a:r>
            <a:r>
              <a:rPr lang="en-GB" sz="1600" baseline="0"/>
              <a:t> Sim </a:t>
            </a:r>
            <a:r>
              <a:rPr lang="en-GB" sz="1600" b="0" i="0" u="none" strike="noStrike" kern="1200" spc="0" baseline="0">
                <a:solidFill>
                  <a:sysClr val="windowText" lastClr="000000"/>
                </a:solidFill>
                <a:effectLst/>
              </a:rPr>
              <a:t>C</a:t>
            </a:r>
            <a:r>
              <a:rPr lang="en-GB" sz="1600" b="0" i="0" u="none" strike="noStrike" kern="1200" spc="0" baseline="-25000">
                <a:solidFill>
                  <a:sysClr val="windowText" lastClr="000000"/>
                </a:solidFill>
                <a:effectLst/>
              </a:rPr>
              <a:t>L</a:t>
            </a:r>
            <a:r>
              <a:rPr lang="en-GB" sz="1600" baseline="0"/>
              <a:t> vs Angle of Attack </a:t>
            </a:r>
            <a:endParaRPr lang="en-GB" sz="1600"/>
          </a:p>
        </c:rich>
      </c:tx>
      <c:layout>
        <c:manualLayout>
          <c:xMode val="edge"/>
          <c:yMode val="edge"/>
          <c:x val="0.43102783830223307"/>
          <c:y val="1.7528454270296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7.4386642749190129E-2"/>
          <c:y val="7.4990039486243928E-2"/>
          <c:w val="0.89730169381274338"/>
          <c:h val="0.81352691368924357"/>
        </c:manualLayout>
      </c:layout>
      <c:scatterChart>
        <c:scatterStyle val="lineMarker"/>
        <c:varyColors val="0"/>
        <c:ser>
          <c:idx val="0"/>
          <c:order val="0"/>
          <c:tx>
            <c:v>CG = 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39404202099607E-2"/>
                  <c:y val="-9.4525312025810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Test'!$S$3:$S$7</c:f>
                <c:numCache>
                  <c:formatCode>General</c:formatCode>
                  <c:ptCount val="5"/>
                  <c:pt idx="0">
                    <c:v>5.4110592963831083E-3</c:v>
                  </c:pt>
                  <c:pt idx="1">
                    <c:v>7.5062280577359647E-3</c:v>
                  </c:pt>
                  <c:pt idx="2">
                    <c:v>1.0561120723312042E-2</c:v>
                  </c:pt>
                  <c:pt idx="3">
                    <c:v>1.5838355344527263E-2</c:v>
                  </c:pt>
                  <c:pt idx="4">
                    <c:v>2.4434263531612335E-2</c:v>
                  </c:pt>
                </c:numCache>
              </c:numRef>
            </c:plus>
            <c:minus>
              <c:numRef>
                <c:f>'Flight Sim Test'!$S$3:$S$7</c:f>
                <c:numCache>
                  <c:formatCode>General</c:formatCode>
                  <c:ptCount val="5"/>
                  <c:pt idx="0">
                    <c:v>5.4110592963831083E-3</c:v>
                  </c:pt>
                  <c:pt idx="1">
                    <c:v>7.5062280577359647E-3</c:v>
                  </c:pt>
                  <c:pt idx="2">
                    <c:v>1.0561120723312042E-2</c:v>
                  </c:pt>
                  <c:pt idx="3">
                    <c:v>1.5838355344527263E-2</c:v>
                  </c:pt>
                  <c:pt idx="4">
                    <c:v>2.4434263531612335E-2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Test'!$K$3:$K$7</c:f>
              <c:numCache>
                <c:formatCode>General</c:formatCode>
                <c:ptCount val="5"/>
                <c:pt idx="0">
                  <c:v>-1.1000000000000001</c:v>
                </c:pt>
                <c:pt idx="1">
                  <c:v>-0.8</c:v>
                </c:pt>
                <c:pt idx="2">
                  <c:v>-0.4</c:v>
                </c:pt>
                <c:pt idx="3">
                  <c:v>0.3</c:v>
                </c:pt>
                <c:pt idx="4">
                  <c:v>1.3</c:v>
                </c:pt>
              </c:numCache>
            </c:numRef>
          </c:xVal>
          <c:yVal>
            <c:numRef>
              <c:f>'Flight Sim Test'!$Q$3:$Q$7</c:f>
              <c:numCache>
                <c:formatCode>General</c:formatCode>
                <c:ptCount val="5"/>
                <c:pt idx="0">
                  <c:v>0.12030054849659456</c:v>
                </c:pt>
                <c:pt idx="1">
                  <c:v>0.15090500803412826</c:v>
                </c:pt>
                <c:pt idx="2">
                  <c:v>0.19098915079319356</c:v>
                </c:pt>
                <c:pt idx="3">
                  <c:v>0.25233075808322575</c:v>
                </c:pt>
                <c:pt idx="4">
                  <c:v>0.33953626807678861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85-4C6E-B0A4-7525EC902CAE}"/>
            </c:ext>
          </c:extLst>
        </c:ser>
        <c:ser>
          <c:idx val="1"/>
          <c:order val="1"/>
          <c:tx>
            <c:v>CG 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73363877956548E-2"/>
                  <c:y val="0.14022075221975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Test'!$S$8:$S$12</c:f>
                <c:numCache>
                  <c:formatCode>General</c:formatCode>
                  <c:ptCount val="5"/>
                  <c:pt idx="0">
                    <c:v>8.2254300172743284E-3</c:v>
                  </c:pt>
                  <c:pt idx="1">
                    <c:v>1.0409258171143052E-2</c:v>
                  </c:pt>
                  <c:pt idx="2">
                    <c:v>1.411867765673417E-2</c:v>
                  </c:pt>
                  <c:pt idx="3">
                    <c:v>1.9163369338982592E-2</c:v>
                  </c:pt>
                  <c:pt idx="4">
                    <c:v>2.2623639892564169E-2</c:v>
                  </c:pt>
                </c:numCache>
              </c:numRef>
            </c:plus>
            <c:minus>
              <c:numRef>
                <c:f>'Flight Sim Test'!$S$8:$S$12</c:f>
                <c:numCache>
                  <c:formatCode>General</c:formatCode>
                  <c:ptCount val="5"/>
                  <c:pt idx="0">
                    <c:v>8.2254300172743284E-3</c:v>
                  </c:pt>
                  <c:pt idx="1">
                    <c:v>1.0409258171143052E-2</c:v>
                  </c:pt>
                  <c:pt idx="2">
                    <c:v>1.411867765673417E-2</c:v>
                  </c:pt>
                  <c:pt idx="3">
                    <c:v>1.9163369338982592E-2</c:v>
                  </c:pt>
                  <c:pt idx="4">
                    <c:v>2.2623639892564169E-2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Test'!$K$8:$K$12</c:f>
              <c:numCache>
                <c:formatCode>General</c:formatCode>
                <c:ptCount val="5"/>
                <c:pt idx="0">
                  <c:v>-0.6</c:v>
                </c:pt>
                <c:pt idx="1">
                  <c:v>-0.3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</c:numCache>
            </c:numRef>
          </c:xVal>
          <c:yVal>
            <c:numRef>
              <c:f>'Flight Sim Test'!$Q$8:$Q$12</c:f>
              <c:numCache>
                <c:formatCode>General</c:formatCode>
                <c:ptCount val="5"/>
                <c:pt idx="0">
                  <c:v>0.16075174715360119</c:v>
                </c:pt>
                <c:pt idx="1">
                  <c:v>0.18909348857027658</c:v>
                </c:pt>
                <c:pt idx="2">
                  <c:v>0.23319086815810697</c:v>
                </c:pt>
                <c:pt idx="3">
                  <c:v>0.28753682982903916</c:v>
                </c:pt>
                <c:pt idx="4">
                  <c:v>0.32212708853633587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85-4C6E-B0A4-7525EC902CAE}"/>
            </c:ext>
          </c:extLst>
        </c:ser>
        <c:ser>
          <c:idx val="2"/>
          <c:order val="2"/>
          <c:tx>
            <c:v>CG = +4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>
                    <a:alpha val="96000"/>
                  </a:srgb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lgDashDot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Test'!$S$13:$S$18</c:f>
                <c:numCache>
                  <c:formatCode>General</c:formatCode>
                  <c:ptCount val="6"/>
                  <c:pt idx="0">
                    <c:v>4.6814102951560016E-3</c:v>
                  </c:pt>
                  <c:pt idx="1">
                    <c:v>8.0442313051886899E-2</c:v>
                  </c:pt>
                  <c:pt idx="2">
                    <c:v>1.0561120723312042E-2</c:v>
                  </c:pt>
                  <c:pt idx="3">
                    <c:v>1.5575939844262433E-2</c:v>
                  </c:pt>
                  <c:pt idx="4">
                    <c:v>4.1704435832596087E-2</c:v>
                  </c:pt>
                  <c:pt idx="5">
                    <c:v>5.5367866978432668E-3</c:v>
                  </c:pt>
                </c:numCache>
              </c:numRef>
            </c:plus>
            <c:minus>
              <c:numRef>
                <c:f>'Flight Sim Test'!$S$13:$S$18</c:f>
                <c:numCache>
                  <c:formatCode>General</c:formatCode>
                  <c:ptCount val="6"/>
                  <c:pt idx="0">
                    <c:v>4.6814102951560016E-3</c:v>
                  </c:pt>
                  <c:pt idx="1">
                    <c:v>8.0442313051886899E-2</c:v>
                  </c:pt>
                  <c:pt idx="2">
                    <c:v>1.0561120723312042E-2</c:v>
                  </c:pt>
                  <c:pt idx="3">
                    <c:v>1.5575939844262433E-2</c:v>
                  </c:pt>
                  <c:pt idx="4">
                    <c:v>4.1704435832596087E-2</c:v>
                  </c:pt>
                  <c:pt idx="5">
                    <c:v>5.5367866978432668E-3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Test'!$K$13:$K$18</c:f>
              <c:numCache>
                <c:formatCode>General</c:formatCode>
                <c:ptCount val="6"/>
                <c:pt idx="0">
                  <c:v>-1.2</c:v>
                </c:pt>
                <c:pt idx="1">
                  <c:v>5.3</c:v>
                </c:pt>
                <c:pt idx="2">
                  <c:v>-0.3</c:v>
                </c:pt>
                <c:pt idx="3">
                  <c:v>0.4</c:v>
                </c:pt>
                <c:pt idx="4">
                  <c:v>2.6</c:v>
                </c:pt>
                <c:pt idx="5">
                  <c:v>-1.1000000000000001</c:v>
                </c:pt>
              </c:numCache>
            </c:numRef>
          </c:xVal>
          <c:yVal>
            <c:numRef>
              <c:f>'Flight Sim Test'!$Q$13:$Q$18</c:f>
              <c:numCache>
                <c:formatCode>General</c:formatCode>
                <c:ptCount val="6"/>
                <c:pt idx="0">
                  <c:v>0.10878698514386249</c:v>
                </c:pt>
                <c:pt idx="1">
                  <c:v>0.76395660317277425</c:v>
                </c:pt>
                <c:pt idx="2">
                  <c:v>0.19098915079319356</c:v>
                </c:pt>
                <c:pt idx="3">
                  <c:v>0.24945521736253853</c:v>
                </c:pt>
                <c:pt idx="4">
                  <c:v>0.48893222603057535</c:v>
                </c:pt>
                <c:pt idx="5">
                  <c:v>0.12223305650764384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85-4C6E-B0A4-7525EC902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Angl</a:t>
                </a:r>
                <a:r>
                  <a:rPr lang="en-GB" sz="1800" baseline="0"/>
                  <a:t>e of Attack, </a:t>
                </a:r>
                <a:r>
                  <a:rPr lang="en-GB" sz="1800" b="0" i="0" u="none" strike="noStrike" baseline="0">
                    <a:effectLst/>
                  </a:rPr>
                  <a:t>α </a:t>
                </a:r>
                <a:r>
                  <a:rPr lang="en-GB" sz="1800" baseline="0"/>
                  <a:t> (</a:t>
                </a:r>
                <a:r>
                  <a:rPr lang="en-GB" sz="1800" b="0" i="0" u="none" strike="noStrike" baseline="0">
                    <a:effectLst/>
                  </a:rPr>
                  <a:t>°</a:t>
                </a:r>
                <a:r>
                  <a:rPr lang="en-GB" sz="1800" baseline="0"/>
                  <a:t>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0.43912571712234078"/>
              <c:y val="0.9343903411496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0"/>
        <c:majorTickMark val="in"/>
        <c:minorTickMark val="none"/>
        <c:tickLblPos val="low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Lift Coefficient, C</a:t>
                </a:r>
                <a:r>
                  <a:rPr lang="en-GB" sz="1800" b="0" i="0" u="none" strike="noStrike" kern="1200" baseline="-25000">
                    <a:solidFill>
                      <a:sysClr val="windowText" lastClr="000000"/>
                    </a:solidFill>
                    <a:effectLst/>
                  </a:rPr>
                  <a:t>L</a:t>
                </a:r>
                <a:endParaRPr lang="en-GB" sz="18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025395276482485E-2"/>
              <c:y val="0.4149934394587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2982714101883461"/>
          <c:y val="0.38612652821615639"/>
          <c:w val="0.15782141901960037"/>
          <c:h val="0.41792566240950868"/>
        </c:manualLayout>
      </c:layout>
      <c:overlay val="0"/>
      <c:spPr>
        <a:solidFill>
          <a:sysClr val="window" lastClr="FFFFFF"/>
        </a:solidFill>
        <a:ln w="254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254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Tail off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520495553254886E-3"/>
                  <c:y val="-5.5192656473496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4EA72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Test'!$M$4:$M$19</c:f>
              <c:numCache>
                <c:formatCode>General</c:formatCode>
                <c:ptCount val="16"/>
                <c:pt idx="0">
                  <c:v>-2.0001297717075417</c:v>
                </c:pt>
                <c:pt idx="1">
                  <c:v>-1.9998256121716214</c:v>
                </c:pt>
                <c:pt idx="2">
                  <c:v>0.1152195468476461</c:v>
                </c:pt>
                <c:pt idx="3">
                  <c:v>0.11248766482130018</c:v>
                </c:pt>
                <c:pt idx="4">
                  <c:v>2.2315173513821742</c:v>
                </c:pt>
                <c:pt idx="5">
                  <c:v>2.2307226815989276</c:v>
                </c:pt>
                <c:pt idx="6">
                  <c:v>4.3460114012855353</c:v>
                </c:pt>
                <c:pt idx="7">
                  <c:v>4.3466024242969903</c:v>
                </c:pt>
                <c:pt idx="8">
                  <c:v>6.4572862386255325</c:v>
                </c:pt>
                <c:pt idx="9">
                  <c:v>6.4569943983723297</c:v>
                </c:pt>
                <c:pt idx="10">
                  <c:v>8.5458100371670618</c:v>
                </c:pt>
                <c:pt idx="11">
                  <c:v>8.5463860042831783</c:v>
                </c:pt>
                <c:pt idx="12">
                  <c:v>10.621415369287657</c:v>
                </c:pt>
                <c:pt idx="13">
                  <c:v>10.621860739173941</c:v>
                </c:pt>
                <c:pt idx="14">
                  <c:v>12.685404220179734</c:v>
                </c:pt>
                <c:pt idx="15">
                  <c:v>12.683041340202985</c:v>
                </c:pt>
              </c:numCache>
            </c:numRef>
          </c:xVal>
          <c:y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E-4199-8E1F-9617D954C4CC}"/>
            </c:ext>
          </c:extLst>
        </c:ser>
        <c:ser>
          <c:idx val="0"/>
          <c:order val="1"/>
          <c:tx>
            <c:v>Tail on (i = -1)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34678941703049"/>
                  <c:y val="0.10901989490088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15608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Test'!$M$23:$M$38</c:f>
              <c:numCache>
                <c:formatCode>General</c:formatCode>
                <c:ptCount val="16"/>
                <c:pt idx="0">
                  <c:v>-2.0258822909407312</c:v>
                </c:pt>
                <c:pt idx="1">
                  <c:v>-2.0243661001538582</c:v>
                </c:pt>
                <c:pt idx="2">
                  <c:v>0.11100370853780418</c:v>
                </c:pt>
                <c:pt idx="3">
                  <c:v>0.10983566155090897</c:v>
                </c:pt>
                <c:pt idx="4">
                  <c:v>2.2462231308341485</c:v>
                </c:pt>
                <c:pt idx="5">
                  <c:v>2.2460814303861834</c:v>
                </c:pt>
                <c:pt idx="6">
                  <c:v>4.381721142873535</c:v>
                </c:pt>
                <c:pt idx="7">
                  <c:v>4.3841655460093056</c:v>
                </c:pt>
                <c:pt idx="8">
                  <c:v>6.5134176637516266</c:v>
                </c:pt>
                <c:pt idx="9">
                  <c:v>6.5109272055603888</c:v>
                </c:pt>
                <c:pt idx="10">
                  <c:v>8.620290839738713</c:v>
                </c:pt>
                <c:pt idx="11">
                  <c:v>8.6209387579929437</c:v>
                </c:pt>
                <c:pt idx="12">
                  <c:v>10.70871173950162</c:v>
                </c:pt>
                <c:pt idx="13">
                  <c:v>10.707746437131144</c:v>
                </c:pt>
                <c:pt idx="14">
                  <c:v>12.782879792211608</c:v>
                </c:pt>
                <c:pt idx="15">
                  <c:v>12.782964438817853</c:v>
                </c:pt>
              </c:numCache>
            </c:numRef>
          </c:xVal>
          <c:y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E-4199-8E1F-9617D954C4CC}"/>
            </c:ext>
          </c:extLst>
        </c:ser>
        <c:ser>
          <c:idx val="1"/>
          <c:order val="2"/>
          <c:tx>
            <c:v>Tail on (i = +2)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lg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36687174013859E-2"/>
                  <c:y val="-2.0927313210396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E9713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Test'!$M$42:$M$62</c:f>
              <c:numCache>
                <c:formatCode>General</c:formatCode>
                <c:ptCount val="21"/>
                <c:pt idx="0">
                  <c:v>-2.0694002273147172</c:v>
                </c:pt>
                <c:pt idx="1">
                  <c:v>-2.0671459905496627</c:v>
                </c:pt>
                <c:pt idx="2">
                  <c:v>6.752091268495844E-2</c:v>
                </c:pt>
                <c:pt idx="3">
                  <c:v>6.9851154528830728E-2</c:v>
                </c:pt>
                <c:pt idx="4">
                  <c:v>2.2040873136141244</c:v>
                </c:pt>
                <c:pt idx="5">
                  <c:v>2.2048660571048533</c:v>
                </c:pt>
                <c:pt idx="6">
                  <c:v>4.3382558147972778</c:v>
                </c:pt>
                <c:pt idx="7">
                  <c:v>4.3414033955608682</c:v>
                </c:pt>
                <c:pt idx="8">
                  <c:v>6.4684911848407642</c:v>
                </c:pt>
                <c:pt idx="9">
                  <c:v>6.4682751296355097</c:v>
                </c:pt>
                <c:pt idx="10">
                  <c:v>8.5762288816518009</c:v>
                </c:pt>
                <c:pt idx="11">
                  <c:v>8.5760495177048206</c:v>
                </c:pt>
                <c:pt idx="12">
                  <c:v>10.634848843435192</c:v>
                </c:pt>
                <c:pt idx="13">
                  <c:v>10.671915326171616</c:v>
                </c:pt>
                <c:pt idx="14">
                  <c:v>11.703775958350874</c:v>
                </c:pt>
                <c:pt idx="15">
                  <c:v>11.715208509964139</c:v>
                </c:pt>
                <c:pt idx="16">
                  <c:v>12.752214559475618</c:v>
                </c:pt>
                <c:pt idx="17">
                  <c:v>12.754010889369798</c:v>
                </c:pt>
                <c:pt idx="18">
                  <c:v>13.774446303430645</c:v>
                </c:pt>
                <c:pt idx="19">
                  <c:v>13.781905148741441</c:v>
                </c:pt>
                <c:pt idx="20">
                  <c:v>14.782065631010326</c:v>
                </c:pt>
              </c:numCache>
            </c:numRef>
          </c:xVal>
          <c:yVal>
            <c:numRef>
              <c:f>'Wind Tunnel Test'!$AM$42:$AM$62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E-4199-8E1F-9617D954C4CC}"/>
            </c:ext>
          </c:extLst>
        </c:ser>
        <c:ser>
          <c:idx val="3"/>
          <c:order val="3"/>
          <c:tx>
            <c:v>Tail on (i = -2) STALL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xVal>
            <c:numRef>
              <c:f>'Wind Tunnel Test'!$M$63:$M$71</c:f>
              <c:numCache>
                <c:formatCode>General</c:formatCode>
                <c:ptCount val="9"/>
                <c:pt idx="0">
                  <c:v>14.755064385640127</c:v>
                </c:pt>
                <c:pt idx="1">
                  <c:v>15.764794220415554</c:v>
                </c:pt>
                <c:pt idx="2">
                  <c:v>15.766940383121444</c:v>
                </c:pt>
                <c:pt idx="3">
                  <c:v>16.74176574614237</c:v>
                </c:pt>
                <c:pt idx="4">
                  <c:v>16.742751767215267</c:v>
                </c:pt>
                <c:pt idx="5">
                  <c:v>17.62811535739749</c:v>
                </c:pt>
                <c:pt idx="6">
                  <c:v>17.643122796716572</c:v>
                </c:pt>
                <c:pt idx="7">
                  <c:v>18.575228593445807</c:v>
                </c:pt>
                <c:pt idx="8">
                  <c:v>18.570697951823533</c:v>
                </c:pt>
              </c:numCache>
            </c:numRef>
          </c:xVal>
          <c:yVal>
            <c:numRef>
              <c:f>'Wind Tunnel Test'!$AM$63:$AM$71</c:f>
              <c:numCache>
                <c:formatCode>General</c:formatCode>
                <c:ptCount val="9"/>
                <c:pt idx="0">
                  <c:v>0.90971612727726092</c:v>
                </c:pt>
                <c:pt idx="1">
                  <c:v>0.92143881977777609</c:v>
                </c:pt>
                <c:pt idx="2">
                  <c:v>0.92402455797764271</c:v>
                </c:pt>
                <c:pt idx="3">
                  <c:v>0.89369367005104883</c:v>
                </c:pt>
                <c:pt idx="4">
                  <c:v>0.89488164724730934</c:v>
                </c:pt>
                <c:pt idx="5">
                  <c:v>0.7567654908403495</c:v>
                </c:pt>
                <c:pt idx="6">
                  <c:v>0.77484674303201306</c:v>
                </c:pt>
                <c:pt idx="7">
                  <c:v>0.69304649812747732</c:v>
                </c:pt>
                <c:pt idx="8">
                  <c:v>0.68758789376329199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DE-4199-8E1F-9617D954C4CC}"/>
            </c:ext>
          </c:extLst>
        </c:ser>
        <c:ser>
          <c:idx val="4"/>
          <c:order val="4"/>
          <c:tx>
            <c:v>CG = +4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'Flight Sim Test'!$K$13:$K$18</c:f>
              <c:numCache>
                <c:formatCode>General</c:formatCode>
                <c:ptCount val="6"/>
                <c:pt idx="0">
                  <c:v>-1.2</c:v>
                </c:pt>
                <c:pt idx="1">
                  <c:v>5.3</c:v>
                </c:pt>
                <c:pt idx="2">
                  <c:v>-0.3</c:v>
                </c:pt>
                <c:pt idx="3">
                  <c:v>0.4</c:v>
                </c:pt>
                <c:pt idx="4">
                  <c:v>2.6</c:v>
                </c:pt>
                <c:pt idx="5">
                  <c:v>-1.1000000000000001</c:v>
                </c:pt>
              </c:numCache>
            </c:numRef>
          </c:xVal>
          <c:yVal>
            <c:numRef>
              <c:f>'Flight Sim Test'!$Q$13:$Q$18</c:f>
              <c:numCache>
                <c:formatCode>General</c:formatCode>
                <c:ptCount val="6"/>
                <c:pt idx="0">
                  <c:v>0.10878698514386249</c:v>
                </c:pt>
                <c:pt idx="1">
                  <c:v>0.76395660317277425</c:v>
                </c:pt>
                <c:pt idx="2">
                  <c:v>0.19098915079319356</c:v>
                </c:pt>
                <c:pt idx="3">
                  <c:v>0.24945521736253853</c:v>
                </c:pt>
                <c:pt idx="4">
                  <c:v>0.48893222603057535</c:v>
                </c:pt>
                <c:pt idx="5">
                  <c:v>0.12223305650764384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DE-4199-8E1F-9617D954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of Attack (True)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3903362681440246"/>
          <c:y val="0.413223888888889"/>
          <c:w val="0.23217663607068925"/>
          <c:h val="0.31154165236851056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Cd</a:t>
            </a:r>
            <a:r>
              <a:rPr lang="en-GB" baseline="0"/>
              <a:t> vs Cl^2 Flight Sim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0"/>
          <c:order val="0"/>
          <c:tx>
            <c:v>Cd against CL^2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Test'!$AO$3:$AO$14</c:f>
                <c:numCache>
                  <c:formatCode>General</c:formatCode>
                  <c:ptCount val="12"/>
                  <c:pt idx="0">
                    <c:v>1.7489938886842034E-3</c:v>
                  </c:pt>
                  <c:pt idx="1">
                    <c:v>2.0152490279380553E-3</c:v>
                  </c:pt>
                  <c:pt idx="2">
                    <c:v>1.8630349709739423E-3</c:v>
                  </c:pt>
                  <c:pt idx="3">
                    <c:v>2.2811044837851065E-3</c:v>
                  </c:pt>
                  <c:pt idx="4">
                    <c:v>1.7243276416324857E-3</c:v>
                  </c:pt>
                  <c:pt idx="5">
                    <c:v>1.7970609136820481E-3</c:v>
                  </c:pt>
                  <c:pt idx="6">
                    <c:v>1.8971156158613055E-3</c:v>
                  </c:pt>
                  <c:pt idx="7">
                    <c:v>2.0967350114030844E-3</c:v>
                  </c:pt>
                  <c:pt idx="8">
                    <c:v>2.3079774695579161E-3</c:v>
                  </c:pt>
                  <c:pt idx="9">
                    <c:v>2.568406854741888E-3</c:v>
                  </c:pt>
                  <c:pt idx="10">
                    <c:v>2.8542008589047987E-3</c:v>
                  </c:pt>
                  <c:pt idx="11">
                    <c:v>3.9401300713684572E-3</c:v>
                  </c:pt>
                </c:numCache>
              </c:numRef>
            </c:plus>
            <c:minus>
              <c:numRef>
                <c:f>'Flight Sim Test'!$AO$3:$AO$14</c:f>
                <c:numCache>
                  <c:formatCode>General</c:formatCode>
                  <c:ptCount val="12"/>
                  <c:pt idx="0">
                    <c:v>1.7489938886842034E-3</c:v>
                  </c:pt>
                  <c:pt idx="1">
                    <c:v>2.0152490279380553E-3</c:v>
                  </c:pt>
                  <c:pt idx="2">
                    <c:v>1.8630349709739423E-3</c:v>
                  </c:pt>
                  <c:pt idx="3">
                    <c:v>2.2811044837851065E-3</c:v>
                  </c:pt>
                  <c:pt idx="4">
                    <c:v>1.7243276416324857E-3</c:v>
                  </c:pt>
                  <c:pt idx="5">
                    <c:v>1.7970609136820481E-3</c:v>
                  </c:pt>
                  <c:pt idx="6">
                    <c:v>1.8971156158613055E-3</c:v>
                  </c:pt>
                  <c:pt idx="7">
                    <c:v>2.0967350114030844E-3</c:v>
                  </c:pt>
                  <c:pt idx="8">
                    <c:v>2.3079774695579161E-3</c:v>
                  </c:pt>
                  <c:pt idx="9">
                    <c:v>2.568406854741888E-3</c:v>
                  </c:pt>
                  <c:pt idx="10">
                    <c:v>2.8542008589047987E-3</c:v>
                  </c:pt>
                  <c:pt idx="11">
                    <c:v>3.9401300713684572E-3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Test'!$AJ$7:$AJ$14</c:f>
              <c:numCache>
                <c:formatCode>General</c:formatCode>
                <c:ptCount val="8"/>
                <c:pt idx="0">
                  <c:v>3.4460367900524119E-2</c:v>
                </c:pt>
                <c:pt idx="1">
                  <c:v>4.2308291557645039E-2</c:v>
                </c:pt>
                <c:pt idx="2">
                  <c:v>5.2523042067556959E-2</c:v>
                </c:pt>
                <c:pt idx="3">
                  <c:v>6.6015240048417273E-2</c:v>
                </c:pt>
                <c:pt idx="4">
                  <c:v>8.4131757569638921E-2</c:v>
                </c:pt>
                <c:pt idx="5">
                  <c:v>0.10891178003128613</c:v>
                </c:pt>
                <c:pt idx="6">
                  <c:v>0.14352506414212463</c:v>
                </c:pt>
                <c:pt idx="7">
                  <c:v>0.19304852295381328</c:v>
                </c:pt>
              </c:numCache>
            </c:numRef>
          </c:xVal>
          <c:yVal>
            <c:numRef>
              <c:f>'Flight Sim Test'!$AH$7:$AH$14</c:f>
              <c:numCache>
                <c:formatCode>General</c:formatCode>
                <c:ptCount val="8"/>
                <c:pt idx="0">
                  <c:v>1.3675769028129283E-2</c:v>
                </c:pt>
                <c:pt idx="1">
                  <c:v>1.3838696126049082E-2</c:v>
                </c:pt>
                <c:pt idx="2">
                  <c:v>1.4147776623829425E-2</c:v>
                </c:pt>
                <c:pt idx="3">
                  <c:v>1.5095999098016876E-2</c:v>
                </c:pt>
                <c:pt idx="4">
                  <c:v>1.5993972183841337E-2</c:v>
                </c:pt>
                <c:pt idx="5">
                  <c:v>1.7070704897200858E-2</c:v>
                </c:pt>
                <c:pt idx="6">
                  <c:v>1.8121450966606795E-2</c:v>
                </c:pt>
                <c:pt idx="7">
                  <c:v>2.3767790094380768E-2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3-494A-AF76-7053A9EB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1266521812936426"/>
          <c:y val="0.61290945293272858"/>
          <c:w val="0.30639350167861629"/>
          <c:h val="0.12901722755912237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</a:t>
            </a:r>
            <a:r>
              <a:rPr lang="en-GB" baseline="0"/>
              <a:t> vs Cd drag polar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'Wind Tunnel Test'!$AN$4:$AN$19</c:f>
              <c:numCache>
                <c:formatCode>General</c:formatCode>
                <c:ptCount val="16"/>
                <c:pt idx="0">
                  <c:v>6.8105913277845695E-2</c:v>
                </c:pt>
                <c:pt idx="1">
                  <c:v>6.5543281529057112E-2</c:v>
                </c:pt>
                <c:pt idx="2">
                  <c:v>6.5483720680458921E-2</c:v>
                </c:pt>
                <c:pt idx="3">
                  <c:v>6.4010762976521737E-2</c:v>
                </c:pt>
                <c:pt idx="4">
                  <c:v>6.9345370366792058E-2</c:v>
                </c:pt>
                <c:pt idx="5">
                  <c:v>6.8538761547839555E-2</c:v>
                </c:pt>
                <c:pt idx="6">
                  <c:v>7.650856491353783E-2</c:v>
                </c:pt>
                <c:pt idx="7">
                  <c:v>7.4500363225000671E-2</c:v>
                </c:pt>
                <c:pt idx="8">
                  <c:v>8.6689623955364309E-2</c:v>
                </c:pt>
                <c:pt idx="9">
                  <c:v>8.5777814581130332E-2</c:v>
                </c:pt>
                <c:pt idx="10">
                  <c:v>9.9767037904554309E-2</c:v>
                </c:pt>
                <c:pt idx="11">
                  <c:v>9.8079789700537365E-2</c:v>
                </c:pt>
                <c:pt idx="12">
                  <c:v>0.1166970957568616</c:v>
                </c:pt>
                <c:pt idx="13">
                  <c:v>0.11678421748708408</c:v>
                </c:pt>
                <c:pt idx="14">
                  <c:v>0.13535965913895737</c:v>
                </c:pt>
                <c:pt idx="15">
                  <c:v>0.13671236850854887</c:v>
                </c:pt>
              </c:numCache>
            </c:numRef>
          </c:xVal>
          <c:y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0-4658-84AA-9A4700ACCF2A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Test'!$AN$23:$AN$38</c:f>
              <c:numCache>
                <c:formatCode>General</c:formatCode>
                <c:ptCount val="16"/>
                <c:pt idx="0">
                  <c:v>6.9146262323847962E-2</c:v>
                </c:pt>
                <c:pt idx="1">
                  <c:v>6.8970769493236342E-2</c:v>
                </c:pt>
                <c:pt idx="2">
                  <c:v>7.0189901465742888E-2</c:v>
                </c:pt>
                <c:pt idx="3">
                  <c:v>6.9342280354427965E-2</c:v>
                </c:pt>
                <c:pt idx="4">
                  <c:v>7.2698418171225285E-2</c:v>
                </c:pt>
                <c:pt idx="5">
                  <c:v>7.0535251867755097E-2</c:v>
                </c:pt>
                <c:pt idx="6">
                  <c:v>8.0840519819041029E-2</c:v>
                </c:pt>
                <c:pt idx="7">
                  <c:v>8.0713632785310616E-2</c:v>
                </c:pt>
                <c:pt idx="8">
                  <c:v>9.0257433346576835E-2</c:v>
                </c:pt>
                <c:pt idx="9">
                  <c:v>9.0918432785353151E-2</c:v>
                </c:pt>
                <c:pt idx="10">
                  <c:v>0.10914791285808664</c:v>
                </c:pt>
                <c:pt idx="11">
                  <c:v>0.11016273568736761</c:v>
                </c:pt>
                <c:pt idx="12">
                  <c:v>0.13044395134272829</c:v>
                </c:pt>
                <c:pt idx="13">
                  <c:v>0.13054413087232056</c:v>
                </c:pt>
                <c:pt idx="14">
                  <c:v>0.15350218520731898</c:v>
                </c:pt>
                <c:pt idx="15">
                  <c:v>0.15446621688266063</c:v>
                </c:pt>
              </c:numCache>
            </c:numRef>
          </c:xVal>
          <c:y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0-4658-84AA-9A4700ACCF2A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Tunnel Test'!$AN$42:$AN$71</c:f>
              <c:numCache>
                <c:formatCode>General</c:formatCode>
                <c:ptCount val="30"/>
                <c:pt idx="0">
                  <c:v>7.6563835983897099E-2</c:v>
                </c:pt>
                <c:pt idx="1">
                  <c:v>7.3954394004364488E-2</c:v>
                </c:pt>
                <c:pt idx="2">
                  <c:v>7.1800529500979801E-2</c:v>
                </c:pt>
                <c:pt idx="3">
                  <c:v>7.214318532110385E-2</c:v>
                </c:pt>
                <c:pt idx="4">
                  <c:v>7.3097182930620785E-2</c:v>
                </c:pt>
                <c:pt idx="5">
                  <c:v>7.4716305488122775E-2</c:v>
                </c:pt>
                <c:pt idx="6">
                  <c:v>7.9126826660758778E-2</c:v>
                </c:pt>
                <c:pt idx="7">
                  <c:v>8.00657685971429E-2</c:v>
                </c:pt>
                <c:pt idx="8">
                  <c:v>8.9133631662455068E-2</c:v>
                </c:pt>
                <c:pt idx="9">
                  <c:v>8.8242083337748106E-2</c:v>
                </c:pt>
                <c:pt idx="10">
                  <c:v>0.10242386319905381</c:v>
                </c:pt>
                <c:pt idx="11">
                  <c:v>0.10635503612557737</c:v>
                </c:pt>
                <c:pt idx="12">
                  <c:v>0.10773009570781016</c:v>
                </c:pt>
                <c:pt idx="13">
                  <c:v>0.12455474593117523</c:v>
                </c:pt>
                <c:pt idx="14">
                  <c:v>0.13004102145173166</c:v>
                </c:pt>
                <c:pt idx="15">
                  <c:v>0.13483212917653103</c:v>
                </c:pt>
                <c:pt idx="16">
                  <c:v>0.14824086888771873</c:v>
                </c:pt>
                <c:pt idx="17">
                  <c:v>0.14629148791092308</c:v>
                </c:pt>
                <c:pt idx="18">
                  <c:v>0.1521235723895657</c:v>
                </c:pt>
                <c:pt idx="19">
                  <c:v>0.16165826129834426</c:v>
                </c:pt>
                <c:pt idx="20">
                  <c:v>0.16883126632555451</c:v>
                </c:pt>
                <c:pt idx="21">
                  <c:v>0.19774000141622883</c:v>
                </c:pt>
                <c:pt idx="22">
                  <c:v>0.21816900664516559</c:v>
                </c:pt>
                <c:pt idx="23">
                  <c:v>0.21983453020134458</c:v>
                </c:pt>
                <c:pt idx="24">
                  <c:v>0.25093781174427104</c:v>
                </c:pt>
                <c:pt idx="25">
                  <c:v>0.25246020007919795</c:v>
                </c:pt>
                <c:pt idx="26">
                  <c:v>0.27739560579959677</c:v>
                </c:pt>
                <c:pt idx="27">
                  <c:v>0.276415472413583</c:v>
                </c:pt>
                <c:pt idx="28">
                  <c:v>0.29930762139818251</c:v>
                </c:pt>
                <c:pt idx="29">
                  <c:v>0.2940818850042855</c:v>
                </c:pt>
              </c:numCache>
            </c:numRef>
          </c:xVal>
          <c:yVal>
            <c:numRef>
              <c:f>'Wind Tunnel Test'!$AM$42:$AM$71</c:f>
              <c:numCache>
                <c:formatCode>General</c:formatCode>
                <c:ptCount val="30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  <c:pt idx="21">
                  <c:v>0.90971612727726092</c:v>
                </c:pt>
                <c:pt idx="22">
                  <c:v>0.92143881977777609</c:v>
                </c:pt>
                <c:pt idx="23">
                  <c:v>0.92402455797764271</c:v>
                </c:pt>
                <c:pt idx="24">
                  <c:v>0.89369367005104883</c:v>
                </c:pt>
                <c:pt idx="25">
                  <c:v>0.89488164724730934</c:v>
                </c:pt>
                <c:pt idx="26">
                  <c:v>0.7567654908403495</c:v>
                </c:pt>
                <c:pt idx="27">
                  <c:v>0.77484674303201306</c:v>
                </c:pt>
                <c:pt idx="28">
                  <c:v>0.69304649812747732</c:v>
                </c:pt>
                <c:pt idx="29">
                  <c:v>0.68758789376329199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0-4658-84AA-9A4700ACCF2A}"/>
            </c:ext>
          </c:extLst>
        </c:ser>
        <c:ser>
          <c:idx val="3"/>
          <c:order val="3"/>
          <c:tx>
            <c:v>Flight 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'Flight Sim Test'!$AH$3:$AH$14</c:f>
              <c:numCache>
                <c:formatCode>General</c:formatCode>
                <c:ptCount val="12"/>
                <c:pt idx="0">
                  <c:v>1.5233047391744563E-2</c:v>
                </c:pt>
                <c:pt idx="1">
                  <c:v>1.7149626225959926E-2</c:v>
                </c:pt>
                <c:pt idx="2">
                  <c:v>1.5531974156580954E-2</c:v>
                </c:pt>
                <c:pt idx="3">
                  <c:v>1.8505253273934773E-2</c:v>
                </c:pt>
                <c:pt idx="4">
                  <c:v>1.3675769028129283E-2</c:v>
                </c:pt>
                <c:pt idx="5">
                  <c:v>1.3838696126049082E-2</c:v>
                </c:pt>
                <c:pt idx="6">
                  <c:v>1.4147776623829425E-2</c:v>
                </c:pt>
                <c:pt idx="7">
                  <c:v>1.5095999098016876E-2</c:v>
                </c:pt>
                <c:pt idx="8">
                  <c:v>1.5993972183841337E-2</c:v>
                </c:pt>
                <c:pt idx="9">
                  <c:v>1.7070704897200858E-2</c:v>
                </c:pt>
                <c:pt idx="10">
                  <c:v>1.8121450966606795E-2</c:v>
                </c:pt>
                <c:pt idx="11">
                  <c:v>2.3767790094380768E-2</c:v>
                </c:pt>
              </c:numCache>
            </c:numRef>
          </c:xVal>
          <c:yVal>
            <c:numRef>
              <c:f>'Flight Sim Test'!$AG$3:$AG$14</c:f>
              <c:numCache>
                <c:formatCode>General</c:formatCode>
                <c:ptCount val="12"/>
                <c:pt idx="0">
                  <c:v>0.12891322189437335</c:v>
                </c:pt>
                <c:pt idx="1">
                  <c:v>0.14036675956740841</c:v>
                </c:pt>
                <c:pt idx="2">
                  <c:v>0.15341738803958482</c:v>
                </c:pt>
                <c:pt idx="3">
                  <c:v>0.16837645308652849</c:v>
                </c:pt>
                <c:pt idx="4">
                  <c:v>0.18563503952789764</c:v>
                </c:pt>
                <c:pt idx="5">
                  <c:v>0.20568979449074531</c:v>
                </c:pt>
                <c:pt idx="6">
                  <c:v>0.22917906114555264</c:v>
                </c:pt>
                <c:pt idx="7">
                  <c:v>0.25693431076525625</c:v>
                </c:pt>
                <c:pt idx="8">
                  <c:v>0.29005474926233998</c:v>
                </c:pt>
                <c:pt idx="9">
                  <c:v>0.33001784804959583</c:v>
                </c:pt>
                <c:pt idx="10">
                  <c:v>0.37884701944468907</c:v>
                </c:pt>
                <c:pt idx="11">
                  <c:v>0.439372874622243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0-4658-84AA-9A4700AC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366608769717665"/>
          <c:y val="0.62188812511776759"/>
          <c:w val="0.21164982996759488"/>
          <c:h val="0.24821978965542579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L/D</a:t>
            </a:r>
            <a:r>
              <a:rPr lang="en-GB" baseline="0"/>
              <a:t> vs Cl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7.4451969457232245E-2"/>
          <c:y val="0.10715312864360667"/>
          <c:w val="0.86082916452798297"/>
          <c:h val="0.79745700423281773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xVal>
          <c:yVal>
            <c:numRef>
              <c:f>'Wind Tunnel Test'!$AS$4:$AS$19</c:f>
              <c:numCache>
                <c:formatCode>General</c:formatCode>
                <c:ptCount val="16"/>
                <c:pt idx="0">
                  <c:v>-2.2957104213816044E-3</c:v>
                </c:pt>
                <c:pt idx="1">
                  <c:v>3.2056041812663343E-3</c:v>
                </c:pt>
                <c:pt idx="2">
                  <c:v>2.1198968186175065</c:v>
                </c:pt>
                <c:pt idx="3">
                  <c:v>2.117258109598291</c:v>
                </c:pt>
                <c:pt idx="4">
                  <c:v>4.0224252384108201</c:v>
                </c:pt>
                <c:pt idx="5">
                  <c:v>4.0557945340537254</c:v>
                </c:pt>
                <c:pt idx="6">
                  <c:v>5.4488174865027421</c:v>
                </c:pt>
                <c:pt idx="7">
                  <c:v>5.6052516284295875</c:v>
                </c:pt>
                <c:pt idx="8">
                  <c:v>6.3554004541088585</c:v>
                </c:pt>
                <c:pt idx="9">
                  <c:v>6.4188585752413854</c:v>
                </c:pt>
                <c:pt idx="10">
                  <c:v>6.5913799610575374</c:v>
                </c:pt>
                <c:pt idx="11">
                  <c:v>6.711845454732015</c:v>
                </c:pt>
                <c:pt idx="12">
                  <c:v>6.4156970758649221</c:v>
                </c:pt>
                <c:pt idx="13">
                  <c:v>6.4155056424171866</c:v>
                </c:pt>
                <c:pt idx="14">
                  <c:v>6.1006966354449794</c:v>
                </c:pt>
                <c:pt idx="15">
                  <c:v>6.019509300558104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A-40A3-BFAB-054F011F2B5F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xVal>
          <c:yVal>
            <c:numRef>
              <c:f>'Wind Tunnel Test'!$AS$23:$AS$38</c:f>
              <c:numCache>
                <c:formatCode>General</c:formatCode>
                <c:ptCount val="16"/>
                <c:pt idx="0">
                  <c:v>-0.45097857806216307</c:v>
                </c:pt>
                <c:pt idx="1">
                  <c:v>-0.42564041823836757</c:v>
                </c:pt>
                <c:pt idx="2">
                  <c:v>1.9053938684063521</c:v>
                </c:pt>
                <c:pt idx="3">
                  <c:v>1.9083901145752047</c:v>
                </c:pt>
                <c:pt idx="4">
                  <c:v>4.0806166346050246</c:v>
                </c:pt>
                <c:pt idx="5">
                  <c:v>4.2033400777183179</c:v>
                </c:pt>
                <c:pt idx="6">
                  <c:v>5.6890405015131087</c:v>
                </c:pt>
                <c:pt idx="7">
                  <c:v>5.7344718538939832</c:v>
                </c:pt>
                <c:pt idx="8">
                  <c:v>6.8534576661479676</c:v>
                </c:pt>
                <c:pt idx="9">
                  <c:v>6.7706286569148659</c:v>
                </c:pt>
                <c:pt idx="10">
                  <c:v>6.8470238373010694</c:v>
                </c:pt>
                <c:pt idx="11">
                  <c:v>6.7910349254285478</c:v>
                </c:pt>
                <c:pt idx="12">
                  <c:v>6.5458732035887701</c:v>
                </c:pt>
                <c:pt idx="13">
                  <c:v>6.5319409234445756</c:v>
                </c:pt>
                <c:pt idx="14">
                  <c:v>6.1447246763378134</c:v>
                </c:pt>
                <c:pt idx="15">
                  <c:v>6.1070353648573592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A-40A3-BFAB-054F011F2B5F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634427200169132E-3"/>
                  <c:y val="-9.8840247501128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Test'!$AM$42:$AM$62</c:f>
              <c:numCache>
                <c:formatCode>General</c:formatCode>
                <c:ptCount val="21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</c:numCache>
            </c:numRef>
          </c:xVal>
          <c:yVal>
            <c:numRef>
              <c:f>'Wind Tunnel Test'!$AS$42:$AS$62</c:f>
              <c:numCache>
                <c:formatCode>General</c:formatCode>
                <c:ptCount val="21"/>
                <c:pt idx="0">
                  <c:v>-1.0920917248982234</c:v>
                </c:pt>
                <c:pt idx="1">
                  <c:v>-1.0939009761881127</c:v>
                </c:pt>
                <c:pt idx="2">
                  <c:v>1.1330069259403328</c:v>
                </c:pt>
                <c:pt idx="3">
                  <c:v>1.1665414706882484</c:v>
                </c:pt>
                <c:pt idx="4">
                  <c:v>3.3638550734431578</c:v>
                </c:pt>
                <c:pt idx="5">
                  <c:v>3.3035168590390329</c:v>
                </c:pt>
                <c:pt idx="6">
                  <c:v>5.1504292976264345</c:v>
                </c:pt>
                <c:pt idx="7">
                  <c:v>5.1373939131421507</c:v>
                </c:pt>
                <c:pt idx="8">
                  <c:v>6.3325952294758778</c:v>
                </c:pt>
                <c:pt idx="9">
                  <c:v>6.3936262816447558</c:v>
                </c:pt>
                <c:pt idx="10">
                  <c:v>6.7782218221108703</c:v>
                </c:pt>
                <c:pt idx="11">
                  <c:v>6.5256483264253689</c:v>
                </c:pt>
                <c:pt idx="12">
                  <c:v>7.0999484368346497</c:v>
                </c:pt>
                <c:pt idx="13">
                  <c:v>6.4994435298634654</c:v>
                </c:pt>
                <c:pt idx="14">
                  <c:v>6.5204258773169226</c:v>
                </c:pt>
                <c:pt idx="15">
                  <c:v>6.3908877299460585</c:v>
                </c:pt>
                <c:pt idx="16">
                  <c:v>6.1135812854975438</c:v>
                </c:pt>
                <c:pt idx="17">
                  <c:v>6.2098408296698864</c:v>
                </c:pt>
                <c:pt idx="18">
                  <c:v>6.1336176951535242</c:v>
                </c:pt>
                <c:pt idx="19">
                  <c:v>5.827443574538016</c:v>
                </c:pt>
                <c:pt idx="20">
                  <c:v>5.5810026703720368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A-40A3-BFAB-054F011F2B5F}"/>
            </c:ext>
          </c:extLst>
        </c:ser>
        <c:ser>
          <c:idx val="3"/>
          <c:order val="3"/>
          <c:tx>
            <c:v>Flight 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5060167236955729E-2"/>
                  <c:y val="7.9447741863736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'Flight Sim Test'!$AP$3:$AP$14</c:f>
                <c:numCache>
                  <c:formatCode>General</c:formatCode>
                  <c:ptCount val="12"/>
                  <c:pt idx="0">
                    <c:v>0.28704166975931156</c:v>
                  </c:pt>
                  <c:pt idx="1">
                    <c:v>0.28122692900404289</c:v>
                  </c:pt>
                  <c:pt idx="2">
                    <c:v>0.34167015661355166</c:v>
                  </c:pt>
                  <c:pt idx="3">
                    <c:v>0.31999019646998517</c:v>
                  </c:pt>
                  <c:pt idx="4">
                    <c:v>0.48034270075312469</c:v>
                  </c:pt>
                  <c:pt idx="5">
                    <c:v>0.53443984060731453</c:v>
                  </c:pt>
                  <c:pt idx="6">
                    <c:v>0.59308250366570903</c:v>
                  </c:pt>
                  <c:pt idx="7">
                    <c:v>0.63618677586791206</c:v>
                  </c:pt>
                  <c:pt idx="8">
                    <c:v>0.69358728999600006</c:v>
                  </c:pt>
                  <c:pt idx="9">
                    <c:v>0.75858305860028052</c:v>
                  </c:pt>
                  <c:pt idx="10">
                    <c:v>0.84421514163670741</c:v>
                  </c:pt>
                  <c:pt idx="11">
                    <c:v>0.77216749605439983</c:v>
                  </c:pt>
                </c:numCache>
              </c:numRef>
            </c:plus>
            <c:minus>
              <c:numRef>
                <c:f>'Flight Sim Test'!$AP$3:$AP$14</c:f>
                <c:numCache>
                  <c:formatCode>General</c:formatCode>
                  <c:ptCount val="12"/>
                  <c:pt idx="0">
                    <c:v>0.28704166975931156</c:v>
                  </c:pt>
                  <c:pt idx="1">
                    <c:v>0.28122692900404289</c:v>
                  </c:pt>
                  <c:pt idx="2">
                    <c:v>0.34167015661355166</c:v>
                  </c:pt>
                  <c:pt idx="3">
                    <c:v>0.31999019646998517</c:v>
                  </c:pt>
                  <c:pt idx="4">
                    <c:v>0.48034270075312469</c:v>
                  </c:pt>
                  <c:pt idx="5">
                    <c:v>0.53443984060731453</c:v>
                  </c:pt>
                  <c:pt idx="6">
                    <c:v>0.59308250366570903</c:v>
                  </c:pt>
                  <c:pt idx="7">
                    <c:v>0.63618677586791206</c:v>
                  </c:pt>
                  <c:pt idx="8">
                    <c:v>0.69358728999600006</c:v>
                  </c:pt>
                  <c:pt idx="9">
                    <c:v>0.75858305860028052</c:v>
                  </c:pt>
                  <c:pt idx="10">
                    <c:v>0.84421514163670741</c:v>
                  </c:pt>
                  <c:pt idx="11">
                    <c:v>0.77216749605439983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'Flight Sim Test'!$AN$3:$AN$14</c:f>
                <c:numCache>
                  <c:formatCode>General</c:formatCode>
                  <c:ptCount val="12"/>
                  <c:pt idx="0">
                    <c:v>6.0562306189967663E-3</c:v>
                  </c:pt>
                  <c:pt idx="1">
                    <c:v>6.8485954274623249E-3</c:v>
                  </c:pt>
                  <c:pt idx="2">
                    <c:v>7.7885414213802531E-3</c:v>
                  </c:pt>
                  <c:pt idx="3">
                    <c:v>8.9124195598509637E-3</c:v>
                  </c:pt>
                  <c:pt idx="4">
                    <c:v>1.0267930754087823E-2</c:v>
                  </c:pt>
                  <c:pt idx="5">
                    <c:v>1.1918497524657444E-2</c:v>
                  </c:pt>
                  <c:pt idx="6">
                    <c:v>1.3949674727460261E-2</c:v>
                  </c:pt>
                  <c:pt idx="7">
                    <c:v>1.6478736311718107E-2</c:v>
                  </c:pt>
                  <c:pt idx="8">
                    <c:v>1.9669326169041469E-2</c:v>
                  </c:pt>
                  <c:pt idx="9">
                    <c:v>2.3754396585871619E-2</c:v>
                  </c:pt>
                  <c:pt idx="10">
                    <c:v>2.9073111139300119E-2</c:v>
                  </c:pt>
                  <c:pt idx="11">
                    <c:v>3.613206438559962E-2</c:v>
                  </c:pt>
                </c:numCache>
              </c:numRef>
            </c:plus>
            <c:minus>
              <c:numRef>
                <c:f>'Flight Sim Test'!$AN$3:$AN$14</c:f>
                <c:numCache>
                  <c:formatCode>General</c:formatCode>
                  <c:ptCount val="12"/>
                  <c:pt idx="0">
                    <c:v>6.0562306189967663E-3</c:v>
                  </c:pt>
                  <c:pt idx="1">
                    <c:v>6.8485954274623249E-3</c:v>
                  </c:pt>
                  <c:pt idx="2">
                    <c:v>7.7885414213802531E-3</c:v>
                  </c:pt>
                  <c:pt idx="3">
                    <c:v>8.9124195598509637E-3</c:v>
                  </c:pt>
                  <c:pt idx="4">
                    <c:v>1.0267930754087823E-2</c:v>
                  </c:pt>
                  <c:pt idx="5">
                    <c:v>1.1918497524657444E-2</c:v>
                  </c:pt>
                  <c:pt idx="6">
                    <c:v>1.3949674727460261E-2</c:v>
                  </c:pt>
                  <c:pt idx="7">
                    <c:v>1.6478736311718107E-2</c:v>
                  </c:pt>
                  <c:pt idx="8">
                    <c:v>1.9669326169041469E-2</c:v>
                  </c:pt>
                  <c:pt idx="9">
                    <c:v>2.3754396585871619E-2</c:v>
                  </c:pt>
                  <c:pt idx="10">
                    <c:v>2.9073111139300119E-2</c:v>
                  </c:pt>
                  <c:pt idx="11">
                    <c:v>3.613206438559962E-2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'Flight Sim Test'!$AG$3:$AG$14</c:f>
              <c:numCache>
                <c:formatCode>General</c:formatCode>
                <c:ptCount val="12"/>
                <c:pt idx="0">
                  <c:v>0.12891322189437335</c:v>
                </c:pt>
                <c:pt idx="1">
                  <c:v>0.14036675956740841</c:v>
                </c:pt>
                <c:pt idx="2">
                  <c:v>0.15341738803958482</c:v>
                </c:pt>
                <c:pt idx="3">
                  <c:v>0.16837645308652849</c:v>
                </c:pt>
                <c:pt idx="4">
                  <c:v>0.18563503952789764</c:v>
                </c:pt>
                <c:pt idx="5">
                  <c:v>0.20568979449074531</c:v>
                </c:pt>
                <c:pt idx="6">
                  <c:v>0.22917906114555264</c:v>
                </c:pt>
                <c:pt idx="7">
                  <c:v>0.25693431076525625</c:v>
                </c:pt>
                <c:pt idx="8">
                  <c:v>0.29005474926233998</c:v>
                </c:pt>
                <c:pt idx="9">
                  <c:v>0.33001784804959583</c:v>
                </c:pt>
                <c:pt idx="10">
                  <c:v>0.37884701944468907</c:v>
                </c:pt>
                <c:pt idx="11">
                  <c:v>0.439372874622243</c:v>
                </c:pt>
              </c:numCache>
            </c:numRef>
          </c:xVal>
          <c:yVal>
            <c:numRef>
              <c:f>'Flight Sim Test'!$AI$3:$AI$14</c:f>
              <c:numCache>
                <c:formatCode>General</c:formatCode>
                <c:ptCount val="12"/>
                <c:pt idx="0">
                  <c:v>8.4627335935577079</c:v>
                </c:pt>
                <c:pt idx="1">
                  <c:v>8.1848290871162455</c:v>
                </c:pt>
                <c:pt idx="2">
                  <c:v>9.8775201718051608</c:v>
                </c:pt>
                <c:pt idx="3">
                  <c:v>9.0988461813539168</c:v>
                </c:pt>
                <c:pt idx="4">
                  <c:v>13.574011022420052</c:v>
                </c:pt>
                <c:pt idx="5">
                  <c:v>14.863379657825416</c:v>
                </c:pt>
                <c:pt idx="6">
                  <c:v>16.198945405989878</c:v>
                </c:pt>
                <c:pt idx="7">
                  <c:v>17.020026902294202</c:v>
                </c:pt>
                <c:pt idx="8">
                  <c:v>18.135254077494359</c:v>
                </c:pt>
                <c:pt idx="9">
                  <c:v>19.332408944853235</c:v>
                </c:pt>
                <c:pt idx="10">
                  <c:v>20.905998098210091</c:v>
                </c:pt>
                <c:pt idx="11">
                  <c:v>18.48606340250878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A-40A3-BFAB-054F011F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L/D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107313477396379"/>
          <c:y val="0.12376178791403865"/>
          <c:w val="0.14035752647724592"/>
          <c:h val="0.23525777767822709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</a:t>
            </a:r>
            <a:r>
              <a:rPr lang="en-GB" baseline="0"/>
              <a:t> vs Cd drag polar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288010413736426"/>
          <c:y val="0.10715312864360667"/>
          <c:w val="0.77240103301022578"/>
          <c:h val="0.72708666925767584"/>
        </c:manualLayout>
      </c:layout>
      <c:scatterChart>
        <c:scatterStyle val="lineMarker"/>
        <c:varyColors val="0"/>
        <c:ser>
          <c:idx val="2"/>
          <c:order val="0"/>
          <c:tx>
            <c:v>"Tail Off"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'Wind Tunnel Test'!$AM$4:$AM$19</c:f>
              <c:numCache>
                <c:formatCode>General</c:formatCode>
                <c:ptCount val="16"/>
                <c:pt idx="0">
                  <c:v>-1.5635145486966214E-4</c:v>
                </c:pt>
                <c:pt idx="1">
                  <c:v>2.1010581732346198E-4</c:v>
                </c:pt>
                <c:pt idx="2">
                  <c:v>0.13881873114174229</c:v>
                </c:pt>
                <c:pt idx="3">
                  <c:v>0.13552730701361468</c:v>
                </c:pt>
                <c:pt idx="4">
                  <c:v>0.27893656793033017</c:v>
                </c:pt>
                <c:pt idx="5">
                  <c:v>0.27797913445653932</c:v>
                </c:pt>
                <c:pt idx="6">
                  <c:v>0.4168812063681151</c:v>
                </c:pt>
                <c:pt idx="7">
                  <c:v>0.41759328228553078</c:v>
                </c:pt>
                <c:pt idx="8">
                  <c:v>0.55094727545244848</c:v>
                </c:pt>
                <c:pt idx="9">
                  <c:v>0.55059566068955401</c:v>
                </c:pt>
                <c:pt idx="10">
                  <c:v>0.65760245441814702</c:v>
                </c:pt>
                <c:pt idx="11">
                  <c:v>0.65829639070262358</c:v>
                </c:pt>
                <c:pt idx="12">
                  <c:v>0.74869321600922578</c:v>
                </c:pt>
                <c:pt idx="13">
                  <c:v>0.74922980623366375</c:v>
                </c:pt>
                <c:pt idx="14">
                  <c:v>0.82578821708401651</c:v>
                </c:pt>
                <c:pt idx="15">
                  <c:v>0.82294137373853682</c:v>
                </c:pt>
              </c:numCache>
            </c:numRef>
          </c:xVal>
          <c:yVal>
            <c:numRef>
              <c:f>'Wind Tunnel Test'!$AN$4:$AN$19</c:f>
              <c:numCache>
                <c:formatCode>General</c:formatCode>
                <c:ptCount val="16"/>
                <c:pt idx="0">
                  <c:v>6.8105913277845695E-2</c:v>
                </c:pt>
                <c:pt idx="1">
                  <c:v>6.5543281529057112E-2</c:v>
                </c:pt>
                <c:pt idx="2">
                  <c:v>6.5483720680458921E-2</c:v>
                </c:pt>
                <c:pt idx="3">
                  <c:v>6.4010762976521737E-2</c:v>
                </c:pt>
                <c:pt idx="4">
                  <c:v>6.9345370366792058E-2</c:v>
                </c:pt>
                <c:pt idx="5">
                  <c:v>6.8538761547839555E-2</c:v>
                </c:pt>
                <c:pt idx="6">
                  <c:v>7.650856491353783E-2</c:v>
                </c:pt>
                <c:pt idx="7">
                  <c:v>7.4500363225000671E-2</c:v>
                </c:pt>
                <c:pt idx="8">
                  <c:v>8.6689623955364309E-2</c:v>
                </c:pt>
                <c:pt idx="9">
                  <c:v>8.5777814581130332E-2</c:v>
                </c:pt>
                <c:pt idx="10">
                  <c:v>9.9767037904554309E-2</c:v>
                </c:pt>
                <c:pt idx="11">
                  <c:v>9.8079789700537365E-2</c:v>
                </c:pt>
                <c:pt idx="12">
                  <c:v>0.1166970957568616</c:v>
                </c:pt>
                <c:pt idx="13">
                  <c:v>0.11678421748708408</c:v>
                </c:pt>
                <c:pt idx="14">
                  <c:v>0.13535965913895737</c:v>
                </c:pt>
                <c:pt idx="15">
                  <c:v>0.13671236850854887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7-4028-BB7A-B838C48AD4FE}"/>
            </c:ext>
          </c:extLst>
        </c:ser>
        <c:ser>
          <c:idx val="0"/>
          <c:order val="1"/>
          <c:tx>
            <c:v>"Tail On (i = +1)"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Tunnel Test'!$AM$23:$AM$38</c:f>
              <c:numCache>
                <c:formatCode>General</c:formatCode>
                <c:ptCount val="16"/>
                <c:pt idx="0">
                  <c:v>-3.1183483061122272E-2</c:v>
                </c:pt>
                <c:pt idx="1">
                  <c:v>-2.935674717332316E-2</c:v>
                </c:pt>
                <c:pt idx="2">
                  <c:v>0.13373940787687252</c:v>
                </c:pt>
                <c:pt idx="3">
                  <c:v>0.13233212235049274</c:v>
                </c:pt>
                <c:pt idx="4">
                  <c:v>0.29665437449897408</c:v>
                </c:pt>
                <c:pt idx="5">
                  <c:v>0.29648365106769081</c:v>
                </c:pt>
                <c:pt idx="6">
                  <c:v>0.45990499141389757</c:v>
                </c:pt>
                <c:pt idx="7">
                  <c:v>0.46285005543289831</c:v>
                </c:pt>
                <c:pt idx="8">
                  <c:v>0.61857549849593618</c:v>
                </c:pt>
                <c:pt idx="9">
                  <c:v>0.61557494645830013</c:v>
                </c:pt>
                <c:pt idx="10">
                  <c:v>0.74733836113097918</c:v>
                </c:pt>
                <c:pt idx="11">
                  <c:v>0.74811898553366729</c:v>
                </c:pt>
                <c:pt idx="12">
                  <c:v>0.85386956566460248</c:v>
                </c:pt>
                <c:pt idx="13">
                  <c:v>0.85270655076041502</c:v>
                </c:pt>
                <c:pt idx="14">
                  <c:v>0.94322866531519023</c:v>
                </c:pt>
                <c:pt idx="15">
                  <c:v>0.94333064917813536</c:v>
                </c:pt>
              </c:numCache>
            </c:numRef>
          </c:xVal>
          <c:yVal>
            <c:numRef>
              <c:f>'Wind Tunnel Test'!$AN$23:$AN$38</c:f>
              <c:numCache>
                <c:formatCode>General</c:formatCode>
                <c:ptCount val="16"/>
                <c:pt idx="0">
                  <c:v>6.9146262323847962E-2</c:v>
                </c:pt>
                <c:pt idx="1">
                  <c:v>6.8970769493236342E-2</c:v>
                </c:pt>
                <c:pt idx="2">
                  <c:v>7.0189901465742888E-2</c:v>
                </c:pt>
                <c:pt idx="3">
                  <c:v>6.9342280354427965E-2</c:v>
                </c:pt>
                <c:pt idx="4">
                  <c:v>7.2698418171225285E-2</c:v>
                </c:pt>
                <c:pt idx="5">
                  <c:v>7.0535251867755097E-2</c:v>
                </c:pt>
                <c:pt idx="6">
                  <c:v>8.0840519819041029E-2</c:v>
                </c:pt>
                <c:pt idx="7">
                  <c:v>8.0713632785310616E-2</c:v>
                </c:pt>
                <c:pt idx="8">
                  <c:v>9.0257433346576835E-2</c:v>
                </c:pt>
                <c:pt idx="9">
                  <c:v>9.0918432785353151E-2</c:v>
                </c:pt>
                <c:pt idx="10">
                  <c:v>0.10914791285808664</c:v>
                </c:pt>
                <c:pt idx="11">
                  <c:v>0.11016273568736761</c:v>
                </c:pt>
                <c:pt idx="12">
                  <c:v>0.13044395134272829</c:v>
                </c:pt>
                <c:pt idx="13">
                  <c:v>0.13054413087232056</c:v>
                </c:pt>
                <c:pt idx="14">
                  <c:v>0.15350218520731898</c:v>
                </c:pt>
                <c:pt idx="15">
                  <c:v>0.15446621688266063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7-4028-BB7A-B838C48AD4FE}"/>
            </c:ext>
          </c:extLst>
        </c:ser>
        <c:ser>
          <c:idx val="1"/>
          <c:order val="2"/>
          <c:tx>
            <c:v>"Tail On (i = -2)"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Tunnel Test'!$AM$42:$AM$71</c:f>
              <c:numCache>
                <c:formatCode>General</c:formatCode>
                <c:ptCount val="30"/>
                <c:pt idx="0">
                  <c:v>-8.3614731704478848E-2</c:v>
                </c:pt>
                <c:pt idx="1">
                  <c:v>-8.0898783794774623E-2</c:v>
                </c:pt>
                <c:pt idx="2">
                  <c:v>8.1350497210793307E-2</c:v>
                </c:pt>
                <c:pt idx="3">
                  <c:v>8.4158017504615337E-2</c:v>
                </c:pt>
                <c:pt idx="4">
                  <c:v>0.24588832965557134</c:v>
                </c:pt>
                <c:pt idx="5">
                  <c:v>0.24682657482512421</c:v>
                </c:pt>
                <c:pt idx="6">
                  <c:v>0.40753712626178046</c:v>
                </c:pt>
                <c:pt idx="7">
                  <c:v>0.41132939224200987</c:v>
                </c:pt>
                <c:pt idx="8">
                  <c:v>0.56444721065152303</c:v>
                </c:pt>
                <c:pt idx="9">
                  <c:v>0.56418690317531306</c:v>
                </c:pt>
                <c:pt idx="10">
                  <c:v>0.69425166464072496</c:v>
                </c:pt>
                <c:pt idx="11">
                  <c:v>0.69403556349978357</c:v>
                </c:pt>
                <c:pt idx="12">
                  <c:v>0.76487812462071392</c:v>
                </c:pt>
                <c:pt idx="13">
                  <c:v>0.80953653755616461</c:v>
                </c:pt>
                <c:pt idx="14">
                  <c:v>0.84792284138659613</c:v>
                </c:pt>
                <c:pt idx="15">
                  <c:v>0.86169699995679416</c:v>
                </c:pt>
                <c:pt idx="16">
                  <c:v>0.90628260177785225</c:v>
                </c:pt>
                <c:pt idx="17">
                  <c:v>0.90844685466240871</c:v>
                </c:pt>
                <c:pt idx="18">
                  <c:v>0.93306783545860827</c:v>
                </c:pt>
                <c:pt idx="19">
                  <c:v>0.94205439607402386</c:v>
                </c:pt>
                <c:pt idx="20">
                  <c:v>0.94224774820521218</c:v>
                </c:pt>
                <c:pt idx="21">
                  <c:v>0.90971612727726092</c:v>
                </c:pt>
                <c:pt idx="22">
                  <c:v>0.92143881977777609</c:v>
                </c:pt>
                <c:pt idx="23">
                  <c:v>0.92402455797764271</c:v>
                </c:pt>
                <c:pt idx="24">
                  <c:v>0.89369367005104883</c:v>
                </c:pt>
                <c:pt idx="25">
                  <c:v>0.89488164724730934</c:v>
                </c:pt>
                <c:pt idx="26">
                  <c:v>0.7567654908403495</c:v>
                </c:pt>
                <c:pt idx="27">
                  <c:v>0.77484674303201306</c:v>
                </c:pt>
                <c:pt idx="28">
                  <c:v>0.69304649812747732</c:v>
                </c:pt>
                <c:pt idx="29">
                  <c:v>0.68758789376329199</c:v>
                </c:pt>
              </c:numCache>
            </c:numRef>
          </c:xVal>
          <c:yVal>
            <c:numRef>
              <c:f>'Wind Tunnel Test'!$AN$42:$AN$71</c:f>
              <c:numCache>
                <c:formatCode>General</c:formatCode>
                <c:ptCount val="30"/>
                <c:pt idx="0">
                  <c:v>7.6563835983897099E-2</c:v>
                </c:pt>
                <c:pt idx="1">
                  <c:v>7.3954394004364488E-2</c:v>
                </c:pt>
                <c:pt idx="2">
                  <c:v>7.1800529500979801E-2</c:v>
                </c:pt>
                <c:pt idx="3">
                  <c:v>7.214318532110385E-2</c:v>
                </c:pt>
                <c:pt idx="4">
                  <c:v>7.3097182930620785E-2</c:v>
                </c:pt>
                <c:pt idx="5">
                  <c:v>7.4716305488122775E-2</c:v>
                </c:pt>
                <c:pt idx="6">
                  <c:v>7.9126826660758778E-2</c:v>
                </c:pt>
                <c:pt idx="7">
                  <c:v>8.00657685971429E-2</c:v>
                </c:pt>
                <c:pt idx="8">
                  <c:v>8.9133631662455068E-2</c:v>
                </c:pt>
                <c:pt idx="9">
                  <c:v>8.8242083337748106E-2</c:v>
                </c:pt>
                <c:pt idx="10">
                  <c:v>0.10242386319905381</c:v>
                </c:pt>
                <c:pt idx="11">
                  <c:v>0.10635503612557737</c:v>
                </c:pt>
                <c:pt idx="12">
                  <c:v>0.10773009570781016</c:v>
                </c:pt>
                <c:pt idx="13">
                  <c:v>0.12455474593117523</c:v>
                </c:pt>
                <c:pt idx="14">
                  <c:v>0.13004102145173166</c:v>
                </c:pt>
                <c:pt idx="15">
                  <c:v>0.13483212917653103</c:v>
                </c:pt>
                <c:pt idx="16">
                  <c:v>0.14824086888771873</c:v>
                </c:pt>
                <c:pt idx="17">
                  <c:v>0.14629148791092308</c:v>
                </c:pt>
                <c:pt idx="18">
                  <c:v>0.1521235723895657</c:v>
                </c:pt>
                <c:pt idx="19">
                  <c:v>0.16165826129834426</c:v>
                </c:pt>
                <c:pt idx="20">
                  <c:v>0.16883126632555451</c:v>
                </c:pt>
                <c:pt idx="21">
                  <c:v>0.19774000141622883</c:v>
                </c:pt>
                <c:pt idx="22">
                  <c:v>0.21816900664516559</c:v>
                </c:pt>
                <c:pt idx="23">
                  <c:v>0.21983453020134458</c:v>
                </c:pt>
                <c:pt idx="24">
                  <c:v>0.25093781174427104</c:v>
                </c:pt>
                <c:pt idx="25">
                  <c:v>0.25246020007919795</c:v>
                </c:pt>
                <c:pt idx="26">
                  <c:v>0.27739560579959677</c:v>
                </c:pt>
                <c:pt idx="27">
                  <c:v>0.276415472413583</c:v>
                </c:pt>
                <c:pt idx="28">
                  <c:v>0.29930762139818251</c:v>
                </c:pt>
                <c:pt idx="29">
                  <c:v>0.2940818850042855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7-4028-BB7A-B838C48AD4FE}"/>
            </c:ext>
          </c:extLst>
        </c:ser>
        <c:ser>
          <c:idx val="3"/>
          <c:order val="3"/>
          <c:tx>
            <c:v>Flight 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329224547505012"/>
                  <c:y val="-5.948843696114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 Sim Test'!$AG$3:$AG$14</c:f>
              <c:numCache>
                <c:formatCode>General</c:formatCode>
                <c:ptCount val="12"/>
                <c:pt idx="0">
                  <c:v>0.12891322189437335</c:v>
                </c:pt>
                <c:pt idx="1">
                  <c:v>0.14036675956740841</c:v>
                </c:pt>
                <c:pt idx="2">
                  <c:v>0.15341738803958482</c:v>
                </c:pt>
                <c:pt idx="3">
                  <c:v>0.16837645308652849</c:v>
                </c:pt>
                <c:pt idx="4">
                  <c:v>0.18563503952789764</c:v>
                </c:pt>
                <c:pt idx="5">
                  <c:v>0.20568979449074531</c:v>
                </c:pt>
                <c:pt idx="6">
                  <c:v>0.22917906114555264</c:v>
                </c:pt>
                <c:pt idx="7">
                  <c:v>0.25693431076525625</c:v>
                </c:pt>
                <c:pt idx="8">
                  <c:v>0.29005474926233998</c:v>
                </c:pt>
                <c:pt idx="9">
                  <c:v>0.33001784804959583</c:v>
                </c:pt>
                <c:pt idx="10">
                  <c:v>0.37884701944468907</c:v>
                </c:pt>
                <c:pt idx="11">
                  <c:v>0.439372874622243</c:v>
                </c:pt>
              </c:numCache>
            </c:numRef>
          </c:xVal>
          <c:yVal>
            <c:numRef>
              <c:f>'Flight Sim Test'!$AH$3:$AH$14</c:f>
              <c:numCache>
                <c:formatCode>General</c:formatCode>
                <c:ptCount val="12"/>
                <c:pt idx="0">
                  <c:v>1.5233047391744563E-2</c:v>
                </c:pt>
                <c:pt idx="1">
                  <c:v>1.7149626225959926E-2</c:v>
                </c:pt>
                <c:pt idx="2">
                  <c:v>1.5531974156580954E-2</c:v>
                </c:pt>
                <c:pt idx="3">
                  <c:v>1.8505253273934773E-2</c:v>
                </c:pt>
                <c:pt idx="4">
                  <c:v>1.3675769028129283E-2</c:v>
                </c:pt>
                <c:pt idx="5">
                  <c:v>1.3838696126049082E-2</c:v>
                </c:pt>
                <c:pt idx="6">
                  <c:v>1.4147776623829425E-2</c:v>
                </c:pt>
                <c:pt idx="7">
                  <c:v>1.5095999098016876E-2</c:v>
                </c:pt>
                <c:pt idx="8">
                  <c:v>1.5993972183841337E-2</c:v>
                </c:pt>
                <c:pt idx="9">
                  <c:v>1.7070704897200858E-2</c:v>
                </c:pt>
                <c:pt idx="10">
                  <c:v>1.8121450966606795E-2</c:v>
                </c:pt>
                <c:pt idx="11">
                  <c:v>2.3767790094380768E-2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7-4028-BB7A-B838C48A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50416"/>
        <c:axId val="1696173120"/>
      </c:scatterChart>
      <c:valAx>
        <c:axId val="16959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120"/>
        <c:crosses val="autoZero"/>
        <c:crossBetween val="midCat"/>
      </c:valAx>
      <c:valAx>
        <c:axId val="169617312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layout>
            <c:manualLayout>
              <c:xMode val="edge"/>
              <c:yMode val="edge"/>
              <c:x val="1.6274962770628888E-2"/>
              <c:y val="0.3606284241385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0416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236821414596377"/>
          <c:y val="0.11964529592186761"/>
          <c:w val="0.22699985222126018"/>
          <c:h val="0.3157699737138292"/>
        </c:manualLayout>
      </c:layout>
      <c:overlay val="0"/>
      <c:spPr>
        <a:noFill/>
        <a:ln w="444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605117</xdr:colOff>
      <xdr:row>16</xdr:row>
      <xdr:rowOff>164789</xdr:rowOff>
    </xdr:from>
    <xdr:to>
      <xdr:col>33</xdr:col>
      <xdr:colOff>1036968</xdr:colOff>
      <xdr:row>31</xdr:row>
      <xdr:rowOff>123521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829651</xdr:colOff>
      <xdr:row>47</xdr:row>
      <xdr:rowOff>79258</xdr:rowOff>
    </xdr:from>
    <xdr:to>
      <xdr:col>15</xdr:col>
      <xdr:colOff>40792</xdr:colOff>
      <xdr:row>80</xdr:row>
      <xdr:rowOff>121477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17</xdr:row>
      <xdr:rowOff>0</xdr:rowOff>
    </xdr:from>
    <xdr:to>
      <xdr:col>44</xdr:col>
      <xdr:colOff>431851</xdr:colOff>
      <xdr:row>31</xdr:row>
      <xdr:rowOff>141612</xdr:rowOff>
    </xdr:to>
    <xdr:graphicFrame macro="">
      <xdr:nvGraphicFramePr>
        <xdr:cNvPr id="140" name="Chart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531826</xdr:colOff>
      <xdr:row>63</xdr:row>
      <xdr:rowOff>104796</xdr:rowOff>
    </xdr:from>
    <xdr:to>
      <xdr:col>22</xdr:col>
      <xdr:colOff>812826</xdr:colOff>
      <xdr:row>101</xdr:row>
      <xdr:rowOff>65796</xdr:rowOff>
    </xdr:to>
    <xdr:graphicFrame macro="">
      <xdr:nvGraphicFramePr>
        <xdr:cNvPr id="200" name="Chart 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904875</xdr:colOff>
      <xdr:row>129</xdr:row>
      <xdr:rowOff>104775</xdr:rowOff>
    </xdr:from>
    <xdr:to>
      <xdr:col>28</xdr:col>
      <xdr:colOff>266700</xdr:colOff>
      <xdr:row>179</xdr:row>
      <xdr:rowOff>57150</xdr:rowOff>
    </xdr:to>
    <xdr:graphicFrame macro="">
      <xdr:nvGraphicFramePr>
        <xdr:cNvPr id="135" name="Chart 1">
          <a:extLst>
            <a:ext uri="{FF2B5EF4-FFF2-40B4-BE49-F238E27FC236}">
              <a16:creationId xmlns:a16="http://schemas.microsoft.com/office/drawing/2014/main" id="{00000000-0008-0000-0000-000099000000}"/>
            </a:ext>
            <a:ext uri="{147F2762-F138-4A5C-976F-8EAC2B608ADB}">
              <a16:predDERef xmlns:a16="http://schemas.microsoft.com/office/drawing/2014/main" pred="{00000000-0008-0000-0000-0000A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45</xdr:col>
      <xdr:colOff>177611</xdr:colOff>
      <xdr:row>60</xdr:row>
      <xdr:rowOff>110250</xdr:rowOff>
    </xdr:to>
    <xdr:graphicFrame macro="">
      <xdr:nvGraphicFramePr>
        <xdr:cNvPr id="152" name="Chart 9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159774</xdr:colOff>
      <xdr:row>33</xdr:row>
      <xdr:rowOff>61451</xdr:rowOff>
    </xdr:from>
    <xdr:to>
      <xdr:col>31</xdr:col>
      <xdr:colOff>409139</xdr:colOff>
      <xdr:row>60</xdr:row>
      <xdr:rowOff>102872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-1</xdr:colOff>
      <xdr:row>61</xdr:row>
      <xdr:rowOff>181427</xdr:rowOff>
    </xdr:from>
    <xdr:to>
      <xdr:col>41</xdr:col>
      <xdr:colOff>616856</xdr:colOff>
      <xdr:row>118</xdr:row>
      <xdr:rowOff>127000</xdr:rowOff>
    </xdr:to>
    <xdr:graphicFrame macro="">
      <xdr:nvGraphicFramePr>
        <xdr:cNvPr id="149" name="Chart 4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30</xdr:row>
      <xdr:rowOff>-1</xdr:rowOff>
    </xdr:from>
    <xdr:to>
      <xdr:col>64</xdr:col>
      <xdr:colOff>381000</xdr:colOff>
      <xdr:row>75</xdr:row>
      <xdr:rowOff>146537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195146</xdr:colOff>
      <xdr:row>31</xdr:row>
      <xdr:rowOff>46463</xdr:rowOff>
    </xdr:from>
    <xdr:to>
      <xdr:col>9</xdr:col>
      <xdr:colOff>289335</xdr:colOff>
      <xdr:row>43</xdr:row>
      <xdr:rowOff>62439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771525</xdr:colOff>
      <xdr:row>113</xdr:row>
      <xdr:rowOff>38100</xdr:rowOff>
    </xdr:from>
    <xdr:to>
      <xdr:col>14</xdr:col>
      <xdr:colOff>1114425</xdr:colOff>
      <xdr:row>162</xdr:row>
      <xdr:rowOff>38100</xdr:rowOff>
    </xdr:to>
    <xdr:graphicFrame macro="">
      <xdr:nvGraphicFramePr>
        <xdr:cNvPr id="136" name="Chart 1">
          <a:extLst>
            <a:ext uri="{FF2B5EF4-FFF2-40B4-BE49-F238E27FC236}">
              <a16:creationId xmlns:a16="http://schemas.microsoft.com/office/drawing/2014/main" id="{803DA71F-64EB-4355-9E3E-8271894B0617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24</xdr:col>
      <xdr:colOff>163641</xdr:colOff>
      <xdr:row>58</xdr:row>
      <xdr:rowOff>42219</xdr:rowOff>
    </xdr:to>
    <xdr:graphicFrame macro="">
      <xdr:nvGraphicFramePr>
        <xdr:cNvPr id="128" name="Chart 1">
          <a:extLst>
            <a:ext uri="{FF2B5EF4-FFF2-40B4-BE49-F238E27FC236}">
              <a16:creationId xmlns:a16="http://schemas.microsoft.com/office/drawing/2014/main" id="{1524FE12-7DA7-49AC-BBFE-34CABF46C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0.1043</cdr:x>
      <cdr:y>0.14734</cdr:y>
    </cdr:from>
    <cdr:to>
      <cdr:x>0.12526</cdr:x>
      <cdr:y>0.17966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556B301E-1CA3-C2A1-4683-05F1E5E642FF}"/>
            </a:ext>
          </a:extLst>
        </cdr:cNvPr>
        <cdr:cNvSpPr/>
      </cdr:nvSpPr>
      <cdr:spPr>
        <a:xfrm xmlns:a="http://schemas.openxmlformats.org/drawingml/2006/main">
          <a:off x="1115231" y="817212"/>
          <a:ext cx="224118" cy="17929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0.1043</cdr:x>
      <cdr:y>0.14734</cdr:y>
    </cdr:from>
    <cdr:to>
      <cdr:x>0.12526</cdr:x>
      <cdr:y>0.17966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556B301E-1CA3-C2A1-4683-05F1E5E642FF}"/>
            </a:ext>
          </a:extLst>
        </cdr:cNvPr>
        <cdr:cNvSpPr/>
      </cdr:nvSpPr>
      <cdr:spPr>
        <a:xfrm xmlns:a="http://schemas.openxmlformats.org/drawingml/2006/main">
          <a:off x="1115231" y="817212"/>
          <a:ext cx="224118" cy="17929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196382</xdr:colOff>
      <xdr:row>112</xdr:row>
      <xdr:rowOff>41674</xdr:rowOff>
    </xdr:from>
    <xdr:to>
      <xdr:col>63</xdr:col>
      <xdr:colOff>73480</xdr:colOff>
      <xdr:row>153</xdr:row>
      <xdr:rowOff>59871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356506</xdr:colOff>
      <xdr:row>73</xdr:row>
      <xdr:rowOff>54427</xdr:rowOff>
    </xdr:from>
    <xdr:to>
      <xdr:col>49</xdr:col>
      <xdr:colOff>762000</xdr:colOff>
      <xdr:row>109</xdr:row>
      <xdr:rowOff>136070</xdr:rowOff>
    </xdr:to>
    <xdr:graphicFrame macro="">
      <xdr:nvGraphicFramePr>
        <xdr:cNvPr id="35" name="Chart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223157</xdr:colOff>
      <xdr:row>73</xdr:row>
      <xdr:rowOff>130627</xdr:rowOff>
    </xdr:from>
    <xdr:to>
      <xdr:col>61</xdr:col>
      <xdr:colOff>190500</xdr:colOff>
      <xdr:row>109</xdr:row>
      <xdr:rowOff>108856</xdr:rowOff>
    </xdr:to>
    <xdr:graphicFrame macro="">
      <xdr:nvGraphicFramePr>
        <xdr:cNvPr id="38" name="Chart 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80</xdr:col>
      <xdr:colOff>0</xdr:colOff>
      <xdr:row>2</xdr:row>
      <xdr:rowOff>0</xdr:rowOff>
    </xdr:from>
    <xdr:to>
      <xdr:col>92</xdr:col>
      <xdr:colOff>386314</xdr:colOff>
      <xdr:row>30</xdr:row>
      <xdr:rowOff>66000</xdr:rowOff>
    </xdr:to>
    <xdr:graphicFrame macro="">
      <xdr:nvGraphicFramePr>
        <xdr:cNvPr id="90" name="Chart 8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0</xdr:colOff>
      <xdr:row>32</xdr:row>
      <xdr:rowOff>0</xdr:rowOff>
    </xdr:from>
    <xdr:to>
      <xdr:col>92</xdr:col>
      <xdr:colOff>386314</xdr:colOff>
      <xdr:row>60</xdr:row>
      <xdr:rowOff>66000</xdr:rowOff>
    </xdr:to>
    <xdr:graphicFrame macro="">
      <xdr:nvGraphicFramePr>
        <xdr:cNvPr id="88" name="Chart 9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0</xdr:colOff>
      <xdr:row>62</xdr:row>
      <xdr:rowOff>0</xdr:rowOff>
    </xdr:from>
    <xdr:to>
      <xdr:col>92</xdr:col>
      <xdr:colOff>386314</xdr:colOff>
      <xdr:row>90</xdr:row>
      <xdr:rowOff>66001</xdr:rowOff>
    </xdr:to>
    <xdr:graphicFrame macro="">
      <xdr:nvGraphicFramePr>
        <xdr:cNvPr id="72" name="Chart 4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94</xdr:col>
      <xdr:colOff>0</xdr:colOff>
      <xdr:row>62</xdr:row>
      <xdr:rowOff>0</xdr:rowOff>
    </xdr:from>
    <xdr:to>
      <xdr:col>106</xdr:col>
      <xdr:colOff>386314</xdr:colOff>
      <xdr:row>90</xdr:row>
      <xdr:rowOff>66001</xdr:rowOff>
    </xdr:to>
    <xdr:graphicFrame macro="">
      <xdr:nvGraphicFramePr>
        <xdr:cNvPr id="89" name="Chart 4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410936</xdr:colOff>
      <xdr:row>111</xdr:row>
      <xdr:rowOff>16329</xdr:rowOff>
    </xdr:from>
    <xdr:to>
      <xdr:col>49</xdr:col>
      <xdr:colOff>653143</xdr:colOff>
      <xdr:row>146</xdr:row>
      <xdr:rowOff>108857</xdr:rowOff>
    </xdr:to>
    <xdr:graphicFrame macro="">
      <xdr:nvGraphicFramePr>
        <xdr:cNvPr id="95" name="Chart 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586618</xdr:colOff>
      <xdr:row>156</xdr:row>
      <xdr:rowOff>6049</xdr:rowOff>
    </xdr:from>
    <xdr:to>
      <xdr:col>103</xdr:col>
      <xdr:colOff>448609</xdr:colOff>
      <xdr:row>220</xdr:row>
      <xdr:rowOff>50697</xdr:rowOff>
    </xdr:to>
    <xdr:graphicFrame macro="">
      <xdr:nvGraphicFramePr>
        <xdr:cNvPr id="22" name="Chart 9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0</xdr:colOff>
      <xdr:row>94</xdr:row>
      <xdr:rowOff>0</xdr:rowOff>
    </xdr:from>
    <xdr:to>
      <xdr:col>103</xdr:col>
      <xdr:colOff>530390</xdr:colOff>
      <xdr:row>149</xdr:row>
      <xdr:rowOff>66495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248817</xdr:colOff>
      <xdr:row>7</xdr:row>
      <xdr:rowOff>108857</xdr:rowOff>
    </xdr:from>
    <xdr:to>
      <xdr:col>138</xdr:col>
      <xdr:colOff>31102</xdr:colOff>
      <xdr:row>53</xdr:row>
      <xdr:rowOff>171061</xdr:rowOff>
    </xdr:to>
    <xdr:graphicFrame macro="">
      <xdr:nvGraphicFramePr>
        <xdr:cNvPr id="25" name="Chart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94</xdr:col>
      <xdr:colOff>15552</xdr:colOff>
      <xdr:row>7</xdr:row>
      <xdr:rowOff>77754</xdr:rowOff>
    </xdr:from>
    <xdr:to>
      <xdr:col>109</xdr:col>
      <xdr:colOff>216629</xdr:colOff>
      <xdr:row>26</xdr:row>
      <xdr:rowOff>77755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163</xdr:row>
      <xdr:rowOff>-1</xdr:rowOff>
    </xdr:from>
    <xdr:to>
      <xdr:col>49</xdr:col>
      <xdr:colOff>81429</xdr:colOff>
      <xdr:row>202</xdr:row>
      <xdr:rowOff>124285</xdr:rowOff>
    </xdr:to>
    <xdr:graphicFrame macro="">
      <xdr:nvGraphicFramePr>
        <xdr:cNvPr id="62" name="Chart 1">
          <a:extLst>
            <a:ext uri="{FF2B5EF4-FFF2-40B4-BE49-F238E27FC236}">
              <a16:creationId xmlns:a16="http://schemas.microsoft.com/office/drawing/2014/main" id="{0A6CD26F-B925-4D1B-9E1C-D09C8A81D44E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AD9-2160-4B25-AE51-B56BB978E157}">
  <dimension ref="A1:AZ30"/>
  <sheetViews>
    <sheetView topLeftCell="D86" zoomScale="76" zoomScaleNormal="70" workbookViewId="0">
      <selection activeCell="Q102" sqref="Q102"/>
    </sheetView>
  </sheetViews>
  <sheetFormatPr defaultRowHeight="14.4" x14ac:dyDescent="0.3"/>
  <cols>
    <col min="1" max="1" width="25.88671875" customWidth="1"/>
    <col min="2" max="10" width="15.6640625" customWidth="1"/>
    <col min="11" max="11" width="16.33203125" customWidth="1"/>
    <col min="12" max="12" width="17" customWidth="1"/>
    <col min="13" max="14" width="15.6640625" customWidth="1"/>
    <col min="15" max="21" width="27.33203125" customWidth="1"/>
    <col min="22" max="52" width="15.6640625" customWidth="1"/>
    <col min="53" max="53" width="9" customWidth="1"/>
  </cols>
  <sheetData>
    <row r="1" spans="1:52" x14ac:dyDescent="0.3">
      <c r="A1" s="37" t="s">
        <v>0</v>
      </c>
      <c r="B1" s="37"/>
      <c r="C1" s="37"/>
      <c r="D1" s="37"/>
      <c r="E1" s="37"/>
      <c r="H1" s="37" t="s">
        <v>1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X1" s="37" t="s">
        <v>2</v>
      </c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21"/>
      <c r="AL1" s="21"/>
      <c r="AM1" s="21"/>
      <c r="AN1" s="21"/>
      <c r="AO1" s="21"/>
      <c r="AP1" s="21"/>
      <c r="AS1" s="37" t="s">
        <v>3</v>
      </c>
      <c r="AT1" s="37"/>
      <c r="AU1" s="37"/>
      <c r="AV1" s="37"/>
      <c r="AW1" s="37"/>
      <c r="AX1" s="37"/>
      <c r="AY1" s="37"/>
      <c r="AZ1" s="37"/>
    </row>
    <row r="2" spans="1:52" x14ac:dyDescent="0.3">
      <c r="A2" s="1" t="s">
        <v>4</v>
      </c>
      <c r="B2">
        <f>73.73</f>
        <v>73.73</v>
      </c>
      <c r="C2" t="s">
        <v>5</v>
      </c>
      <c r="H2" s="2" t="s">
        <v>129</v>
      </c>
      <c r="I2" s="2" t="s">
        <v>9</v>
      </c>
      <c r="J2" s="2" t="s">
        <v>10</v>
      </c>
      <c r="K2" s="2" t="s">
        <v>11</v>
      </c>
      <c r="L2" s="2" t="s">
        <v>12</v>
      </c>
      <c r="M2" s="4" t="s">
        <v>6</v>
      </c>
      <c r="N2" s="2" t="s">
        <v>7</v>
      </c>
      <c r="O2" s="2" t="s">
        <v>8</v>
      </c>
      <c r="P2" s="2" t="s">
        <v>20</v>
      </c>
      <c r="Q2" s="2" t="s">
        <v>21</v>
      </c>
      <c r="R2" s="2" t="s">
        <v>150</v>
      </c>
      <c r="S2" s="2" t="s">
        <v>144</v>
      </c>
      <c r="T2" s="2" t="s">
        <v>130</v>
      </c>
      <c r="U2" s="2" t="s">
        <v>131</v>
      </c>
      <c r="V2" s="2" t="s">
        <v>159</v>
      </c>
      <c r="X2" s="1" t="s">
        <v>13</v>
      </c>
      <c r="Z2" s="2" t="s">
        <v>14</v>
      </c>
      <c r="AA2" s="2" t="s">
        <v>15</v>
      </c>
      <c r="AB2" s="4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128</v>
      </c>
      <c r="AK2" s="2" t="s">
        <v>145</v>
      </c>
      <c r="AL2" s="2" t="s">
        <v>146</v>
      </c>
      <c r="AM2" s="2" t="s">
        <v>147</v>
      </c>
      <c r="AN2" s="4" t="s">
        <v>144</v>
      </c>
      <c r="AO2" s="4" t="s">
        <v>148</v>
      </c>
      <c r="AP2" s="4" t="s">
        <v>149</v>
      </c>
      <c r="AS2" s="2" t="s">
        <v>24</v>
      </c>
      <c r="AT2" s="2" t="s">
        <v>25</v>
      </c>
      <c r="AU2" s="23" t="s">
        <v>26</v>
      </c>
      <c r="AV2" s="23" t="s">
        <v>27</v>
      </c>
      <c r="AW2" s="23" t="s">
        <v>6</v>
      </c>
      <c r="AX2" s="2" t="s">
        <v>19</v>
      </c>
      <c r="AY2" s="2" t="s">
        <v>20</v>
      </c>
      <c r="AZ2" s="2" t="s">
        <v>28</v>
      </c>
    </row>
    <row r="3" spans="1:52" x14ac:dyDescent="0.3">
      <c r="A3" s="1" t="s">
        <v>29</v>
      </c>
      <c r="B3">
        <f>3.79</f>
        <v>3.79</v>
      </c>
      <c r="C3" t="s">
        <v>30</v>
      </c>
      <c r="H3" s="12">
        <v>5003</v>
      </c>
      <c r="I3" s="12">
        <v>-4</v>
      </c>
      <c r="J3" s="12">
        <v>252</v>
      </c>
      <c r="K3" s="12">
        <v>-1.1000000000000001</v>
      </c>
      <c r="L3" s="12">
        <v>0.7</v>
      </c>
      <c r="M3" s="12">
        <v>6011.7</v>
      </c>
      <c r="N3" s="12">
        <v>1081.81</v>
      </c>
      <c r="O3" s="12">
        <v>13434.7</v>
      </c>
      <c r="P3" s="12">
        <f t="shared" ref="P3:P18" si="0">(O3+N3+M3)*4.448</f>
        <v>91309.478080000001</v>
      </c>
      <c r="Q3" s="16">
        <f t="shared" ref="Q3:Q18" si="1" xml:space="preserve"> (2*P3/$B$2)/(1.225*(J3/1.9438)^2)</f>
        <v>0.12030054849659456</v>
      </c>
      <c r="R3" s="12">
        <f>(0.5*9.81/P3)+(0.0005/1.225)+(0.005/$B$2)+2*((0.5/J3))</f>
        <v>4.4979506444530323E-3</v>
      </c>
      <c r="S3" s="16">
        <f t="shared" ref="S3:S18" si="2">R3*Q3*10</f>
        <v>5.4110592963831083E-3</v>
      </c>
      <c r="T3" s="12">
        <f>(($B$17*(N3+O3)+$B$18*M3)/(O3+N3+M3))+I3*0.0254</f>
        <v>10.014971946604213</v>
      </c>
      <c r="U3" s="12">
        <f t="shared" ref="U3:U18" si="3">T3/$B$3</f>
        <v>2.6424728091303993</v>
      </c>
      <c r="V3">
        <v>-5.4703369999999998</v>
      </c>
      <c r="W3" s="12">
        <f>T3</f>
        <v>10.014971946604213</v>
      </c>
      <c r="X3">
        <f>4500</f>
        <v>4500</v>
      </c>
      <c r="Y3" s="3" t="s">
        <v>31</v>
      </c>
      <c r="Z3">
        <v>19.54</v>
      </c>
      <c r="AA3">
        <f>(1000/3.2808)/(Z3)</f>
        <v>15.598961433626918</v>
      </c>
      <c r="AB3">
        <v>240</v>
      </c>
      <c r="AC3">
        <f t="shared" ref="AC3:AC14" si="4">AB3/1.9438</f>
        <v>123.4694927461673</v>
      </c>
      <c r="AD3">
        <f t="shared" ref="AD3:AD14" si="5">($X$7^0.5)*AA3/AC3</f>
        <v>0.11816512819938634</v>
      </c>
      <c r="AE3" s="22">
        <v>2726</v>
      </c>
      <c r="AF3" s="22">
        <f>(AE3+$D$15+$D19)*9.81</f>
        <v>88749.745743445514</v>
      </c>
      <c r="AG3">
        <f>2*AF3/(1.225*(AC3^2)*$B$2)</f>
        <v>0.12891322189437335</v>
      </c>
      <c r="AH3">
        <f t="shared" ref="AH3:AH14" si="6">AD3*AG3</f>
        <v>1.5233047391744563E-2</v>
      </c>
      <c r="AI3">
        <f t="shared" ref="AI3:AI14" si="7">AD3^(-1)</f>
        <v>8.4627335935577079</v>
      </c>
      <c r="AJ3">
        <f t="shared" ref="AJ3:AJ14" si="8">AG3^2</f>
        <v>1.6618618779187942E-2</v>
      </c>
      <c r="AK3">
        <f>(0.5*9.81/AF3)+(0.0005/1.225)+(0.005/$B$2)+2*((0.5/AB3))</f>
        <v>4.6979126966192912E-3</v>
      </c>
      <c r="AL3">
        <f>AK3+AM3</f>
        <v>1.1481575837754285E-2</v>
      </c>
      <c r="AM3">
        <f>(0.5/AB3)+(20/$X$3)+(0.005/Z3)</f>
        <v>6.783663141134994E-3</v>
      </c>
      <c r="AN3">
        <f>AK3*AG3*10</f>
        <v>6.0562306189967663E-3</v>
      </c>
      <c r="AO3">
        <f>AL3*AH3*10</f>
        <v>1.7489938886842034E-3</v>
      </c>
      <c r="AP3">
        <f>AM3*AI3*5</f>
        <v>0.28704166975931156</v>
      </c>
      <c r="AS3">
        <v>0</v>
      </c>
      <c r="AT3" s="19" t="s">
        <v>121</v>
      </c>
      <c r="AU3">
        <v>68</v>
      </c>
      <c r="AV3">
        <f t="shared" ref="AV3:AV6" si="9">AU3/1.9438</f>
        <v>34.983022944747404</v>
      </c>
      <c r="AW3">
        <v>8800</v>
      </c>
      <c r="AX3">
        <f t="shared" ref="AX3:AX6" si="10">AW3/2.2046</f>
        <v>3991.653814750975</v>
      </c>
      <c r="AY3">
        <f>($D$15+$AX$3)*9.81</f>
        <v>98936.559920166925</v>
      </c>
      <c r="AZ3">
        <f>2*AY3/(1.225*(AV3^2)*$B$2)</f>
        <v>1.7901598350811989</v>
      </c>
    </row>
    <row r="4" spans="1:52" x14ac:dyDescent="0.3">
      <c r="A4" s="1" t="s">
        <v>32</v>
      </c>
      <c r="B4">
        <f>5.93</f>
        <v>5.93</v>
      </c>
      <c r="H4" s="12">
        <v>4850</v>
      </c>
      <c r="I4" s="12">
        <v>-4</v>
      </c>
      <c r="J4" s="12">
        <v>225</v>
      </c>
      <c r="K4" s="12">
        <v>-0.8</v>
      </c>
      <c r="L4" s="12">
        <v>0.52</v>
      </c>
      <c r="M4" s="12">
        <v>6011.7</v>
      </c>
      <c r="N4" s="12">
        <v>1081.81</v>
      </c>
      <c r="O4" s="12">
        <v>13434.7</v>
      </c>
      <c r="P4" s="12">
        <f t="shared" si="0"/>
        <v>91309.478080000001</v>
      </c>
      <c r="Q4" s="16">
        <f t="shared" si="1"/>
        <v>0.15090500803412826</v>
      </c>
      <c r="R4" s="12">
        <f t="shared" ref="R4:R18" si="11">(0.5*9.81/P4)+(0.0005/1.225)+(0.005/$B$2)+2*((0.5/J4))</f>
        <v>4.9741411206435087E-3</v>
      </c>
      <c r="S4" s="16">
        <f t="shared" si="2"/>
        <v>7.5062280577359647E-3</v>
      </c>
      <c r="T4" s="12">
        <f t="shared" ref="T4:T18" si="12">(($B$17*(N4+O4)+$B$18*M4)/(O4+N4+M4))+I4*0.0254</f>
        <v>10.014971946604213</v>
      </c>
      <c r="U4" s="12">
        <f t="shared" si="3"/>
        <v>2.6424728091303993</v>
      </c>
      <c r="X4">
        <f>X3/3.2808</f>
        <v>1371.6166788588148</v>
      </c>
      <c r="Y4" t="s">
        <v>30</v>
      </c>
      <c r="Z4">
        <v>19.72</v>
      </c>
      <c r="AA4">
        <f t="shared" ref="AA4:AA14" si="13">(1000/3.2808)/(Z4)</f>
        <v>15.456577404313894</v>
      </c>
      <c r="AB4">
        <v>230</v>
      </c>
      <c r="AC4">
        <f t="shared" si="4"/>
        <v>118.32493054841034</v>
      </c>
      <c r="AD4">
        <f t="shared" si="5"/>
        <v>0.1221772610467947</v>
      </c>
      <c r="AE4" s="22">
        <v>2726</v>
      </c>
      <c r="AF4" s="22">
        <f t="shared" ref="AF4:AF14" si="14">(AE4+$D$15+$D$19)*9.81</f>
        <v>88749.745743445514</v>
      </c>
      <c r="AG4">
        <f t="shared" ref="AG4:AG14" si="15">2*AF4/(1.225*(AC4^2)*$B$2)</f>
        <v>0.14036675956740841</v>
      </c>
      <c r="AH4">
        <f t="shared" si="6"/>
        <v>1.7149626225959926E-2</v>
      </c>
      <c r="AI4">
        <f t="shared" si="7"/>
        <v>8.1848290871162455</v>
      </c>
      <c r="AJ4">
        <f t="shared" si="8"/>
        <v>1.9702827191454639E-2</v>
      </c>
      <c r="AK4">
        <f t="shared" ref="AK4:AK14" si="16">(0.5*9.81/AF4)+(0.0005/1.225)+(0.005/$B$2)+2*((0.5/AB4))</f>
        <v>4.8790721169091463E-3</v>
      </c>
      <c r="AL4">
        <f t="shared" ref="AL4:AL14" si="17">AK4+AM4</f>
        <v>1.1750979300572218E-2</v>
      </c>
      <c r="AM4">
        <f t="shared" ref="AM4:AM14" si="18">(0.5/AB4)+(20/$X$3)+(0.005/Z4)</f>
        <v>6.8719071836630709E-3</v>
      </c>
      <c r="AN4">
        <f t="shared" ref="AN4:AO14" si="19">AK4*AG4*10</f>
        <v>6.8485954274623249E-3</v>
      </c>
      <c r="AO4">
        <f t="shared" si="19"/>
        <v>2.0152490279380553E-3</v>
      </c>
      <c r="AP4">
        <f t="shared" ref="AP4:AP14" si="20">AM4*AI4*5</f>
        <v>0.28122692900404289</v>
      </c>
      <c r="AS4">
        <v>0</v>
      </c>
      <c r="AT4" s="19" t="s">
        <v>121</v>
      </c>
      <c r="AU4">
        <v>58</v>
      </c>
      <c r="AV4">
        <f t="shared" si="9"/>
        <v>29.838460746990432</v>
      </c>
      <c r="AW4">
        <v>8800</v>
      </c>
      <c r="AX4">
        <f t="shared" si="10"/>
        <v>3991.653814750975</v>
      </c>
      <c r="AY4">
        <f>($D$15+$AX$3)*9.81</f>
        <v>98936.559920166925</v>
      </c>
      <c r="AZ4">
        <f>2*AY4/(1.225*(AV4^2)*$B$2)</f>
        <v>2.460671545010543</v>
      </c>
    </row>
    <row r="5" spans="1:52" x14ac:dyDescent="0.3">
      <c r="H5" s="12">
        <v>4538</v>
      </c>
      <c r="I5" s="12">
        <v>-4</v>
      </c>
      <c r="J5" s="12">
        <v>200</v>
      </c>
      <c r="K5" s="12">
        <v>-0.4</v>
      </c>
      <c r="L5" s="12">
        <v>0.23</v>
      </c>
      <c r="M5" s="12">
        <v>6011.7</v>
      </c>
      <c r="N5" s="12">
        <v>1081.81</v>
      </c>
      <c r="O5" s="12">
        <v>13434.7</v>
      </c>
      <c r="P5" s="12">
        <f t="shared" si="0"/>
        <v>91309.478080000001</v>
      </c>
      <c r="Q5" s="16">
        <f t="shared" si="1"/>
        <v>0.19098915079319356</v>
      </c>
      <c r="R5" s="12">
        <f t="shared" si="11"/>
        <v>5.5296966761990644E-3</v>
      </c>
      <c r="S5" s="16">
        <f t="shared" si="2"/>
        <v>1.0561120723312042E-2</v>
      </c>
      <c r="T5" s="12">
        <f t="shared" si="12"/>
        <v>10.014971946604213</v>
      </c>
      <c r="U5" s="12">
        <f t="shared" si="3"/>
        <v>2.6424728091303993</v>
      </c>
      <c r="X5" s="1" t="s">
        <v>33</v>
      </c>
      <c r="Z5">
        <v>24.88</v>
      </c>
      <c r="AA5">
        <f t="shared" si="13"/>
        <v>12.250952830107314</v>
      </c>
      <c r="AB5">
        <v>220</v>
      </c>
      <c r="AC5">
        <f t="shared" si="4"/>
        <v>113.18036835065337</v>
      </c>
      <c r="AD5">
        <f t="shared" si="5"/>
        <v>0.10123998560432659</v>
      </c>
      <c r="AE5" s="22">
        <v>2726</v>
      </c>
      <c r="AF5" s="22">
        <f t="shared" si="14"/>
        <v>88749.745743445514</v>
      </c>
      <c r="AG5">
        <f t="shared" si="15"/>
        <v>0.15341738803958482</v>
      </c>
      <c r="AH5">
        <f t="shared" si="6"/>
        <v>1.5531974156580954E-2</v>
      </c>
      <c r="AI5">
        <f t="shared" si="7"/>
        <v>9.8775201718051608</v>
      </c>
      <c r="AJ5">
        <f t="shared" si="8"/>
        <v>2.3536894952888545E-2</v>
      </c>
      <c r="AK5">
        <f t="shared" si="16"/>
        <v>5.0767005754071698E-3</v>
      </c>
      <c r="AL5">
        <f t="shared" si="17"/>
        <v>1.1994836922803967E-2</v>
      </c>
      <c r="AM5">
        <f t="shared" si="18"/>
        <v>6.9181363473967972E-3</v>
      </c>
      <c r="AN5">
        <f t="shared" si="19"/>
        <v>7.7885414213802531E-3</v>
      </c>
      <c r="AO5">
        <f t="shared" si="19"/>
        <v>1.8630349709739423E-3</v>
      </c>
      <c r="AP5">
        <f t="shared" si="20"/>
        <v>0.34167015661355166</v>
      </c>
      <c r="AS5">
        <v>30</v>
      </c>
      <c r="AT5" s="19" t="s">
        <v>122</v>
      </c>
      <c r="AU5">
        <v>53</v>
      </c>
      <c r="AV5">
        <f t="shared" si="9"/>
        <v>27.266179648111947</v>
      </c>
      <c r="AW5">
        <v>8800</v>
      </c>
      <c r="AX5">
        <f t="shared" si="10"/>
        <v>3991.653814750975</v>
      </c>
      <c r="AY5">
        <f>($D$15+$AX$3)*9.81</f>
        <v>98936.559920166925</v>
      </c>
      <c r="AZ5">
        <f t="shared" ref="AZ5:AZ12" si="21">2*AY5/(1.225*(AV5^2)*$B$2)</f>
        <v>2.9468490841635684</v>
      </c>
    </row>
    <row r="6" spans="1:52" x14ac:dyDescent="0.3">
      <c r="A6" s="37" t="s">
        <v>34</v>
      </c>
      <c r="B6" s="37"/>
      <c r="C6" s="37"/>
      <c r="D6" s="37"/>
      <c r="E6" s="37"/>
      <c r="H6" s="12">
        <v>4328</v>
      </c>
      <c r="I6" s="12">
        <v>-4</v>
      </c>
      <c r="J6" s="12">
        <v>174</v>
      </c>
      <c r="K6" s="12">
        <v>0.3</v>
      </c>
      <c r="L6" s="12">
        <v>-0.14000000000000001</v>
      </c>
      <c r="M6" s="12">
        <v>6011.7</v>
      </c>
      <c r="N6" s="12">
        <v>1081.81</v>
      </c>
      <c r="O6" s="12">
        <v>13434.7</v>
      </c>
      <c r="P6" s="12">
        <f t="shared" si="0"/>
        <v>91309.478080000001</v>
      </c>
      <c r="Q6" s="16">
        <f t="shared" si="1"/>
        <v>0.25233075808322575</v>
      </c>
      <c r="R6" s="12">
        <f t="shared" si="11"/>
        <v>6.2768231129806734E-3</v>
      </c>
      <c r="S6" s="16">
        <f t="shared" si="2"/>
        <v>1.5838355344527263E-2</v>
      </c>
      <c r="T6" s="12">
        <f>(($B$17*(N6+O6)+$B$18*M6)/(O6+N6+M6))+I6*0.0254</f>
        <v>10.014971946604213</v>
      </c>
      <c r="U6" s="12">
        <f t="shared" si="3"/>
        <v>2.6424728091303993</v>
      </c>
      <c r="X6">
        <v>0.87480199999999997</v>
      </c>
      <c r="Z6">
        <v>24.01</v>
      </c>
      <c r="AA6">
        <f t="shared" si="13"/>
        <v>12.6948649068334</v>
      </c>
      <c r="AB6">
        <v>210</v>
      </c>
      <c r="AC6">
        <f t="shared" si="4"/>
        <v>108.03580615289638</v>
      </c>
      <c r="AD6">
        <f t="shared" si="5"/>
        <v>0.10990404498201981</v>
      </c>
      <c r="AE6" s="22">
        <v>2726</v>
      </c>
      <c r="AF6" s="22">
        <f t="shared" si="14"/>
        <v>88749.745743445514</v>
      </c>
      <c r="AG6">
        <f t="shared" si="15"/>
        <v>0.16837645308652849</v>
      </c>
      <c r="AH6">
        <f t="shared" si="6"/>
        <v>1.8505253273934773E-2</v>
      </c>
      <c r="AI6">
        <f t="shared" si="7"/>
        <v>9.0988461813539168</v>
      </c>
      <c r="AJ6">
        <f t="shared" si="8"/>
        <v>2.835062995399993E-2</v>
      </c>
      <c r="AK6">
        <f t="shared" si="16"/>
        <v>5.2931507918573869E-3</v>
      </c>
      <c r="AL6">
        <f t="shared" si="17"/>
        <v>1.2326794181185909E-2</v>
      </c>
      <c r="AM6">
        <f t="shared" si="18"/>
        <v>7.0336433893285208E-3</v>
      </c>
      <c r="AN6">
        <f t="shared" si="19"/>
        <v>8.9124195598509637E-3</v>
      </c>
      <c r="AO6">
        <f t="shared" si="19"/>
        <v>2.2811044837851065E-3</v>
      </c>
      <c r="AP6">
        <f t="shared" si="20"/>
        <v>0.31999019646998517</v>
      </c>
      <c r="AS6">
        <v>30</v>
      </c>
      <c r="AT6" s="19" t="s">
        <v>122</v>
      </c>
      <c r="AU6">
        <v>54</v>
      </c>
      <c r="AV6">
        <f t="shared" si="9"/>
        <v>27.780635867887643</v>
      </c>
      <c r="AW6">
        <v>8800</v>
      </c>
      <c r="AX6">
        <f t="shared" si="10"/>
        <v>3991.653814750975</v>
      </c>
      <c r="AY6">
        <f t="shared" ref="AY6:AY12" si="22">($D$15+$AX$3)*9.81</f>
        <v>98936.559920166925</v>
      </c>
      <c r="AZ6">
        <f t="shared" si="21"/>
        <v>2.8387171047378135</v>
      </c>
    </row>
    <row r="7" spans="1:52" x14ac:dyDescent="0.3">
      <c r="A7" s="1" t="s">
        <v>4</v>
      </c>
      <c r="B7">
        <v>18.43</v>
      </c>
      <c r="C7" t="s">
        <v>5</v>
      </c>
      <c r="H7" s="12">
        <v>4144</v>
      </c>
      <c r="I7" s="12">
        <v>-4</v>
      </c>
      <c r="J7" s="12">
        <v>150</v>
      </c>
      <c r="K7" s="12">
        <v>1.3</v>
      </c>
      <c r="L7" s="12">
        <v>-0.48</v>
      </c>
      <c r="M7" s="12">
        <v>6011.7</v>
      </c>
      <c r="N7" s="12">
        <v>1081.81</v>
      </c>
      <c r="O7" s="12">
        <v>13434.7</v>
      </c>
      <c r="P7" s="12">
        <f t="shared" si="0"/>
        <v>91309.478080000001</v>
      </c>
      <c r="Q7" s="16">
        <f t="shared" si="1"/>
        <v>0.33953626807678861</v>
      </c>
      <c r="R7" s="12">
        <f t="shared" si="11"/>
        <v>7.1963633428657314E-3</v>
      </c>
      <c r="S7" s="16">
        <f t="shared" si="2"/>
        <v>2.4434263531612335E-2</v>
      </c>
      <c r="T7" s="12">
        <f t="shared" si="12"/>
        <v>10.014971946604213</v>
      </c>
      <c r="U7" s="12">
        <f t="shared" si="3"/>
        <v>2.6424728091303993</v>
      </c>
      <c r="X7" s="12">
        <f>(1-0.0065*$X$3/(288.2*3.2808))^((-9.81/(287.1*-0.0065))-1)</f>
        <v>0.87479566072402737</v>
      </c>
      <c r="Z7">
        <v>37.61</v>
      </c>
      <c r="AA7">
        <f t="shared" si="13"/>
        <v>8.1043261476487629</v>
      </c>
      <c r="AB7">
        <v>200</v>
      </c>
      <c r="AC7">
        <f t="shared" si="4"/>
        <v>102.89124395513942</v>
      </c>
      <c r="AD7">
        <f t="shared" si="5"/>
        <v>7.3670192130263518E-2</v>
      </c>
      <c r="AE7" s="22">
        <v>2726</v>
      </c>
      <c r="AF7" s="22">
        <f t="shared" si="14"/>
        <v>88749.745743445514</v>
      </c>
      <c r="AG7">
        <f t="shared" si="15"/>
        <v>0.18563503952789764</v>
      </c>
      <c r="AH7">
        <f t="shared" si="6"/>
        <v>1.3675769028129283E-2</v>
      </c>
      <c r="AI7">
        <f t="shared" si="7"/>
        <v>13.574011022420052</v>
      </c>
      <c r="AJ7">
        <f t="shared" si="8"/>
        <v>3.4460367900524119E-2</v>
      </c>
      <c r="AK7">
        <f t="shared" si="16"/>
        <v>5.5312460299526247E-3</v>
      </c>
      <c r="AL7">
        <f t="shared" si="17"/>
        <v>1.26086338405231E-2</v>
      </c>
      <c r="AM7">
        <f t="shared" si="18"/>
        <v>7.0773878105704745E-3</v>
      </c>
      <c r="AN7">
        <f t="shared" si="19"/>
        <v>1.0267930754087823E-2</v>
      </c>
      <c r="AO7">
        <f t="shared" si="19"/>
        <v>1.7243276416324857E-3</v>
      </c>
      <c r="AP7">
        <f t="shared" si="20"/>
        <v>0.48034270075312469</v>
      </c>
      <c r="AS7">
        <v>0</v>
      </c>
      <c r="AT7" s="19" t="s">
        <v>121</v>
      </c>
      <c r="AU7">
        <v>75</v>
      </c>
      <c r="AV7">
        <f t="shared" ref="AV7:AV12" si="23">AU7/1.9438</f>
        <v>38.584216483177279</v>
      </c>
      <c r="AW7">
        <v>8800</v>
      </c>
      <c r="AX7">
        <f t="shared" ref="AX7:AX12" si="24">AW7/2.2046</f>
        <v>3991.653814750975</v>
      </c>
      <c r="AY7">
        <f t="shared" si="22"/>
        <v>98936.559920166925</v>
      </c>
      <c r="AZ7">
        <f t="shared" si="21"/>
        <v>1.4715909470960828</v>
      </c>
    </row>
    <row r="8" spans="1:52" x14ac:dyDescent="0.3">
      <c r="A8" s="1" t="s">
        <v>35</v>
      </c>
      <c r="B8">
        <v>1.97</v>
      </c>
      <c r="C8" t="s">
        <v>30</v>
      </c>
      <c r="H8" s="13">
        <v>6158</v>
      </c>
      <c r="I8" s="13">
        <v>0</v>
      </c>
      <c r="J8" s="13">
        <v>218</v>
      </c>
      <c r="K8" s="13">
        <v>-0.6</v>
      </c>
      <c r="L8" s="13">
        <v>0.52</v>
      </c>
      <c r="M8" s="13">
        <v>6011.7</v>
      </c>
      <c r="N8" s="13">
        <v>1081.81</v>
      </c>
      <c r="O8" s="13">
        <v>13434.7</v>
      </c>
      <c r="P8" s="13">
        <f t="shared" si="0"/>
        <v>91309.478080000001</v>
      </c>
      <c r="Q8" s="17">
        <f t="shared" si="1"/>
        <v>0.16075174715360119</v>
      </c>
      <c r="R8" s="13">
        <f t="shared" si="11"/>
        <v>5.1168526395018168E-3</v>
      </c>
      <c r="S8" s="17">
        <f t="shared" si="2"/>
        <v>8.2254300172743284E-3</v>
      </c>
      <c r="T8" s="13">
        <f t="shared" si="12"/>
        <v>10.116571946604212</v>
      </c>
      <c r="U8" s="13">
        <f t="shared" si="3"/>
        <v>2.6692801969931956</v>
      </c>
      <c r="V8">
        <v>-5.0254339999999997</v>
      </c>
      <c r="W8" s="12">
        <f>T8</f>
        <v>10.116571946604212</v>
      </c>
      <c r="Z8">
        <v>43.35</v>
      </c>
      <c r="AA8">
        <f t="shared" si="13"/>
        <v>7.031227368236908</v>
      </c>
      <c r="AB8">
        <v>190</v>
      </c>
      <c r="AC8">
        <f t="shared" si="4"/>
        <v>97.746681757382447</v>
      </c>
      <c r="AD8">
        <f t="shared" si="5"/>
        <v>6.7279449426800475E-2</v>
      </c>
      <c r="AE8" s="22">
        <v>2726</v>
      </c>
      <c r="AF8" s="22">
        <f t="shared" si="14"/>
        <v>88749.745743445514</v>
      </c>
      <c r="AG8">
        <f t="shared" si="15"/>
        <v>0.20568979449074531</v>
      </c>
      <c r="AH8">
        <f t="shared" si="6"/>
        <v>1.3838696126049082E-2</v>
      </c>
      <c r="AI8">
        <f t="shared" si="7"/>
        <v>14.863379657825416</v>
      </c>
      <c r="AJ8">
        <f t="shared" si="8"/>
        <v>4.2308291557645039E-2</v>
      </c>
      <c r="AK8">
        <f t="shared" si="16"/>
        <v>5.7944039246894665E-3</v>
      </c>
      <c r="AL8">
        <f t="shared" si="17"/>
        <v>1.298576757025089E-2</v>
      </c>
      <c r="AM8">
        <f t="shared" si="18"/>
        <v>7.1913636455614239E-3</v>
      </c>
      <c r="AN8">
        <f t="shared" si="19"/>
        <v>1.1918497524657444E-2</v>
      </c>
      <c r="AO8">
        <f t="shared" si="19"/>
        <v>1.7970609136820481E-3</v>
      </c>
      <c r="AP8">
        <f t="shared" si="20"/>
        <v>0.53443984060731453</v>
      </c>
      <c r="AS8">
        <v>10</v>
      </c>
      <c r="AT8" s="19" t="s">
        <v>121</v>
      </c>
      <c r="AU8">
        <v>68</v>
      </c>
      <c r="AV8">
        <f t="shared" si="23"/>
        <v>34.983022944747404</v>
      </c>
      <c r="AW8">
        <v>8800</v>
      </c>
      <c r="AX8">
        <f t="shared" si="24"/>
        <v>3991.653814750975</v>
      </c>
      <c r="AY8">
        <f t="shared" si="22"/>
        <v>98936.559920166925</v>
      </c>
      <c r="AZ8">
        <f t="shared" si="21"/>
        <v>1.7901598350811989</v>
      </c>
    </row>
    <row r="9" spans="1:52" x14ac:dyDescent="0.3">
      <c r="A9" s="1" t="s">
        <v>32</v>
      </c>
      <c r="B9">
        <v>4.74</v>
      </c>
      <c r="H9" s="13">
        <v>6071</v>
      </c>
      <c r="I9" s="13">
        <v>0</v>
      </c>
      <c r="J9" s="13">
        <v>201</v>
      </c>
      <c r="K9" s="13">
        <v>-0.3</v>
      </c>
      <c r="L9" s="13">
        <v>0.33</v>
      </c>
      <c r="M9" s="13">
        <v>6011.7</v>
      </c>
      <c r="N9" s="13">
        <v>1081.81</v>
      </c>
      <c r="O9" s="13">
        <v>13434.7</v>
      </c>
      <c r="P9" s="13">
        <f t="shared" si="0"/>
        <v>91309.478080000001</v>
      </c>
      <c r="Q9" s="17">
        <f t="shared" si="1"/>
        <v>0.18909348857027658</v>
      </c>
      <c r="R9" s="13">
        <f t="shared" si="11"/>
        <v>5.5048210543085169E-3</v>
      </c>
      <c r="S9" s="17">
        <f t="shared" si="2"/>
        <v>1.0409258171143052E-2</v>
      </c>
      <c r="T9" s="13">
        <f t="shared" si="12"/>
        <v>10.116571946604212</v>
      </c>
      <c r="U9" s="13">
        <f t="shared" si="3"/>
        <v>2.6692801969931956</v>
      </c>
      <c r="Z9">
        <v>49.87</v>
      </c>
      <c r="AA9">
        <f t="shared" si="13"/>
        <v>6.111965237879887</v>
      </c>
      <c r="AB9">
        <v>180</v>
      </c>
      <c r="AC9">
        <f t="shared" si="4"/>
        <v>92.602119559625478</v>
      </c>
      <c r="AD9">
        <f t="shared" si="5"/>
        <v>6.1732413742824913E-2</v>
      </c>
      <c r="AE9" s="22">
        <v>2726</v>
      </c>
      <c r="AF9" s="22">
        <f t="shared" si="14"/>
        <v>88749.745743445514</v>
      </c>
      <c r="AG9">
        <f t="shared" si="15"/>
        <v>0.22917906114555264</v>
      </c>
      <c r="AH9">
        <f t="shared" si="6"/>
        <v>1.4147776623829425E-2</v>
      </c>
      <c r="AI9">
        <f t="shared" si="7"/>
        <v>16.198945405989878</v>
      </c>
      <c r="AJ9">
        <f t="shared" si="8"/>
        <v>5.2523042067556959E-2</v>
      </c>
      <c r="AK9">
        <f t="shared" si="16"/>
        <v>6.0868015855081803E-3</v>
      </c>
      <c r="AL9">
        <f t="shared" si="17"/>
        <v>1.3409284485492584E-2</v>
      </c>
      <c r="AM9">
        <f t="shared" si="18"/>
        <v>7.3224828999844038E-3</v>
      </c>
      <c r="AN9">
        <f t="shared" si="19"/>
        <v>1.3949674727460261E-2</v>
      </c>
      <c r="AO9">
        <f t="shared" si="19"/>
        <v>1.8971156158613055E-3</v>
      </c>
      <c r="AP9">
        <f t="shared" si="20"/>
        <v>0.59308250366570903</v>
      </c>
      <c r="AS9">
        <v>30</v>
      </c>
      <c r="AT9" s="19" t="s">
        <v>121</v>
      </c>
      <c r="AU9">
        <v>66</v>
      </c>
      <c r="AV9">
        <f t="shared" si="23"/>
        <v>33.954110505196006</v>
      </c>
      <c r="AW9">
        <v>8800</v>
      </c>
      <c r="AX9">
        <f t="shared" si="24"/>
        <v>3991.653814750975</v>
      </c>
      <c r="AY9">
        <f t="shared" si="22"/>
        <v>98936.559920166925</v>
      </c>
      <c r="AZ9">
        <f t="shared" si="21"/>
        <v>1.9002982271385369</v>
      </c>
    </row>
    <row r="10" spans="1:52" x14ac:dyDescent="0.3">
      <c r="A10" s="1" t="s">
        <v>36</v>
      </c>
      <c r="B10">
        <v>0.63049999999999995</v>
      </c>
      <c r="H10" s="13">
        <v>5282</v>
      </c>
      <c r="I10" s="13">
        <v>0</v>
      </c>
      <c r="J10" s="13">
        <v>181</v>
      </c>
      <c r="K10" s="13">
        <v>0.2</v>
      </c>
      <c r="L10" s="13">
        <v>0.17</v>
      </c>
      <c r="M10" s="13">
        <v>6011.7</v>
      </c>
      <c r="N10" s="13">
        <v>1081.81</v>
      </c>
      <c r="O10" s="13">
        <v>13434.7</v>
      </c>
      <c r="P10" s="13">
        <f t="shared" si="0"/>
        <v>91309.478080000001</v>
      </c>
      <c r="Q10" s="17">
        <f t="shared" si="1"/>
        <v>0.23319086815810697</v>
      </c>
      <c r="R10" s="13">
        <f t="shared" si="11"/>
        <v>6.0545585546521027E-3</v>
      </c>
      <c r="S10" s="17">
        <f t="shared" si="2"/>
        <v>1.411867765673417E-2</v>
      </c>
      <c r="T10" s="13">
        <f t="shared" si="12"/>
        <v>10.116571946604212</v>
      </c>
      <c r="U10" s="13">
        <f t="shared" si="3"/>
        <v>2.6692801969931956</v>
      </c>
      <c r="Z10">
        <v>55.48</v>
      </c>
      <c r="AA10">
        <f t="shared" si="13"/>
        <v>5.4939384717568487</v>
      </c>
      <c r="AB10">
        <v>170</v>
      </c>
      <c r="AC10">
        <f t="shared" si="4"/>
        <v>87.45755736186851</v>
      </c>
      <c r="AD10">
        <f t="shared" si="5"/>
        <v>5.8754313711760688E-2</v>
      </c>
      <c r="AE10" s="22">
        <v>2726</v>
      </c>
      <c r="AF10" s="22">
        <f t="shared" si="14"/>
        <v>88749.745743445514</v>
      </c>
      <c r="AG10">
        <f t="shared" si="15"/>
        <v>0.25693431076525625</v>
      </c>
      <c r="AH10">
        <f t="shared" si="6"/>
        <v>1.5095999098016876E-2</v>
      </c>
      <c r="AI10">
        <f t="shared" si="7"/>
        <v>17.020026902294202</v>
      </c>
      <c r="AJ10">
        <f t="shared" si="8"/>
        <v>6.6015240048417273E-2</v>
      </c>
      <c r="AK10">
        <f t="shared" si="16"/>
        <v>6.4135989711290951E-3</v>
      </c>
      <c r="AL10">
        <f t="shared" si="17"/>
        <v>1.3889342452852473E-2</v>
      </c>
      <c r="AM10">
        <f t="shared" si="18"/>
        <v>7.475743481723379E-3</v>
      </c>
      <c r="AN10">
        <f t="shared" si="19"/>
        <v>1.6478736311718107E-2</v>
      </c>
      <c r="AO10">
        <f t="shared" si="19"/>
        <v>2.0967350114030844E-3</v>
      </c>
      <c r="AP10">
        <f t="shared" si="20"/>
        <v>0.63618677586791206</v>
      </c>
      <c r="AS10">
        <v>0</v>
      </c>
      <c r="AT10" s="19" t="s">
        <v>122</v>
      </c>
      <c r="AU10">
        <v>60</v>
      </c>
      <c r="AV10">
        <f t="shared" si="23"/>
        <v>30.867373186541826</v>
      </c>
      <c r="AW10">
        <v>8800</v>
      </c>
      <c r="AX10">
        <f t="shared" si="24"/>
        <v>3991.653814750975</v>
      </c>
      <c r="AY10">
        <f t="shared" si="22"/>
        <v>98936.559920166925</v>
      </c>
      <c r="AZ10">
        <f t="shared" si="21"/>
        <v>2.2993608548376292</v>
      </c>
    </row>
    <row r="11" spans="1:52" x14ac:dyDescent="0.3">
      <c r="A11" s="1" t="s">
        <v>37</v>
      </c>
      <c r="B11" t="s">
        <v>38</v>
      </c>
      <c r="C11" t="s">
        <v>39</v>
      </c>
      <c r="H11" s="13">
        <v>4499</v>
      </c>
      <c r="I11" s="13">
        <v>0</v>
      </c>
      <c r="J11" s="13">
        <v>163</v>
      </c>
      <c r="K11" s="13">
        <v>0.6</v>
      </c>
      <c r="L11" s="13">
        <v>-0.08</v>
      </c>
      <c r="M11" s="13">
        <v>6011.7</v>
      </c>
      <c r="N11" s="13">
        <v>1081.81</v>
      </c>
      <c r="O11" s="13">
        <v>13434.7</v>
      </c>
      <c r="P11" s="13">
        <f t="shared" si="0"/>
        <v>91309.478080000001</v>
      </c>
      <c r="Q11" s="17">
        <f t="shared" si="1"/>
        <v>0.28753682982903916</v>
      </c>
      <c r="R11" s="13">
        <f t="shared" si="11"/>
        <v>6.6646660013524386E-3</v>
      </c>
      <c r="S11" s="17">
        <f t="shared" si="2"/>
        <v>1.9163369338982592E-2</v>
      </c>
      <c r="T11" s="13">
        <f t="shared" si="12"/>
        <v>10.116571946604212</v>
      </c>
      <c r="U11" s="13">
        <f t="shared" si="3"/>
        <v>2.6692801969931956</v>
      </c>
      <c r="Z11">
        <v>62.81</v>
      </c>
      <c r="AA11">
        <f t="shared" si="13"/>
        <v>4.8527894668535261</v>
      </c>
      <c r="AB11">
        <v>160</v>
      </c>
      <c r="AC11">
        <f t="shared" si="4"/>
        <v>82.312995164111541</v>
      </c>
      <c r="AD11">
        <f t="shared" si="5"/>
        <v>5.5141218078713791E-2</v>
      </c>
      <c r="AE11" s="22">
        <v>2726</v>
      </c>
      <c r="AF11" s="22">
        <f t="shared" si="14"/>
        <v>88749.745743445514</v>
      </c>
      <c r="AG11">
        <f t="shared" si="15"/>
        <v>0.29005474926233998</v>
      </c>
      <c r="AH11">
        <f t="shared" si="6"/>
        <v>1.5993972183841337E-2</v>
      </c>
      <c r="AI11">
        <f t="shared" si="7"/>
        <v>18.135254077494359</v>
      </c>
      <c r="AJ11">
        <f t="shared" si="8"/>
        <v>8.4131757569638921E-2</v>
      </c>
      <c r="AK11">
        <f t="shared" si="16"/>
        <v>6.7812460299526249E-3</v>
      </c>
      <c r="AL11">
        <f t="shared" si="17"/>
        <v>1.4430295632811334E-2</v>
      </c>
      <c r="AM11">
        <f t="shared" si="18"/>
        <v>7.6490496028587098E-3</v>
      </c>
      <c r="AN11">
        <f t="shared" si="19"/>
        <v>1.9669326169041469E-2</v>
      </c>
      <c r="AO11">
        <f t="shared" si="19"/>
        <v>2.3079774695579161E-3</v>
      </c>
      <c r="AP11">
        <f t="shared" si="20"/>
        <v>0.69358728999600006</v>
      </c>
      <c r="AS11">
        <v>10</v>
      </c>
      <c r="AT11" s="19" t="s">
        <v>122</v>
      </c>
      <c r="AU11">
        <v>60</v>
      </c>
      <c r="AV11">
        <f t="shared" si="23"/>
        <v>30.867373186541826</v>
      </c>
      <c r="AW11">
        <v>8800</v>
      </c>
      <c r="AX11">
        <f t="shared" si="24"/>
        <v>3991.653814750975</v>
      </c>
      <c r="AY11">
        <f t="shared" si="22"/>
        <v>98936.559920166925</v>
      </c>
      <c r="AZ11">
        <f t="shared" si="21"/>
        <v>2.2993608548376292</v>
      </c>
    </row>
    <row r="12" spans="1:52" x14ac:dyDescent="0.3">
      <c r="H12" s="13">
        <v>4120</v>
      </c>
      <c r="I12" s="13">
        <v>0</v>
      </c>
      <c r="J12" s="13">
        <v>154</v>
      </c>
      <c r="K12" s="13">
        <v>1.2</v>
      </c>
      <c r="L12" s="13">
        <v>-0.34</v>
      </c>
      <c r="M12" s="13">
        <v>6011.7</v>
      </c>
      <c r="N12" s="13">
        <v>1081.81</v>
      </c>
      <c r="O12" s="13">
        <v>13434.7</v>
      </c>
      <c r="P12" s="13">
        <f t="shared" si="0"/>
        <v>91309.478080000001</v>
      </c>
      <c r="Q12" s="17">
        <f t="shared" si="1"/>
        <v>0.32212708853633587</v>
      </c>
      <c r="R12" s="13">
        <f t="shared" si="11"/>
        <v>7.0232031697055582E-3</v>
      </c>
      <c r="S12" s="17">
        <f t="shared" si="2"/>
        <v>2.2623639892564169E-2</v>
      </c>
      <c r="T12" s="13">
        <f>(($B$17*(N12+O12)+$B$18*M12)/(O12+N12+M12))+I12*0.0254</f>
        <v>10.116571946604212</v>
      </c>
      <c r="U12" s="13">
        <f t="shared" si="3"/>
        <v>2.6692801969931956</v>
      </c>
      <c r="Z12">
        <v>71.42</v>
      </c>
      <c r="AA12">
        <f t="shared" si="13"/>
        <v>4.2677640214655552</v>
      </c>
      <c r="AB12">
        <v>150</v>
      </c>
      <c r="AC12">
        <f t="shared" si="4"/>
        <v>77.168432966354558</v>
      </c>
      <c r="AD12">
        <f t="shared" si="5"/>
        <v>5.1726611145696079E-2</v>
      </c>
      <c r="AE12" s="22">
        <v>2726</v>
      </c>
      <c r="AF12" s="22">
        <f t="shared" si="14"/>
        <v>88749.745743445514</v>
      </c>
      <c r="AG12">
        <f t="shared" si="15"/>
        <v>0.33001784804959583</v>
      </c>
      <c r="AH12">
        <f t="shared" si="6"/>
        <v>1.7070704897200858E-2</v>
      </c>
      <c r="AI12">
        <f t="shared" si="7"/>
        <v>19.332408944853235</v>
      </c>
      <c r="AJ12">
        <f t="shared" si="8"/>
        <v>0.10891178003128613</v>
      </c>
      <c r="AK12">
        <f t="shared" si="16"/>
        <v>7.1979126966192917E-3</v>
      </c>
      <c r="AL12">
        <f t="shared" si="17"/>
        <v>1.5045698875405189E-2</v>
      </c>
      <c r="AM12">
        <f t="shared" si="18"/>
        <v>7.8477861787858982E-3</v>
      </c>
      <c r="AN12">
        <f t="shared" si="19"/>
        <v>2.3754396585871619E-2</v>
      </c>
      <c r="AO12">
        <f t="shared" si="19"/>
        <v>2.568406854741888E-3</v>
      </c>
      <c r="AP12">
        <f t="shared" si="20"/>
        <v>0.75858305860028052</v>
      </c>
      <c r="AS12">
        <v>30</v>
      </c>
      <c r="AT12" s="19" t="s">
        <v>122</v>
      </c>
      <c r="AU12">
        <v>80</v>
      </c>
      <c r="AV12">
        <f t="shared" si="23"/>
        <v>41.156497582055771</v>
      </c>
      <c r="AW12">
        <v>8800</v>
      </c>
      <c r="AX12">
        <f t="shared" si="24"/>
        <v>3991.653814750975</v>
      </c>
      <c r="AY12">
        <f t="shared" si="22"/>
        <v>98936.559920166925</v>
      </c>
      <c r="AZ12">
        <f t="shared" si="21"/>
        <v>1.293390480846166</v>
      </c>
    </row>
    <row r="13" spans="1:52" x14ac:dyDescent="0.3">
      <c r="A13" s="37" t="s">
        <v>40</v>
      </c>
      <c r="B13" s="37"/>
      <c r="C13" s="37"/>
      <c r="D13" s="37"/>
      <c r="E13" s="37"/>
      <c r="H13" s="14">
        <v>4032</v>
      </c>
      <c r="I13" s="14">
        <v>4</v>
      </c>
      <c r="J13" s="14">
        <v>265</v>
      </c>
      <c r="K13" s="14">
        <v>-1.2</v>
      </c>
      <c r="L13" s="14">
        <v>0.64</v>
      </c>
      <c r="M13" s="14">
        <v>6011.7</v>
      </c>
      <c r="N13" s="14">
        <v>1081.81</v>
      </c>
      <c r="O13" s="14">
        <v>13434.7</v>
      </c>
      <c r="P13" s="14">
        <f t="shared" si="0"/>
        <v>91309.478080000001</v>
      </c>
      <c r="Q13" s="18">
        <f t="shared" si="1"/>
        <v>0.10878698514386249</v>
      </c>
      <c r="R13" s="14">
        <f t="shared" si="11"/>
        <v>4.3032815818594417E-3</v>
      </c>
      <c r="S13" s="18">
        <f t="shared" si="2"/>
        <v>4.6814102951560016E-3</v>
      </c>
      <c r="T13" s="14">
        <f t="shared" si="12"/>
        <v>10.218171946604212</v>
      </c>
      <c r="U13" s="14">
        <f t="shared" si="3"/>
        <v>2.6960875848559924</v>
      </c>
      <c r="V13">
        <v>-3.1150690000000001</v>
      </c>
      <c r="W13" s="12">
        <f>T13</f>
        <v>10.218171946604212</v>
      </c>
      <c r="Z13">
        <v>82.75</v>
      </c>
      <c r="AA13">
        <f t="shared" si="13"/>
        <v>3.6834284762908758</v>
      </c>
      <c r="AB13">
        <v>140</v>
      </c>
      <c r="AC13">
        <f t="shared" si="4"/>
        <v>72.02387076859759</v>
      </c>
      <c r="AD13">
        <f t="shared" si="5"/>
        <v>4.7833162296404157E-2</v>
      </c>
      <c r="AE13" s="22">
        <v>2726</v>
      </c>
      <c r="AF13" s="22">
        <f t="shared" si="14"/>
        <v>88749.745743445514</v>
      </c>
      <c r="AG13">
        <f t="shared" si="15"/>
        <v>0.37884701944468907</v>
      </c>
      <c r="AH13">
        <f t="shared" si="6"/>
        <v>1.8121450966606795E-2</v>
      </c>
      <c r="AI13">
        <f t="shared" si="7"/>
        <v>20.905998098210091</v>
      </c>
      <c r="AJ13">
        <f t="shared" si="8"/>
        <v>0.14352506414212463</v>
      </c>
      <c r="AK13">
        <f t="shared" si="16"/>
        <v>7.6741031728097672E-3</v>
      </c>
      <c r="AL13">
        <f t="shared" si="17"/>
        <v>1.5750399149407859E-2</v>
      </c>
      <c r="AM13">
        <f t="shared" si="18"/>
        <v>8.0762959765980913E-3</v>
      </c>
      <c r="AN13">
        <f t="shared" si="19"/>
        <v>2.9073111139300119E-2</v>
      </c>
      <c r="AO13">
        <f t="shared" si="19"/>
        <v>2.8542008589047987E-3</v>
      </c>
      <c r="AP13">
        <f t="shared" si="20"/>
        <v>0.84421514163670741</v>
      </c>
    </row>
    <row r="14" spans="1:52" x14ac:dyDescent="0.3">
      <c r="A14" s="1" t="s">
        <v>41</v>
      </c>
      <c r="B14">
        <v>24398</v>
      </c>
      <c r="C14" s="3" t="s">
        <v>42</v>
      </c>
      <c r="D14">
        <f>B14/2.2046</f>
        <v>11066.860201397078</v>
      </c>
      <c r="E14" t="s">
        <v>43</v>
      </c>
      <c r="F14">
        <f>D14*9.81</f>
        <v>108565.89857570533</v>
      </c>
      <c r="H14" s="14">
        <v>4718</v>
      </c>
      <c r="I14" s="14">
        <v>4</v>
      </c>
      <c r="J14" s="14">
        <v>100</v>
      </c>
      <c r="K14" s="14">
        <v>5.3</v>
      </c>
      <c r="L14" s="14">
        <v>-1.47</v>
      </c>
      <c r="M14" s="14">
        <v>6011.7</v>
      </c>
      <c r="N14" s="14">
        <v>1081.81</v>
      </c>
      <c r="O14" s="14">
        <v>13434.7</v>
      </c>
      <c r="P14" s="14">
        <f t="shared" ref="P14" si="25">(O14+N14+M14)*4.448</f>
        <v>91309.478080000001</v>
      </c>
      <c r="Q14" s="18">
        <f t="shared" ref="Q14" si="26" xml:space="preserve"> (2*P14/$B$2)/(1.225*(J14/1.9438)^2)</f>
        <v>0.76395660317277425</v>
      </c>
      <c r="R14" s="14">
        <f t="shared" ref="R14" si="27">(0.5*9.81/P14)+(0.0005/1.225)+(0.005/$B$2)+2*((0.5/J14))</f>
        <v>1.0529696676199065E-2</v>
      </c>
      <c r="S14" s="18">
        <f t="shared" si="2"/>
        <v>8.0442313051886899E-2</v>
      </c>
      <c r="T14" s="14">
        <f t="shared" ref="T14" si="28">(($B$17*(N14+O14)+$B$18*M14)/(O14+N14+M14))+I14*0.0254</f>
        <v>10.218171946604212</v>
      </c>
      <c r="U14" s="14">
        <f t="shared" ref="U14" si="29">T14/$B$3</f>
        <v>2.6960875848559924</v>
      </c>
      <c r="Z14">
        <v>78.8</v>
      </c>
      <c r="AA14">
        <f t="shared" si="13"/>
        <v>3.8680673402673853</v>
      </c>
      <c r="AB14">
        <v>130</v>
      </c>
      <c r="AC14">
        <f t="shared" si="4"/>
        <v>66.879308570840621</v>
      </c>
      <c r="AD14">
        <f t="shared" si="5"/>
        <v>5.4094805271753428E-2</v>
      </c>
      <c r="AE14" s="22">
        <v>2726</v>
      </c>
      <c r="AF14" s="22">
        <f t="shared" si="14"/>
        <v>88749.745743445514</v>
      </c>
      <c r="AG14">
        <f t="shared" si="15"/>
        <v>0.439372874622243</v>
      </c>
      <c r="AH14">
        <f t="shared" si="6"/>
        <v>2.3767790094380768E-2</v>
      </c>
      <c r="AI14">
        <f t="shared" si="7"/>
        <v>18.48606340250878</v>
      </c>
      <c r="AJ14">
        <f t="shared" si="8"/>
        <v>0.19304852295381328</v>
      </c>
      <c r="AK14">
        <f t="shared" si="16"/>
        <v>8.2235537222603173E-3</v>
      </c>
      <c r="AL14">
        <f t="shared" si="17"/>
        <v>1.6577603789508354E-2</v>
      </c>
      <c r="AM14">
        <f t="shared" si="18"/>
        <v>8.354050067248037E-3</v>
      </c>
      <c r="AN14">
        <f t="shared" si="19"/>
        <v>3.613206438559962E-2</v>
      </c>
      <c r="AO14">
        <f t="shared" si="19"/>
        <v>3.9401300713684572E-3</v>
      </c>
      <c r="AP14">
        <f t="shared" si="20"/>
        <v>0.77216749605439983</v>
      </c>
      <c r="AT14" t="s">
        <v>134</v>
      </c>
    </row>
    <row r="15" spans="1:52" x14ac:dyDescent="0.3">
      <c r="A15" s="1" t="s">
        <v>44</v>
      </c>
      <c r="B15">
        <v>13434</v>
      </c>
      <c r="C15" s="3" t="s">
        <v>42</v>
      </c>
      <c r="D15">
        <f t="shared" ref="D15" si="30">B15/2.2046</f>
        <v>6093.6224258368866</v>
      </c>
      <c r="E15" t="s">
        <v>43</v>
      </c>
      <c r="H15" s="14">
        <v>4841</v>
      </c>
      <c r="I15" s="14">
        <v>4</v>
      </c>
      <c r="J15" s="14">
        <v>200</v>
      </c>
      <c r="K15" s="14">
        <v>-0.3</v>
      </c>
      <c r="L15" s="14">
        <v>0.36</v>
      </c>
      <c r="M15" s="14">
        <v>6011.7</v>
      </c>
      <c r="N15" s="14">
        <v>1081.81</v>
      </c>
      <c r="O15" s="14">
        <v>13434.7</v>
      </c>
      <c r="P15" s="14">
        <f t="shared" si="0"/>
        <v>91309.478080000001</v>
      </c>
      <c r="Q15" s="18">
        <f t="shared" si="1"/>
        <v>0.19098915079319356</v>
      </c>
      <c r="R15" s="14">
        <f t="shared" si="11"/>
        <v>5.5296966761990644E-3</v>
      </c>
      <c r="S15" s="18">
        <f t="shared" si="2"/>
        <v>1.0561120723312042E-2</v>
      </c>
      <c r="T15" s="14">
        <f t="shared" si="12"/>
        <v>10.218171946604212</v>
      </c>
      <c r="U15" s="14">
        <f t="shared" si="3"/>
        <v>2.6960875848559924</v>
      </c>
      <c r="AE15" s="22"/>
      <c r="AF15" s="22"/>
    </row>
    <row r="16" spans="1:52" x14ac:dyDescent="0.3">
      <c r="A16" s="1" t="s">
        <v>45</v>
      </c>
      <c r="B16">
        <v>8800</v>
      </c>
      <c r="C16" s="3" t="s">
        <v>42</v>
      </c>
      <c r="D16">
        <f>B16/2.2046</f>
        <v>3991.653814750975</v>
      </c>
      <c r="E16" t="s">
        <v>43</v>
      </c>
      <c r="H16" s="14">
        <v>5025</v>
      </c>
      <c r="I16" s="14">
        <v>4</v>
      </c>
      <c r="J16" s="14">
        <v>175</v>
      </c>
      <c r="K16" s="14">
        <v>0.4</v>
      </c>
      <c r="L16" s="14">
        <v>0.1</v>
      </c>
      <c r="M16" s="14">
        <v>6011.7</v>
      </c>
      <c r="N16" s="14">
        <v>1081.81</v>
      </c>
      <c r="O16" s="14">
        <v>13434.7</v>
      </c>
      <c r="P16" s="14">
        <f t="shared" si="0"/>
        <v>91309.478080000001</v>
      </c>
      <c r="Q16" s="18">
        <f t="shared" si="1"/>
        <v>0.24945521736253853</v>
      </c>
      <c r="R16" s="14">
        <f t="shared" si="11"/>
        <v>6.2439823904847785E-3</v>
      </c>
      <c r="S16" s="18">
        <f t="shared" si="2"/>
        <v>1.5575939844262433E-2</v>
      </c>
      <c r="T16" s="14">
        <f t="shared" si="12"/>
        <v>10.218171946604212</v>
      </c>
      <c r="U16" s="14">
        <f t="shared" si="3"/>
        <v>2.6960875848559924</v>
      </c>
      <c r="Z16" t="s">
        <v>126</v>
      </c>
    </row>
    <row r="17" spans="1:21" x14ac:dyDescent="0.3">
      <c r="A17" s="1" t="s">
        <v>46</v>
      </c>
      <c r="B17">
        <v>10.14</v>
      </c>
      <c r="C17" t="s">
        <v>30</v>
      </c>
      <c r="H17" s="15">
        <v>4831</v>
      </c>
      <c r="I17" s="14">
        <v>4</v>
      </c>
      <c r="J17" s="14">
        <v>125</v>
      </c>
      <c r="K17" s="14">
        <v>2.6</v>
      </c>
      <c r="L17" s="14">
        <v>-0.54</v>
      </c>
      <c r="M17" s="14">
        <v>6011.7</v>
      </c>
      <c r="N17" s="14">
        <v>1081.81</v>
      </c>
      <c r="O17" s="14">
        <v>13434.7</v>
      </c>
      <c r="P17" s="14">
        <f t="shared" si="0"/>
        <v>91309.478080000001</v>
      </c>
      <c r="Q17" s="18">
        <f t="shared" si="1"/>
        <v>0.48893222603057535</v>
      </c>
      <c r="R17" s="14">
        <f t="shared" si="11"/>
        <v>8.5296966761990653E-3</v>
      </c>
      <c r="S17" s="18">
        <f t="shared" si="2"/>
        <v>4.1704435832596087E-2</v>
      </c>
      <c r="T17" s="14">
        <f t="shared" si="12"/>
        <v>10.218171946604212</v>
      </c>
      <c r="U17" s="14">
        <f t="shared" si="3"/>
        <v>2.6960875848559924</v>
      </c>
    </row>
    <row r="18" spans="1:21" ht="15.6" customHeight="1" x14ac:dyDescent="0.3">
      <c r="A18" s="1" t="s">
        <v>47</v>
      </c>
      <c r="B18">
        <v>10.06</v>
      </c>
      <c r="C18" t="s">
        <v>30</v>
      </c>
      <c r="H18" s="18">
        <v>4610</v>
      </c>
      <c r="I18" s="18">
        <v>4</v>
      </c>
      <c r="J18" s="18">
        <v>250</v>
      </c>
      <c r="K18" s="18">
        <v>-1.1000000000000001</v>
      </c>
      <c r="L18" s="18">
        <v>0.92</v>
      </c>
      <c r="M18" s="18">
        <v>6011.7</v>
      </c>
      <c r="N18" s="18">
        <v>1081.81</v>
      </c>
      <c r="O18" s="18">
        <v>13434.7</v>
      </c>
      <c r="P18" s="18">
        <f t="shared" si="0"/>
        <v>91309.478080000001</v>
      </c>
      <c r="Q18" s="18">
        <f t="shared" si="1"/>
        <v>0.12223305650764384</v>
      </c>
      <c r="R18" s="14">
        <f t="shared" si="11"/>
        <v>4.5296966761990643E-3</v>
      </c>
      <c r="S18" s="18">
        <f t="shared" si="2"/>
        <v>5.5367866978432668E-3</v>
      </c>
      <c r="T18" s="14">
        <f t="shared" si="12"/>
        <v>10.218171946604212</v>
      </c>
      <c r="U18" s="14">
        <f t="shared" si="3"/>
        <v>2.6960875848559924</v>
      </c>
    </row>
    <row r="19" spans="1:21" x14ac:dyDescent="0.3">
      <c r="A19" s="1" t="s">
        <v>48</v>
      </c>
      <c r="B19">
        <v>500.97899999999998</v>
      </c>
      <c r="C19" s="3" t="s">
        <v>42</v>
      </c>
      <c r="D19">
        <f>B19/2.2046</f>
        <v>227.242583688651</v>
      </c>
      <c r="E19" t="s">
        <v>43</v>
      </c>
    </row>
    <row r="20" spans="1:21" ht="15" thickBot="1" x14ac:dyDescent="0.35">
      <c r="H20" s="3"/>
      <c r="I20" s="3"/>
      <c r="J20" s="3"/>
      <c r="K20" s="3"/>
      <c r="L20" s="3"/>
      <c r="M20" s="3"/>
      <c r="N20" s="3"/>
      <c r="O20" s="3"/>
      <c r="P20" s="3"/>
      <c r="Q20" s="3"/>
      <c r="S20" s="3"/>
    </row>
    <row r="21" spans="1:21" ht="15" thickBot="1" x14ac:dyDescent="0.35">
      <c r="H21" s="25" t="s">
        <v>152</v>
      </c>
      <c r="I21" s="26" t="s">
        <v>153</v>
      </c>
      <c r="J21" s="34" t="s">
        <v>154</v>
      </c>
      <c r="K21" s="35"/>
      <c r="L21" s="36"/>
    </row>
    <row r="22" spans="1:21" ht="15" thickBot="1" x14ac:dyDescent="0.35">
      <c r="H22" s="27" t="e" vm="1">
        <v>#VALUE!</v>
      </c>
      <c r="I22" s="28" t="s">
        <v>155</v>
      </c>
      <c r="J22" s="28">
        <v>4</v>
      </c>
      <c r="K22" s="28">
        <v>0</v>
      </c>
      <c r="L22" s="28">
        <v>-4</v>
      </c>
    </row>
    <row r="23" spans="1:21" ht="15" thickBot="1" x14ac:dyDescent="0.35">
      <c r="H23" s="27" t="e" vm="2">
        <v>#VALUE!</v>
      </c>
      <c r="I23" s="28" t="s">
        <v>30</v>
      </c>
      <c r="J23" s="29">
        <v>10.21817195</v>
      </c>
      <c r="K23" s="29">
        <v>10.116571950000001</v>
      </c>
      <c r="L23" s="29">
        <v>10.01497195</v>
      </c>
    </row>
    <row r="24" spans="1:21" ht="15" thickBot="1" x14ac:dyDescent="0.35">
      <c r="H24" s="27" t="e" vm="3">
        <v>#VALUE!</v>
      </c>
      <c r="I24" s="30" t="e" vm="4">
        <v>#VALUE!</v>
      </c>
      <c r="J24" s="28">
        <v>0.13683500000000001</v>
      </c>
      <c r="K24" s="28">
        <v>0.13683500000000001</v>
      </c>
      <c r="L24" s="28">
        <v>0.13683500000000001</v>
      </c>
    </row>
    <row r="25" spans="1:21" ht="15" thickBot="1" x14ac:dyDescent="0.35">
      <c r="H25" s="31" t="e" vm="5">
        <v>#VALUE!</v>
      </c>
      <c r="I25" s="28"/>
      <c r="J25" s="28">
        <f>J28*J24*$B$10</f>
        <v>8.0339905704077494E-2</v>
      </c>
      <c r="K25" s="28">
        <f t="shared" ref="K25:L25" si="31">K28*K24*$B$10</f>
        <v>0.1137759206815725</v>
      </c>
      <c r="L25" s="28">
        <f t="shared" si="31"/>
        <v>0.11381457164301251</v>
      </c>
    </row>
    <row r="26" spans="1:21" ht="15" thickBot="1" x14ac:dyDescent="0.35">
      <c r="H26" s="31" t="e" vm="6">
        <v>#VALUE!</v>
      </c>
      <c r="I26" s="30" t="e" vm="4">
        <v>#VALUE!</v>
      </c>
      <c r="J26" s="28">
        <v>-3.1150690000000001</v>
      </c>
      <c r="K26" s="28">
        <v>-5.0254339999999997</v>
      </c>
      <c r="L26" s="28">
        <v>-5.4703369999999998</v>
      </c>
    </row>
    <row r="27" spans="1:21" ht="15" thickBot="1" x14ac:dyDescent="0.35">
      <c r="H27" s="31" t="e" vm="7">
        <v>#VALUE!</v>
      </c>
      <c r="I27" s="28" t="s">
        <v>30</v>
      </c>
      <c r="J27" s="32">
        <f>J23-J24*$B$10*$B$8*J26</f>
        <v>10.747611260825492</v>
      </c>
      <c r="K27" s="32">
        <f t="shared" ref="K27:L27" si="32">K23-K24*$B$10*$B$8*K26</f>
        <v>10.970698235343599</v>
      </c>
      <c r="L27" s="32">
        <f t="shared" si="32"/>
        <v>10.944714261089478</v>
      </c>
    </row>
    <row r="28" spans="1:21" ht="15" thickBot="1" x14ac:dyDescent="0.35">
      <c r="H28" s="33" t="s">
        <v>156</v>
      </c>
      <c r="I28" s="30" t="e" vm="4">
        <v>#VALUE!</v>
      </c>
      <c r="J28" s="28">
        <v>0.93121299999999996</v>
      </c>
      <c r="K28" s="28">
        <v>1.318767</v>
      </c>
      <c r="L28" s="28">
        <v>1.319215</v>
      </c>
    </row>
    <row r="29" spans="1:21" ht="15" thickBot="1" x14ac:dyDescent="0.35">
      <c r="H29" s="33" t="s">
        <v>157</v>
      </c>
      <c r="I29" s="30" t="e" vm="4">
        <v>#VALUE!</v>
      </c>
      <c r="J29" s="28">
        <v>11.590885</v>
      </c>
      <c r="K29" s="28">
        <v>11.590885</v>
      </c>
      <c r="L29" s="28">
        <v>11.590885</v>
      </c>
    </row>
    <row r="30" spans="1:21" ht="15" thickBot="1" x14ac:dyDescent="0.35">
      <c r="H30" s="33" t="s">
        <v>158</v>
      </c>
      <c r="I30" s="30" t="e" vm="4">
        <v>#VALUE!</v>
      </c>
      <c r="J30" s="28">
        <v>-121.796969</v>
      </c>
      <c r="K30" s="28">
        <v>-121.796969</v>
      </c>
      <c r="L30" s="28">
        <v>-121.796969</v>
      </c>
    </row>
  </sheetData>
  <mergeCells count="7">
    <mergeCell ref="J21:L21"/>
    <mergeCell ref="A13:E13"/>
    <mergeCell ref="AS1:AZ1"/>
    <mergeCell ref="A1:E1"/>
    <mergeCell ref="A6:E6"/>
    <mergeCell ref="X1:AJ1"/>
    <mergeCell ref="H1:U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D92C-9849-45F1-9F30-B0E875E5CCEF}">
  <dimension ref="A1:BF71"/>
  <sheetViews>
    <sheetView tabSelected="1" topLeftCell="U38" zoomScale="34" zoomScaleNormal="100" workbookViewId="0">
      <selection activeCell="AW49" sqref="AW49"/>
    </sheetView>
  </sheetViews>
  <sheetFormatPr defaultRowHeight="14.4" x14ac:dyDescent="0.3"/>
  <cols>
    <col min="1" max="1" width="24.33203125" customWidth="1"/>
    <col min="2" max="44" width="15.6640625" customWidth="1"/>
    <col min="45" max="58" width="17.21875" customWidth="1"/>
  </cols>
  <sheetData>
    <row r="1" spans="1:58" x14ac:dyDescent="0.3">
      <c r="A1" s="37" t="s">
        <v>49</v>
      </c>
      <c r="B1" s="37"/>
      <c r="C1" s="37"/>
      <c r="D1" s="37"/>
      <c r="G1" s="37" t="s">
        <v>50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24"/>
    </row>
    <row r="2" spans="1:58" x14ac:dyDescent="0.3">
      <c r="A2" s="1" t="s">
        <v>51</v>
      </c>
      <c r="B2" s="1" t="s">
        <v>52</v>
      </c>
      <c r="C2" s="1" t="s">
        <v>53</v>
      </c>
      <c r="D2" s="1" t="s">
        <v>54</v>
      </c>
      <c r="F2" s="9" t="s">
        <v>55</v>
      </c>
      <c r="G2" s="38" t="s">
        <v>56</v>
      </c>
      <c r="H2" s="38"/>
      <c r="I2" s="38"/>
      <c r="J2" s="38"/>
      <c r="K2" s="38"/>
      <c r="L2" s="38"/>
      <c r="M2" s="6"/>
      <c r="N2" s="38" t="s">
        <v>57</v>
      </c>
      <c r="O2" s="38"/>
      <c r="P2" s="38"/>
      <c r="Q2" s="38"/>
      <c r="R2" s="38"/>
      <c r="S2" s="1"/>
      <c r="T2" s="38" t="s">
        <v>58</v>
      </c>
      <c r="U2" s="38"/>
      <c r="V2" s="38"/>
      <c r="W2" s="1"/>
      <c r="X2" s="38" t="s">
        <v>59</v>
      </c>
      <c r="Y2" s="38"/>
      <c r="Z2" s="38"/>
      <c r="AA2" s="1"/>
      <c r="AB2" s="38" t="s">
        <v>60</v>
      </c>
      <c r="AC2" s="38"/>
      <c r="AD2" s="38"/>
      <c r="AE2" s="1"/>
      <c r="AF2" s="38" t="s">
        <v>61</v>
      </c>
      <c r="AG2" s="38"/>
      <c r="AH2" s="38"/>
      <c r="AI2" s="38"/>
      <c r="AJ2" s="1"/>
      <c r="AK2" s="1"/>
      <c r="AL2" s="38" t="s">
        <v>62</v>
      </c>
      <c r="AM2" s="38"/>
      <c r="AN2" s="38"/>
      <c r="AO2" s="38"/>
      <c r="AP2" s="38"/>
      <c r="AQ2" s="38"/>
      <c r="AR2" s="5"/>
      <c r="AS2" s="38" t="s">
        <v>133</v>
      </c>
      <c r="AT2" s="38"/>
      <c r="AU2" s="38"/>
      <c r="AV2" s="38"/>
      <c r="AW2" s="38"/>
      <c r="AX2" s="5"/>
      <c r="AY2" s="38" t="s">
        <v>136</v>
      </c>
      <c r="AZ2" s="38"/>
      <c r="BA2" s="38"/>
      <c r="BB2" s="38"/>
      <c r="BC2" s="38"/>
      <c r="BD2" s="38"/>
      <c r="BE2" s="38"/>
      <c r="BF2" s="24"/>
    </row>
    <row r="3" spans="1:58" x14ac:dyDescent="0.3">
      <c r="A3" s="1" t="s">
        <v>63</v>
      </c>
      <c r="B3" t="s">
        <v>30</v>
      </c>
      <c r="C3">
        <v>0.873</v>
      </c>
      <c r="D3">
        <v>0.38800000000000001</v>
      </c>
      <c r="F3" s="9" t="s">
        <v>64</v>
      </c>
      <c r="G3" s="10" t="s">
        <v>65</v>
      </c>
      <c r="H3" s="10" t="s">
        <v>66</v>
      </c>
      <c r="I3" s="10" t="s">
        <v>67</v>
      </c>
      <c r="J3" s="11" t="s">
        <v>68</v>
      </c>
      <c r="K3" s="1" t="s">
        <v>69</v>
      </c>
      <c r="L3" s="11" t="s">
        <v>70</v>
      </c>
      <c r="M3" s="7" t="s">
        <v>71</v>
      </c>
      <c r="N3" s="2" t="s">
        <v>72</v>
      </c>
      <c r="O3" s="2" t="s">
        <v>73</v>
      </c>
      <c r="P3" s="2" t="s">
        <v>74</v>
      </c>
      <c r="Q3" s="2" t="s">
        <v>75</v>
      </c>
      <c r="R3" s="2" t="s">
        <v>76</v>
      </c>
      <c r="S3" s="1"/>
      <c r="T3" s="1" t="s">
        <v>77</v>
      </c>
      <c r="U3" s="1" t="s">
        <v>78</v>
      </c>
      <c r="V3" s="1" t="s">
        <v>79</v>
      </c>
      <c r="W3" s="1"/>
      <c r="X3" s="1" t="s">
        <v>80</v>
      </c>
      <c r="Y3" s="1" t="s">
        <v>81</v>
      </c>
      <c r="Z3" s="1" t="s">
        <v>82</v>
      </c>
      <c r="AA3" s="1"/>
      <c r="AB3" s="1" t="s">
        <v>83</v>
      </c>
      <c r="AC3" s="1" t="s">
        <v>84</v>
      </c>
      <c r="AD3" s="1" t="s">
        <v>85</v>
      </c>
      <c r="AE3" s="1"/>
      <c r="AF3" s="1" t="s">
        <v>86</v>
      </c>
      <c r="AG3" s="1" t="s">
        <v>87</v>
      </c>
      <c r="AH3" s="1" t="s">
        <v>132</v>
      </c>
      <c r="AI3" s="1" t="s">
        <v>89</v>
      </c>
      <c r="AJ3" s="1"/>
      <c r="AK3" s="1" t="s">
        <v>151</v>
      </c>
      <c r="AL3" s="1" t="s">
        <v>90</v>
      </c>
      <c r="AM3" s="1" t="s">
        <v>91</v>
      </c>
      <c r="AN3" s="1" t="s">
        <v>92</v>
      </c>
      <c r="AO3" s="1" t="s">
        <v>93</v>
      </c>
      <c r="AP3" s="1"/>
      <c r="AQ3" s="1"/>
      <c r="AR3" s="1"/>
      <c r="AS3" s="1" t="s">
        <v>127</v>
      </c>
      <c r="AT3" s="1" t="s">
        <v>90</v>
      </c>
      <c r="AU3" s="1" t="s">
        <v>91</v>
      </c>
      <c r="AV3" s="1" t="s">
        <v>92</v>
      </c>
      <c r="AW3" s="1" t="s">
        <v>93</v>
      </c>
      <c r="AX3" s="1"/>
      <c r="AY3" s="1" t="s">
        <v>137</v>
      </c>
      <c r="AZ3" s="1" t="s">
        <v>138</v>
      </c>
      <c r="BA3" s="1" t="s">
        <v>139</v>
      </c>
      <c r="BB3" s="1" t="s">
        <v>140</v>
      </c>
      <c r="BC3" s="1" t="s">
        <v>141</v>
      </c>
      <c r="BD3" s="1" t="s">
        <v>142</v>
      </c>
      <c r="BE3" s="1" t="s">
        <v>143</v>
      </c>
    </row>
    <row r="4" spans="1:58" x14ac:dyDescent="0.3">
      <c r="A4" s="1" t="s">
        <v>94</v>
      </c>
      <c r="B4" t="s">
        <v>30</v>
      </c>
      <c r="C4">
        <v>0.20300000000000001</v>
      </c>
      <c r="D4">
        <v>0.108</v>
      </c>
      <c r="F4" s="9" t="s">
        <v>95</v>
      </c>
      <c r="H4">
        <v>25.07</v>
      </c>
      <c r="I4">
        <v>23.2</v>
      </c>
      <c r="J4">
        <f>102.1*10^3</f>
        <v>102100</v>
      </c>
      <c r="K4">
        <f t="shared" ref="K4:K19" si="0">J4/(287*(I4+273))</f>
        <v>1.2010436492905492</v>
      </c>
      <c r="L4">
        <f t="shared" ref="L4:L19" si="1">0.5*(H4^2)*K4</f>
        <v>377.43090934649587</v>
      </c>
      <c r="M4">
        <f>N4+0.83*(AM4)</f>
        <v>-2.0001297717075417</v>
      </c>
      <c r="N4">
        <f>O4+0.8</f>
        <v>-1.9999999999999998</v>
      </c>
      <c r="O4">
        <v>-2.8</v>
      </c>
      <c r="P4" s="8">
        <v>-1.0658000000000001</v>
      </c>
      <c r="Q4" s="8">
        <v>-3.9899999999999998E-2</v>
      </c>
      <c r="R4" s="8">
        <v>-0.27829999999999999</v>
      </c>
      <c r="S4" s="1"/>
      <c r="T4">
        <f>P4-$B$22*SIN(RADIANS(O4))</f>
        <v>2.3663848258397877</v>
      </c>
      <c r="U4">
        <f>Q4+$B$22*(COS(RADIANS(O4))-1)</f>
        <v>-0.12378079039084111</v>
      </c>
      <c r="V4">
        <f>R4-$B$22*($D$22*SIN(RADIANS(O4))+$C$22*(COS(RADIANS(O4))-1))</f>
        <v>-4.7074095736123728E-2</v>
      </c>
      <c r="W4" s="1"/>
      <c r="X4">
        <f>(V4-0.115*U4-0.11*T4)*0.94</f>
        <v>-0.27555313754254046</v>
      </c>
      <c r="Y4">
        <f t="shared" ref="Y4:Y19" si="2">(U4*COS(RADIANS(O4))-T4*SIN(RADIANS(O4)))*0.94</f>
        <v>-7.5535195890053366E-3</v>
      </c>
      <c r="Z4">
        <f>(T4*COS(RADIANS(O4))+U4*SIN(RADIANS(O4)))*0.94</f>
        <v>2.2274299694475643</v>
      </c>
      <c r="AA4" s="1"/>
      <c r="AB4">
        <f t="shared" ref="AB4:AB19" si="3">X4/(L4*($C$8)*($C$10))</f>
        <v>-3.6099471213817638E-2</v>
      </c>
      <c r="AC4">
        <f t="shared" ref="AC4:AC19" si="4">Y4/(L4*($C$10))</f>
        <v>-1.5635145486966214E-4</v>
      </c>
      <c r="AD4">
        <f>Z4/(L4*($C$10))</f>
        <v>4.6105912911159029E-2</v>
      </c>
      <c r="AE4" s="1"/>
      <c r="AF4">
        <f>0.022</f>
        <v>2.1999999999999999E-2</v>
      </c>
      <c r="AG4">
        <f xml:space="preserve"> 0.015*(AC4^2)</f>
        <v>3.6668666159789996E-10</v>
      </c>
      <c r="AI4" s="3">
        <f>-0.415*AM4*(-0.0707466541333333)</f>
        <v>-4.590457054876595E-6</v>
      </c>
      <c r="AJ4" s="1"/>
      <c r="AK4">
        <f>AM4/AN4</f>
        <v>-2.2957104213816044E-3</v>
      </c>
      <c r="AL4">
        <f>AB4-AI4</f>
        <v>-3.6094880756762759E-2</v>
      </c>
      <c r="AM4">
        <f>AC4</f>
        <v>-1.5635145486966214E-4</v>
      </c>
      <c r="AN4">
        <f t="shared" ref="AN4:AN19" si="5">(AD4+AF4+AG4)</f>
        <v>6.8105913277845695E-2</v>
      </c>
      <c r="AO4">
        <f>AM4^2</f>
        <v>2.4445777439859999E-8</v>
      </c>
      <c r="AR4" s="1"/>
      <c r="AS4">
        <f>AM4/AN4</f>
        <v>-2.2957104213816044E-3</v>
      </c>
      <c r="AT4">
        <f t="shared" ref="AT4:AT19" si="6">AB4</f>
        <v>-3.6099471213817638E-2</v>
      </c>
      <c r="AU4">
        <f t="shared" ref="AU4:AU19" si="7">AC4</f>
        <v>-1.5635145486966214E-4</v>
      </c>
      <c r="AV4">
        <f t="shared" ref="AV4:AV19" si="8">(AD4+AF4+AG4)</f>
        <v>6.8105913277845695E-2</v>
      </c>
      <c r="AW4">
        <f t="shared" ref="AW4:AW19" si="9">AM4^2</f>
        <v>2.4445777439859999E-8</v>
      </c>
      <c r="AX4" s="1"/>
      <c r="AY4">
        <f>(0.0005*24/$C$10)+(0.0005*24/$C$8)+(0.0005/P4)+(0.0005/Q4)+(0.0005/R4)+(0.05/L4)</f>
        <v>0.15503475982558335</v>
      </c>
      <c r="AZ4">
        <f>(0.0005*24/$C$10)+(0.0005/P4)+(0.0005/Q4)+(0.0005/R4)+(0.05/L4)</f>
        <v>7.9085392736975763E-2</v>
      </c>
      <c r="BA4">
        <f>(0.0005*24/$C$10)+(0.0005/P4)+(0.0005/Q4)+(0.0005/R4)+(0.05/L4)</f>
        <v>7.9085392736975763E-2</v>
      </c>
      <c r="BB4">
        <f>AY4*AL4</f>
        <v>-5.5959611690577843E-3</v>
      </c>
      <c r="BC4">
        <f>AZ4*AM4</f>
        <v>-1.2365116213364772E-5</v>
      </c>
      <c r="BD4">
        <f>BA4*AN4</f>
        <v>5.3861828992888394E-3</v>
      </c>
      <c r="BE4">
        <f>BB4*AK4*5</f>
        <v>6.4233531867263712E-5</v>
      </c>
    </row>
    <row r="5" spans="1:58" x14ac:dyDescent="0.3">
      <c r="A5" s="1" t="s">
        <v>96</v>
      </c>
      <c r="B5" t="s">
        <v>30</v>
      </c>
      <c r="C5">
        <v>0.215</v>
      </c>
      <c r="D5">
        <v>0.108</v>
      </c>
      <c r="F5" s="9" t="s">
        <v>97</v>
      </c>
      <c r="H5">
        <v>25.08</v>
      </c>
      <c r="I5">
        <v>23.3</v>
      </c>
      <c r="J5">
        <f t="shared" ref="J5:J19" si="10">102.1*10^3</f>
        <v>102100</v>
      </c>
      <c r="K5">
        <f t="shared" si="0"/>
        <v>1.200638302125753</v>
      </c>
      <c r="L5">
        <f t="shared" si="1"/>
        <v>377.60458806111603</v>
      </c>
      <c r="M5">
        <f t="shared" ref="M5:M19" si="11">N5+0.83*(AM5)</f>
        <v>-1.9998256121716214</v>
      </c>
      <c r="N5">
        <f t="shared" ref="N5:N19" si="12">O5+0.8</f>
        <v>-1.9999999999999998</v>
      </c>
      <c r="O5">
        <v>-2.8</v>
      </c>
      <c r="P5" s="8">
        <v>-1.1954</v>
      </c>
      <c r="Q5" s="8">
        <v>-1.47E-2</v>
      </c>
      <c r="R5" s="8">
        <v>-0.32050000000000001</v>
      </c>
      <c r="S5" s="1"/>
      <c r="T5">
        <f>P5-$B$22*SIN(RADIANS(O5))</f>
        <v>2.2367848258397878</v>
      </c>
      <c r="U5">
        <f>Q5+$B$22*(COS(RADIANS(O5))-1)</f>
        <v>-9.8580790390841125E-2</v>
      </c>
      <c r="V5">
        <f t="shared" ref="V5:V19" si="13">R5-$B$22*($D$22*SIN(RADIANS(O5))+$C$22*(COS(RADIANS(O5))-1))</f>
        <v>-8.9274095736123743E-2</v>
      </c>
      <c r="W5" s="1"/>
      <c r="X5">
        <f>(V5-0.115*U5-0.11*T5)*0.94</f>
        <v>-0.30454461754254042</v>
      </c>
      <c r="Y5">
        <f t="shared" si="2"/>
        <v>1.0155125836757754E-2</v>
      </c>
      <c r="Z5">
        <f t="shared" ref="Z5:Z19" si="14">(T5*COS(RADIANS(O5))+U5*SIN(RADIANS(O5)))*0.94</f>
        <v>2.1045942572251626</v>
      </c>
      <c r="AA5" s="1"/>
      <c r="AB5">
        <f t="shared" si="3"/>
        <v>-3.9879215759141502E-2</v>
      </c>
      <c r="AC5">
        <f t="shared" si="4"/>
        <v>2.1010581732346198E-4</v>
      </c>
      <c r="AD5">
        <f t="shared" ref="AD5:AD19" si="15">Z5/(L5*($C$10))</f>
        <v>4.3543280866890292E-2</v>
      </c>
      <c r="AE5" s="1"/>
      <c r="AF5">
        <f t="shared" ref="AF5:AF19" si="16">0.022</f>
        <v>2.1999999999999999E-2</v>
      </c>
      <c r="AG5">
        <f t="shared" ref="AG5:AG19" si="17" xml:space="preserve"> 0.015*(AC5^2)</f>
        <v>6.6216681709739965E-10</v>
      </c>
      <c r="AI5" s="3">
        <f t="shared" ref="AI5:AI19" si="18">-0.415*AM5*(-0.0707466541333333)</f>
        <v>6.1686776896774728E-6</v>
      </c>
      <c r="AJ5" s="1"/>
      <c r="AK5">
        <f t="shared" ref="AK5:AK19" si="19">AM5/AN5</f>
        <v>3.2056041812663343E-3</v>
      </c>
      <c r="AL5">
        <f t="shared" ref="AL5:AL19" si="20">AB5-AI5</f>
        <v>-3.9885384436831178E-2</v>
      </c>
      <c r="AM5">
        <f>AC5</f>
        <v>2.1010581732346198E-4</v>
      </c>
      <c r="AN5">
        <f t="shared" si="5"/>
        <v>6.5543281529057112E-2</v>
      </c>
      <c r="AO5">
        <f t="shared" ref="AO5:AO19" si="21">AM5^2</f>
        <v>4.4144454473159977E-8</v>
      </c>
      <c r="AR5" s="1"/>
      <c r="AS5">
        <f t="shared" ref="AS5:AS19" si="22">AM5/AN5</f>
        <v>3.2056041812663343E-3</v>
      </c>
      <c r="AT5">
        <f t="shared" si="6"/>
        <v>-3.9879215759141502E-2</v>
      </c>
      <c r="AU5">
        <f t="shared" si="7"/>
        <v>2.1010581732346198E-4</v>
      </c>
      <c r="AV5">
        <f t="shared" si="8"/>
        <v>6.5543281529057112E-2</v>
      </c>
      <c r="AW5">
        <f t="shared" si="9"/>
        <v>4.4144454473159977E-8</v>
      </c>
      <c r="AX5" s="1"/>
      <c r="AY5">
        <f t="shared" ref="AY5:AY19" si="23">(0.0005*24/$C$10)+(0.0005*24/$C$8)+(0.0005/P5)+(0.0005/Q5)+(0.0005/R5)+(0.05/L5)</f>
        <v>0.13383984285413392</v>
      </c>
      <c r="AZ5">
        <f t="shared" ref="AZ5:AZ19" si="24">(0.0005*24/$C$10)+(0.0005/P5)+(0.0005/Q5)+(0.0005/R5)+(0.05/L5)</f>
        <v>5.7890475765526299E-2</v>
      </c>
      <c r="BA5">
        <f t="shared" ref="BA5:BA19" si="25">(0.0005*24/$C$10)+(0.0005/P5)+(0.0005/Q5)+(0.0005/R5)+(0.05/L5)</f>
        <v>5.7890475765526299E-2</v>
      </c>
      <c r="BB5">
        <f t="shared" ref="BB5:BB19" si="26">AY5*AL5</f>
        <v>-5.3382535852022038E-3</v>
      </c>
      <c r="BC5">
        <f t="shared" ref="BC5:BD19" si="27">AZ5*AM5</f>
        <v>1.2163125725959971E-5</v>
      </c>
      <c r="BD5">
        <f t="shared" si="27"/>
        <v>3.7943317509509483E-3</v>
      </c>
      <c r="BE5">
        <f t="shared" ref="BE5:BE19" si="28">BB5*AK5*5</f>
        <v>-8.5561640066920909E-5</v>
      </c>
    </row>
    <row r="6" spans="1:58" x14ac:dyDescent="0.3">
      <c r="A6" s="1" t="s">
        <v>98</v>
      </c>
      <c r="B6" t="s">
        <v>30</v>
      </c>
      <c r="C6">
        <v>8.1000000000000003E-2</v>
      </c>
      <c r="D6">
        <v>5.7000000000000002E-2</v>
      </c>
      <c r="F6" s="9" t="s">
        <v>99</v>
      </c>
      <c r="H6">
        <v>25.08</v>
      </c>
      <c r="I6">
        <v>23.5</v>
      </c>
      <c r="J6">
        <f t="shared" si="10"/>
        <v>102100</v>
      </c>
      <c r="K6">
        <f t="shared" si="0"/>
        <v>1.1998284280602383</v>
      </c>
      <c r="L6">
        <f t="shared" si="1"/>
        <v>377.34988007591465</v>
      </c>
      <c r="M6">
        <f t="shared" si="11"/>
        <v>0.1152195468476461</v>
      </c>
      <c r="N6">
        <f t="shared" si="12"/>
        <v>0</v>
      </c>
      <c r="O6">
        <v>-0.8</v>
      </c>
      <c r="P6" s="8">
        <v>1.3379000000000001</v>
      </c>
      <c r="Q6" s="8">
        <v>7.1082000000000001</v>
      </c>
      <c r="R6" s="8">
        <v>0.83660000000000001</v>
      </c>
      <c r="S6" s="1"/>
      <c r="T6">
        <f t="shared" ref="T6:T19" si="29">P6-$B$22*SIN(RADIANS(O6))</f>
        <v>2.3188827906283471</v>
      </c>
      <c r="U6">
        <f t="shared" ref="U6:U19" si="30">Q6+$B$22*(COS(RADIANS(O6))-1)</f>
        <v>7.1013513368937158</v>
      </c>
      <c r="V6">
        <f t="shared" si="13"/>
        <v>0.90383100672416683</v>
      </c>
      <c r="W6" s="1"/>
      <c r="X6">
        <f t="shared" ref="X6:X19" si="31">(V6-0.115*U6-0.11*T6)*0.94</f>
        <v>-0.15782741374846496</v>
      </c>
      <c r="Y6">
        <f t="shared" si="2"/>
        <v>6.7050536382242685</v>
      </c>
      <c r="Z6">
        <f t="shared" si="14"/>
        <v>2.0863360227808618</v>
      </c>
      <c r="AA6" s="1"/>
      <c r="AB6">
        <f t="shared" si="3"/>
        <v>-2.0680982497417066E-2</v>
      </c>
      <c r="AC6">
        <f t="shared" si="4"/>
        <v>0.13881873114174229</v>
      </c>
      <c r="AD6">
        <f t="shared" si="15"/>
        <v>4.3194661078721885E-2</v>
      </c>
      <c r="AE6" s="1"/>
      <c r="AF6">
        <f t="shared" si="16"/>
        <v>2.1999999999999999E-2</v>
      </c>
      <c r="AG6">
        <f t="shared" si="17"/>
        <v>2.8905960173704993E-4</v>
      </c>
      <c r="AI6" s="3">
        <f t="shared" si="18"/>
        <v>4.0756987151149057E-3</v>
      </c>
      <c r="AJ6" s="1"/>
      <c r="AK6">
        <f t="shared" si="19"/>
        <v>2.1198968186175065</v>
      </c>
      <c r="AL6">
        <f t="shared" si="20"/>
        <v>-2.4756681212531974E-2</v>
      </c>
      <c r="AM6">
        <f t="shared" ref="AM6:AM19" si="32">AC6</f>
        <v>0.13881873114174229</v>
      </c>
      <c r="AN6">
        <f t="shared" si="5"/>
        <v>6.5483720680458921E-2</v>
      </c>
      <c r="AO6">
        <f t="shared" si="21"/>
        <v>1.9270640115803331E-2</v>
      </c>
      <c r="AR6" s="1"/>
      <c r="AS6">
        <f t="shared" si="22"/>
        <v>2.1198968186175065</v>
      </c>
      <c r="AT6">
        <f t="shared" si="6"/>
        <v>-2.0680982497417066E-2</v>
      </c>
      <c r="AU6">
        <f t="shared" si="7"/>
        <v>0.13881873114174229</v>
      </c>
      <c r="AV6">
        <f t="shared" si="8"/>
        <v>6.5483720680458921E-2</v>
      </c>
      <c r="AW6">
        <f t="shared" si="9"/>
        <v>1.9270640115803331E-2</v>
      </c>
      <c r="AX6" s="1"/>
      <c r="AY6">
        <f t="shared" si="23"/>
        <v>0.17087358860081162</v>
      </c>
      <c r="AZ6">
        <f t="shared" si="24"/>
        <v>9.4924221512204005E-2</v>
      </c>
      <c r="BA6">
        <f t="shared" si="25"/>
        <v>9.4924221512204005E-2</v>
      </c>
      <c r="BB6">
        <f t="shared" si="26"/>
        <v>-4.2302629606316309E-3</v>
      </c>
      <c r="BC6">
        <f t="shared" si="27"/>
        <v>1.3177259984941837E-2</v>
      </c>
      <c r="BD6">
        <f t="shared" si="27"/>
        <v>6.2159912073151769E-3</v>
      </c>
      <c r="BE6">
        <f t="shared" si="28"/>
        <v>-4.4838604960792339E-2</v>
      </c>
    </row>
    <row r="7" spans="1:58" x14ac:dyDescent="0.3">
      <c r="A7" s="1" t="s">
        <v>100</v>
      </c>
      <c r="B7" t="s">
        <v>30</v>
      </c>
      <c r="C7">
        <v>0.14699999999999999</v>
      </c>
      <c r="D7">
        <v>8.2000000000000003E-2</v>
      </c>
      <c r="H7">
        <v>25.08</v>
      </c>
      <c r="I7">
        <v>23.6</v>
      </c>
      <c r="J7">
        <f t="shared" si="10"/>
        <v>102100</v>
      </c>
      <c r="K7">
        <f t="shared" si="0"/>
        <v>1.1994239006064078</v>
      </c>
      <c r="L7">
        <f t="shared" si="1"/>
        <v>377.22265489719712</v>
      </c>
      <c r="M7">
        <f t="shared" si="11"/>
        <v>0.11248766482130018</v>
      </c>
      <c r="N7">
        <f t="shared" si="12"/>
        <v>0</v>
      </c>
      <c r="O7">
        <v>-0.8</v>
      </c>
      <c r="P7" s="8">
        <v>1.2598</v>
      </c>
      <c r="Q7" s="8">
        <v>6.9378000000000002</v>
      </c>
      <c r="R7" s="8">
        <v>0.80530000000000002</v>
      </c>
      <c r="S7" s="1"/>
      <c r="T7">
        <f t="shared" si="29"/>
        <v>2.2407827906283471</v>
      </c>
      <c r="U7">
        <f t="shared" si="30"/>
        <v>6.9309513368937159</v>
      </c>
      <c r="V7">
        <f t="shared" si="13"/>
        <v>0.87253100672416684</v>
      </c>
      <c r="W7" s="1"/>
      <c r="X7">
        <f t="shared" si="31"/>
        <v>-0.16075363374846502</v>
      </c>
      <c r="Y7">
        <f t="shared" si="2"/>
        <v>6.5438682320311363</v>
      </c>
      <c r="Z7">
        <f t="shared" si="14"/>
        <v>2.0151655850812453</v>
      </c>
      <c r="AA7" s="1"/>
      <c r="AB7">
        <f t="shared" si="3"/>
        <v>-2.1071525341421472E-2</v>
      </c>
      <c r="AC7">
        <f t="shared" si="4"/>
        <v>0.13552730701361468</v>
      </c>
      <c r="AD7">
        <f t="shared" si="15"/>
        <v>4.1735248212326305E-2</v>
      </c>
      <c r="AE7" s="1"/>
      <c r="AF7">
        <f t="shared" si="16"/>
        <v>2.1999999999999999E-2</v>
      </c>
      <c r="AG7">
        <f t="shared" si="17"/>
        <v>2.7551476419543857E-4</v>
      </c>
      <c r="AI7" s="3">
        <f t="shared" si="18"/>
        <v>3.9790629586894232E-3</v>
      </c>
      <c r="AJ7" s="1"/>
      <c r="AK7">
        <f t="shared" si="19"/>
        <v>2.117258109598291</v>
      </c>
      <c r="AL7">
        <f t="shared" si="20"/>
        <v>-2.5050588300110893E-2</v>
      </c>
      <c r="AM7">
        <f t="shared" si="32"/>
        <v>0.13552730701361468</v>
      </c>
      <c r="AN7">
        <f t="shared" si="5"/>
        <v>6.4010762976521737E-2</v>
      </c>
      <c r="AO7">
        <f t="shared" si="21"/>
        <v>1.8367650946362571E-2</v>
      </c>
      <c r="AR7" s="1"/>
      <c r="AS7">
        <f t="shared" si="22"/>
        <v>2.117258109598291</v>
      </c>
      <c r="AT7">
        <f t="shared" si="6"/>
        <v>-2.1071525341421472E-2</v>
      </c>
      <c r="AU7">
        <f t="shared" si="7"/>
        <v>0.13552730701361468</v>
      </c>
      <c r="AV7">
        <f t="shared" si="8"/>
        <v>6.4010762976521737E-2</v>
      </c>
      <c r="AW7">
        <f t="shared" si="9"/>
        <v>1.8367650946362571E-2</v>
      </c>
      <c r="AX7" s="1"/>
      <c r="AY7">
        <f t="shared" si="23"/>
        <v>0.17092175877774374</v>
      </c>
      <c r="AZ7">
        <f t="shared" si="24"/>
        <v>9.4972391689136126E-2</v>
      </c>
      <c r="BA7">
        <f t="shared" si="25"/>
        <v>9.4972391689136126E-2</v>
      </c>
      <c r="BB7">
        <f t="shared" si="26"/>
        <v>-4.2816906106721234E-3</v>
      </c>
      <c r="BC7">
        <f t="shared" si="27"/>
        <v>1.287135248627082E-2</v>
      </c>
      <c r="BD7">
        <f t="shared" si="27"/>
        <v>6.0792552537266755E-3</v>
      </c>
      <c r="BE7">
        <f t="shared" si="28"/>
        <v>-4.5327220841182056E-2</v>
      </c>
    </row>
    <row r="8" spans="1:58" x14ac:dyDescent="0.3">
      <c r="A8" s="1" t="s">
        <v>101</v>
      </c>
      <c r="B8" t="s">
        <v>30</v>
      </c>
      <c r="C8" s="2">
        <v>0.158</v>
      </c>
      <c r="D8">
        <v>8.5000000000000006E-2</v>
      </c>
      <c r="H8">
        <v>25.09</v>
      </c>
      <c r="I8">
        <v>23.6</v>
      </c>
      <c r="J8">
        <f t="shared" si="10"/>
        <v>102100</v>
      </c>
      <c r="K8">
        <f t="shared" si="0"/>
        <v>1.1994239006064078</v>
      </c>
      <c r="L8">
        <f t="shared" si="1"/>
        <v>377.52353038266432</v>
      </c>
      <c r="M8">
        <f t="shared" si="11"/>
        <v>2.2315173513821742</v>
      </c>
      <c r="N8">
        <f t="shared" si="12"/>
        <v>2</v>
      </c>
      <c r="O8">
        <v>1.2</v>
      </c>
      <c r="P8" s="8">
        <v>3.5445000000000002</v>
      </c>
      <c r="Q8" s="8">
        <v>14.401400000000001</v>
      </c>
      <c r="R8" s="8">
        <v>2.0024000000000002</v>
      </c>
      <c r="S8" s="1"/>
      <c r="T8">
        <f t="shared" si="29"/>
        <v>2.0730855789953404</v>
      </c>
      <c r="U8">
        <f t="shared" si="30"/>
        <v>14.385990820942645</v>
      </c>
      <c r="V8">
        <f t="shared" si="13"/>
        <v>1.899844612707553</v>
      </c>
      <c r="W8" s="1"/>
      <c r="X8">
        <f t="shared" si="31"/>
        <v>1.6371279333081554E-2</v>
      </c>
      <c r="Y8">
        <f t="shared" si="2"/>
        <v>13.479055088368911</v>
      </c>
      <c r="Z8">
        <f t="shared" si="14"/>
        <v>2.2314738746433007</v>
      </c>
      <c r="AA8" s="1"/>
      <c r="AB8">
        <f t="shared" si="3"/>
        <v>2.1442308318773487E-3</v>
      </c>
      <c r="AC8">
        <f t="shared" si="4"/>
        <v>0.27893656793033017</v>
      </c>
      <c r="AD8">
        <f t="shared" si="15"/>
        <v>4.6178286232860778E-2</v>
      </c>
      <c r="AE8" s="1"/>
      <c r="AF8">
        <f t="shared" si="16"/>
        <v>2.1999999999999999E-2</v>
      </c>
      <c r="AG8">
        <f t="shared" si="17"/>
        <v>1.1670841339312754E-3</v>
      </c>
      <c r="AI8" s="3">
        <f t="shared" si="18"/>
        <v>8.1895389920500286E-3</v>
      </c>
      <c r="AJ8" s="1"/>
      <c r="AK8">
        <f t="shared" si="19"/>
        <v>4.0224252384108201</v>
      </c>
      <c r="AL8">
        <f t="shared" si="20"/>
        <v>-6.0453081601726799E-3</v>
      </c>
      <c r="AM8">
        <f t="shared" si="32"/>
        <v>0.27893656793033017</v>
      </c>
      <c r="AN8">
        <f t="shared" si="5"/>
        <v>6.9345370366792058E-2</v>
      </c>
      <c r="AO8">
        <f t="shared" si="21"/>
        <v>7.7805608928751699E-2</v>
      </c>
      <c r="AR8" s="1"/>
      <c r="AS8">
        <f t="shared" si="22"/>
        <v>4.0224252384108201</v>
      </c>
      <c r="AT8">
        <f t="shared" si="6"/>
        <v>2.1442308318773487E-3</v>
      </c>
      <c r="AU8">
        <f t="shared" si="7"/>
        <v>0.27893656793033017</v>
      </c>
      <c r="AV8">
        <f t="shared" si="8"/>
        <v>6.9345370366792058E-2</v>
      </c>
      <c r="AW8">
        <f t="shared" si="9"/>
        <v>7.7805608928751699E-2</v>
      </c>
      <c r="AX8" s="1"/>
      <c r="AY8">
        <f t="shared" si="23"/>
        <v>0.17025729199037526</v>
      </c>
      <c r="AZ8">
        <f t="shared" si="24"/>
        <v>9.4307924901767676E-2</v>
      </c>
      <c r="BA8">
        <f t="shared" si="25"/>
        <v>9.4307924901767676E-2</v>
      </c>
      <c r="BB8">
        <f t="shared" si="26"/>
        <v>-1.0292577965983181E-3</v>
      </c>
      <c r="BC8">
        <f t="shared" si="27"/>
        <v>2.6305928900730396E-2</v>
      </c>
      <c r="BD8">
        <f t="shared" si="27"/>
        <v>6.5398179808366912E-3</v>
      </c>
      <c r="BE8">
        <f t="shared" si="28"/>
        <v>-2.0700562689340927E-2</v>
      </c>
    </row>
    <row r="9" spans="1:58" x14ac:dyDescent="0.3">
      <c r="A9" s="1" t="s">
        <v>102</v>
      </c>
      <c r="C9" s="9">
        <v>5.93</v>
      </c>
      <c r="D9" s="9">
        <v>4.74</v>
      </c>
      <c r="H9">
        <v>25.09</v>
      </c>
      <c r="I9">
        <v>23.7</v>
      </c>
      <c r="J9">
        <f t="shared" si="10"/>
        <v>102100</v>
      </c>
      <c r="K9">
        <f t="shared" si="0"/>
        <v>1.1990196458370768</v>
      </c>
      <c r="L9">
        <f t="shared" si="1"/>
        <v>377.39628955678558</v>
      </c>
      <c r="M9">
        <f t="shared" si="11"/>
        <v>2.2307226815989276</v>
      </c>
      <c r="N9">
        <f t="shared" si="12"/>
        <v>2</v>
      </c>
      <c r="O9">
        <v>1.2</v>
      </c>
      <c r="P9" s="8">
        <v>3.5038</v>
      </c>
      <c r="Q9" s="8">
        <v>14.346500000000001</v>
      </c>
      <c r="R9" s="8">
        <v>1.9994000000000001</v>
      </c>
      <c r="S9" s="1"/>
      <c r="T9">
        <f t="shared" si="29"/>
        <v>2.0323855789953402</v>
      </c>
      <c r="U9">
        <f t="shared" si="30"/>
        <v>14.331090820942645</v>
      </c>
      <c r="V9">
        <f t="shared" si="13"/>
        <v>1.8968446127075529</v>
      </c>
      <c r="W9" s="1"/>
      <c r="X9">
        <f t="shared" si="31"/>
        <v>2.3694349333081535E-2</v>
      </c>
      <c r="Y9">
        <f t="shared" si="2"/>
        <v>13.428261621517406</v>
      </c>
      <c r="Z9">
        <f t="shared" si="14"/>
        <v>2.1921435107344194</v>
      </c>
      <c r="AA9" s="1"/>
      <c r="AB9">
        <f t="shared" si="3"/>
        <v>3.1044173681596954E-3</v>
      </c>
      <c r="AC9">
        <f t="shared" si="4"/>
        <v>0.27797913445653932</v>
      </c>
      <c r="AD9">
        <f t="shared" si="15"/>
        <v>4.5379675559941456E-2</v>
      </c>
      <c r="AE9" s="1"/>
      <c r="AF9">
        <f t="shared" si="16"/>
        <v>2.1999999999999999E-2</v>
      </c>
      <c r="AG9">
        <f t="shared" si="17"/>
        <v>1.1590859878981015E-3</v>
      </c>
      <c r="AI9" s="3">
        <f t="shared" si="18"/>
        <v>8.1614288778972567E-3</v>
      </c>
      <c r="AJ9" s="1"/>
      <c r="AK9">
        <f t="shared" si="19"/>
        <v>4.0557945340537254</v>
      </c>
      <c r="AL9">
        <f t="shared" si="20"/>
        <v>-5.0570115097375613E-3</v>
      </c>
      <c r="AM9">
        <f t="shared" si="32"/>
        <v>0.27797913445653932</v>
      </c>
      <c r="AN9">
        <f t="shared" si="5"/>
        <v>6.8538761547839555E-2</v>
      </c>
      <c r="AO9">
        <f t="shared" si="21"/>
        <v>7.7272399193206762E-2</v>
      </c>
      <c r="AR9" s="1"/>
      <c r="AS9">
        <f t="shared" si="22"/>
        <v>4.0557945340537254</v>
      </c>
      <c r="AT9">
        <f t="shared" si="6"/>
        <v>3.1044173681596954E-3</v>
      </c>
      <c r="AU9">
        <f t="shared" si="7"/>
        <v>0.27797913445653932</v>
      </c>
      <c r="AV9">
        <f t="shared" si="8"/>
        <v>6.8538761547839555E-2</v>
      </c>
      <c r="AW9">
        <f t="shared" si="9"/>
        <v>7.7272399193206762E-2</v>
      </c>
      <c r="AX9" s="1"/>
      <c r="AY9">
        <f t="shared" si="23"/>
        <v>0.17025948275529426</v>
      </c>
      <c r="AZ9">
        <f t="shared" si="24"/>
        <v>9.4310115666686622E-2</v>
      </c>
      <c r="BA9">
        <f t="shared" si="25"/>
        <v>9.4310115666686622E-2</v>
      </c>
      <c r="BB9">
        <f t="shared" si="26"/>
        <v>-8.6100416393548689E-4</v>
      </c>
      <c r="BC9">
        <f t="shared" si="27"/>
        <v>2.6216244323521657E-2</v>
      </c>
      <c r="BD9">
        <f t="shared" si="27"/>
        <v>6.4638985292282021E-3</v>
      </c>
      <c r="BE9">
        <f t="shared" si="28"/>
        <v>-1.7460279909435227E-2</v>
      </c>
    </row>
    <row r="10" spans="1:58" x14ac:dyDescent="0.3">
      <c r="A10" s="1" t="s">
        <v>103</v>
      </c>
      <c r="B10" t="s">
        <v>5</v>
      </c>
      <c r="C10" s="2">
        <v>0.128</v>
      </c>
      <c r="D10">
        <v>3.2000000000000001E-2</v>
      </c>
      <c r="H10">
        <v>25.06</v>
      </c>
      <c r="I10">
        <v>23.8</v>
      </c>
      <c r="J10">
        <f t="shared" si="10"/>
        <v>102100</v>
      </c>
      <c r="K10">
        <f t="shared" si="0"/>
        <v>1.1986156634766192</v>
      </c>
      <c r="L10">
        <f t="shared" si="1"/>
        <v>376.3674758398526</v>
      </c>
      <c r="M10">
        <f t="shared" si="11"/>
        <v>4.3460114012855353</v>
      </c>
      <c r="N10">
        <f t="shared" si="12"/>
        <v>4</v>
      </c>
      <c r="O10">
        <v>3.2</v>
      </c>
      <c r="P10" s="8">
        <v>5.3852000000000002</v>
      </c>
      <c r="Q10" s="8">
        <v>21.5899</v>
      </c>
      <c r="R10" s="8">
        <v>3.1484999999999999</v>
      </c>
      <c r="S10" s="1"/>
      <c r="T10">
        <f t="shared" si="29"/>
        <v>1.4631810591803114</v>
      </c>
      <c r="U10">
        <f t="shared" si="30"/>
        <v>21.480348091425988</v>
      </c>
      <c r="V10">
        <f t="shared" si="13"/>
        <v>2.8705735807815547</v>
      </c>
      <c r="W10" s="1"/>
      <c r="X10">
        <f t="shared" si="31"/>
        <v>0.22502061573226784</v>
      </c>
      <c r="Y10">
        <f t="shared" si="2"/>
        <v>20.083267502827539</v>
      </c>
      <c r="Z10">
        <f t="shared" si="14"/>
        <v>2.5003670747187212</v>
      </c>
      <c r="AA10" s="1"/>
      <c r="AB10">
        <f t="shared" si="3"/>
        <v>2.9562636661058583E-2</v>
      </c>
      <c r="AC10">
        <f t="shared" si="4"/>
        <v>0.4168812063681151</v>
      </c>
      <c r="AD10">
        <f t="shared" si="15"/>
        <v>5.1901715810193802E-2</v>
      </c>
      <c r="AE10" s="1"/>
      <c r="AF10">
        <f t="shared" si="16"/>
        <v>2.1999999999999999E-2</v>
      </c>
      <c r="AG10">
        <f t="shared" si="17"/>
        <v>2.6068491033440248E-3</v>
      </c>
      <c r="AI10" s="3">
        <f t="shared" si="18"/>
        <v>1.2239574466468889E-2</v>
      </c>
      <c r="AJ10" s="1"/>
      <c r="AK10">
        <f t="shared" si="19"/>
        <v>5.4488174865027421</v>
      </c>
      <c r="AL10">
        <f t="shared" si="20"/>
        <v>1.7323062194589692E-2</v>
      </c>
      <c r="AM10">
        <f t="shared" si="32"/>
        <v>0.4168812063681151</v>
      </c>
      <c r="AN10">
        <f t="shared" si="5"/>
        <v>7.650856491353783E-2</v>
      </c>
      <c r="AO10">
        <f t="shared" si="21"/>
        <v>0.17378994022293498</v>
      </c>
      <c r="AR10" s="1"/>
      <c r="AS10">
        <f t="shared" si="22"/>
        <v>5.4488174865027421</v>
      </c>
      <c r="AT10">
        <f t="shared" si="6"/>
        <v>2.9562636661058583E-2</v>
      </c>
      <c r="AU10">
        <f t="shared" si="7"/>
        <v>0.4168812063681151</v>
      </c>
      <c r="AV10">
        <f t="shared" si="8"/>
        <v>7.650856491353783E-2</v>
      </c>
      <c r="AW10">
        <f t="shared" si="9"/>
        <v>0.17378994022293498</v>
      </c>
      <c r="AX10" s="1"/>
      <c r="AY10">
        <f t="shared" si="23"/>
        <v>0.17010702779485831</v>
      </c>
      <c r="AZ10">
        <f t="shared" si="24"/>
        <v>9.4157660706250743E-2</v>
      </c>
      <c r="BA10">
        <f t="shared" si="25"/>
        <v>9.4157660706250743E-2</v>
      </c>
      <c r="BB10">
        <f t="shared" si="26"/>
        <v>2.946774622227128E-3</v>
      </c>
      <c r="BC10">
        <f t="shared" si="27"/>
        <v>3.9252559184021478E-2</v>
      </c>
      <c r="BD10">
        <f t="shared" si="27"/>
        <v>7.2038674962510551E-3</v>
      </c>
      <c r="BE10">
        <f t="shared" si="28"/>
        <v>8.0282185451868437E-2</v>
      </c>
    </row>
    <row r="11" spans="1:58" x14ac:dyDescent="0.3">
      <c r="A11" s="1" t="s">
        <v>104</v>
      </c>
      <c r="B11" t="s">
        <v>105</v>
      </c>
      <c r="C11">
        <v>2</v>
      </c>
      <c r="D11">
        <v>0</v>
      </c>
      <c r="H11">
        <v>25.09</v>
      </c>
      <c r="I11">
        <v>23.8</v>
      </c>
      <c r="J11">
        <f t="shared" si="10"/>
        <v>102100</v>
      </c>
      <c r="K11">
        <f t="shared" si="0"/>
        <v>1.1986156634766192</v>
      </c>
      <c r="L11">
        <f t="shared" si="1"/>
        <v>377.269134472703</v>
      </c>
      <c r="M11">
        <f t="shared" si="11"/>
        <v>4.3466024242969903</v>
      </c>
      <c r="N11">
        <f t="shared" si="12"/>
        <v>4</v>
      </c>
      <c r="O11">
        <v>3.2</v>
      </c>
      <c r="P11" s="8">
        <v>5.2831999999999999</v>
      </c>
      <c r="Q11" s="8">
        <v>21.6721</v>
      </c>
      <c r="R11" s="8">
        <v>3.1724000000000001</v>
      </c>
      <c r="S11" s="1"/>
      <c r="T11">
        <f t="shared" si="29"/>
        <v>1.3611810591803111</v>
      </c>
      <c r="U11">
        <f t="shared" si="30"/>
        <v>21.562548091425988</v>
      </c>
      <c r="V11">
        <f t="shared" si="13"/>
        <v>2.8944735807815549</v>
      </c>
      <c r="W11" s="1"/>
      <c r="X11">
        <f t="shared" si="31"/>
        <v>0.24914759573226794</v>
      </c>
      <c r="Y11">
        <f t="shared" si="2"/>
        <v>20.165767189693099</v>
      </c>
      <c r="Z11">
        <f t="shared" si="14"/>
        <v>2.4089497902967647</v>
      </c>
      <c r="AA11" s="1"/>
      <c r="AB11">
        <f t="shared" si="3"/>
        <v>3.2654148863963409E-2</v>
      </c>
      <c r="AC11">
        <f t="shared" si="4"/>
        <v>0.41759328228553078</v>
      </c>
      <c r="AD11">
        <f t="shared" si="15"/>
        <v>4.9884600983850627E-2</v>
      </c>
      <c r="AE11" s="1"/>
      <c r="AF11">
        <f t="shared" si="16"/>
        <v>2.1999999999999999E-2</v>
      </c>
      <c r="AG11">
        <f t="shared" si="17"/>
        <v>2.6157622411500446E-3</v>
      </c>
      <c r="AI11" s="3">
        <f t="shared" si="18"/>
        <v>1.2260480916757011E-2</v>
      </c>
      <c r="AJ11" s="1"/>
      <c r="AK11">
        <f t="shared" si="19"/>
        <v>5.6052516284295875</v>
      </c>
      <c r="AL11">
        <f t="shared" si="20"/>
        <v>2.0393667947206397E-2</v>
      </c>
      <c r="AM11">
        <f t="shared" si="32"/>
        <v>0.41759328228553078</v>
      </c>
      <c r="AN11">
        <f t="shared" si="5"/>
        <v>7.4500363225000671E-2</v>
      </c>
      <c r="AO11">
        <f t="shared" si="21"/>
        <v>0.17438414941000299</v>
      </c>
      <c r="AR11" s="1"/>
      <c r="AS11">
        <f t="shared" si="22"/>
        <v>5.6052516284295875</v>
      </c>
      <c r="AT11">
        <f t="shared" si="6"/>
        <v>3.2654148863963409E-2</v>
      </c>
      <c r="AU11">
        <f t="shared" si="7"/>
        <v>0.41759328228553078</v>
      </c>
      <c r="AV11">
        <f t="shared" si="8"/>
        <v>7.4500363225000671E-2</v>
      </c>
      <c r="AW11">
        <f t="shared" si="9"/>
        <v>0.17438414941000299</v>
      </c>
      <c r="AX11" s="1"/>
      <c r="AY11">
        <f t="shared" si="23"/>
        <v>0.17010721860200911</v>
      </c>
      <c r="AZ11">
        <f t="shared" si="24"/>
        <v>9.4157851513401461E-2</v>
      </c>
      <c r="BA11">
        <f t="shared" si="25"/>
        <v>9.4157851513401461E-2</v>
      </c>
      <c r="BB11">
        <f t="shared" si="26"/>
        <v>3.469110131592225E-3</v>
      </c>
      <c r="BC11">
        <f t="shared" si="27"/>
        <v>3.931968626643495E-2</v>
      </c>
      <c r="BD11">
        <f t="shared" si="27"/>
        <v>7.0147941382340878E-3</v>
      </c>
      <c r="BE11">
        <f t="shared" si="28"/>
        <v>9.722617607154449E-2</v>
      </c>
    </row>
    <row r="12" spans="1:58" x14ac:dyDescent="0.3">
      <c r="A12" s="1" t="s">
        <v>106</v>
      </c>
      <c r="B12" t="s">
        <v>105</v>
      </c>
      <c r="C12">
        <v>-3</v>
      </c>
      <c r="D12">
        <v>0</v>
      </c>
      <c r="H12">
        <v>25.09</v>
      </c>
      <c r="I12">
        <v>23.9</v>
      </c>
      <c r="J12">
        <f t="shared" si="10"/>
        <v>102100</v>
      </c>
      <c r="K12">
        <f t="shared" si="0"/>
        <v>1.1982119532497832</v>
      </c>
      <c r="L12">
        <f t="shared" si="1"/>
        <v>377.14206504377995</v>
      </c>
      <c r="M12">
        <f t="shared" si="11"/>
        <v>6.4572862386255325</v>
      </c>
      <c r="N12">
        <f t="shared" si="12"/>
        <v>6</v>
      </c>
      <c r="O12">
        <v>5.2</v>
      </c>
      <c r="P12" s="8">
        <v>6.8791000000000002</v>
      </c>
      <c r="Q12" s="8">
        <v>28.7468</v>
      </c>
      <c r="R12" s="8">
        <v>4.2538</v>
      </c>
      <c r="S12" s="1"/>
      <c r="T12">
        <f t="shared" si="29"/>
        <v>0.51125491530396605</v>
      </c>
      <c r="U12">
        <f t="shared" si="30"/>
        <v>28.457637846758075</v>
      </c>
      <c r="V12">
        <f t="shared" si="13"/>
        <v>3.7951315735347375</v>
      </c>
      <c r="W12" s="1"/>
      <c r="X12">
        <f t="shared" si="31"/>
        <v>0.43828926964567522</v>
      </c>
      <c r="Y12">
        <f t="shared" si="2"/>
        <v>26.596530328880728</v>
      </c>
      <c r="Z12">
        <f t="shared" si="14"/>
        <v>2.9030395419574759</v>
      </c>
      <c r="AA12" s="1"/>
      <c r="AB12">
        <f t="shared" si="3"/>
        <v>5.7463067642246013E-2</v>
      </c>
      <c r="AC12">
        <f t="shared" si="4"/>
        <v>0.55094727545244848</v>
      </c>
      <c r="AD12">
        <f t="shared" si="15"/>
        <v>6.013648045043718E-2</v>
      </c>
      <c r="AE12" s="1"/>
      <c r="AF12">
        <f t="shared" si="16"/>
        <v>2.1999999999999999E-2</v>
      </c>
      <c r="AG12">
        <f t="shared" si="17"/>
        <v>4.5531435049271417E-3</v>
      </c>
      <c r="AI12" s="3">
        <f t="shared" si="18"/>
        <v>1.6175735681986721E-2</v>
      </c>
      <c r="AJ12" s="1"/>
      <c r="AK12">
        <f t="shared" si="19"/>
        <v>6.3554004541088585</v>
      </c>
      <c r="AL12">
        <f t="shared" si="20"/>
        <v>4.1287331960259292E-2</v>
      </c>
      <c r="AM12">
        <f t="shared" si="32"/>
        <v>0.55094727545244848</v>
      </c>
      <c r="AN12">
        <f t="shared" si="5"/>
        <v>8.6689623955364309E-2</v>
      </c>
      <c r="AO12">
        <f t="shared" si="21"/>
        <v>0.30354290032847614</v>
      </c>
      <c r="AR12" s="1"/>
      <c r="AS12">
        <f t="shared" si="22"/>
        <v>6.3554004541088585</v>
      </c>
      <c r="AT12">
        <f t="shared" si="6"/>
        <v>5.7463067642246013E-2</v>
      </c>
      <c r="AU12">
        <f t="shared" si="7"/>
        <v>0.55094727545244848</v>
      </c>
      <c r="AV12">
        <f t="shared" si="8"/>
        <v>8.6689623955364309E-2</v>
      </c>
      <c r="AW12">
        <f t="shared" si="9"/>
        <v>0.30354290032847614</v>
      </c>
      <c r="AX12" s="1"/>
      <c r="AY12">
        <f t="shared" si="23"/>
        <v>0.17003956225407602</v>
      </c>
      <c r="AZ12">
        <f t="shared" si="24"/>
        <v>9.4090195165468418E-2</v>
      </c>
      <c r="BA12">
        <f t="shared" si="25"/>
        <v>9.4090195165468418E-2</v>
      </c>
      <c r="BB12">
        <f t="shared" si="26"/>
        <v>7.0204798531612123E-3</v>
      </c>
      <c r="BC12">
        <f t="shared" si="27"/>
        <v>5.1838736673203968E-2</v>
      </c>
      <c r="BD12">
        <f t="shared" si="27"/>
        <v>8.1566436367812942E-3</v>
      </c>
      <c r="BE12">
        <f t="shared" si="28"/>
        <v>0.22308980423421429</v>
      </c>
    </row>
    <row r="13" spans="1:58" x14ac:dyDescent="0.3">
      <c r="A13" s="1" t="s">
        <v>107</v>
      </c>
      <c r="B13" t="s">
        <v>105</v>
      </c>
      <c r="C13">
        <v>-3.5</v>
      </c>
      <c r="D13">
        <v>0</v>
      </c>
      <c r="H13">
        <v>25.09</v>
      </c>
      <c r="I13">
        <v>23.9</v>
      </c>
      <c r="J13">
        <f t="shared" si="10"/>
        <v>102100</v>
      </c>
      <c r="K13">
        <f t="shared" si="0"/>
        <v>1.1982119532497832</v>
      </c>
      <c r="L13">
        <f t="shared" si="1"/>
        <v>377.14206504377995</v>
      </c>
      <c r="M13">
        <f t="shared" si="11"/>
        <v>6.4569943983723297</v>
      </c>
      <c r="N13">
        <f t="shared" si="12"/>
        <v>6</v>
      </c>
      <c r="O13">
        <v>5.2</v>
      </c>
      <c r="P13" s="8">
        <v>6.8343999999999996</v>
      </c>
      <c r="Q13" s="8">
        <f>28.7246</f>
        <v>28.724599999999999</v>
      </c>
      <c r="R13" s="8">
        <v>4.2503000000000002</v>
      </c>
      <c r="S13" s="1"/>
      <c r="T13">
        <f t="shared" si="29"/>
        <v>0.46655491530396542</v>
      </c>
      <c r="U13">
        <f t="shared" si="30"/>
        <v>28.435437846758074</v>
      </c>
      <c r="V13">
        <f t="shared" si="13"/>
        <v>3.7916315735347377</v>
      </c>
      <c r="W13" s="1"/>
      <c r="X13">
        <f t="shared" si="31"/>
        <v>0.44202106964567528</v>
      </c>
      <c r="Y13">
        <f t="shared" si="2"/>
        <v>26.579556413005157</v>
      </c>
      <c r="Z13">
        <f t="shared" si="14"/>
        <v>2.8593031506128619</v>
      </c>
      <c r="AA13" s="1"/>
      <c r="AB13">
        <f t="shared" si="3"/>
        <v>5.795233509796241E-2</v>
      </c>
      <c r="AC13">
        <f t="shared" si="4"/>
        <v>0.55059566068955401</v>
      </c>
      <c r="AD13">
        <f t="shared" si="15"/>
        <v>5.9230480857577837E-2</v>
      </c>
      <c r="AE13" s="1"/>
      <c r="AF13">
        <f t="shared" si="16"/>
        <v>2.1999999999999999E-2</v>
      </c>
      <c r="AG13">
        <f t="shared" si="17"/>
        <v>4.5473337235524972E-3</v>
      </c>
      <c r="AI13" s="3">
        <f t="shared" si="18"/>
        <v>1.6165412321258975E-2</v>
      </c>
      <c r="AJ13" s="1"/>
      <c r="AK13">
        <f t="shared" si="19"/>
        <v>6.4188585752413854</v>
      </c>
      <c r="AL13">
        <f t="shared" si="20"/>
        <v>4.1786922776703435E-2</v>
      </c>
      <c r="AM13">
        <f t="shared" si="32"/>
        <v>0.55059566068955401</v>
      </c>
      <c r="AN13">
        <f t="shared" si="5"/>
        <v>8.5777814581130332E-2</v>
      </c>
      <c r="AO13">
        <f t="shared" si="21"/>
        <v>0.30315558157016648</v>
      </c>
      <c r="AR13" s="1"/>
      <c r="AS13">
        <f t="shared" si="22"/>
        <v>6.4188585752413854</v>
      </c>
      <c r="AT13">
        <f t="shared" si="6"/>
        <v>5.795233509796241E-2</v>
      </c>
      <c r="AU13">
        <f t="shared" si="7"/>
        <v>0.55059566068955401</v>
      </c>
      <c r="AV13">
        <f t="shared" si="8"/>
        <v>8.5777814581130332E-2</v>
      </c>
      <c r="AW13">
        <f t="shared" si="9"/>
        <v>0.30315558157016648</v>
      </c>
      <c r="AX13" s="1"/>
      <c r="AY13">
        <f t="shared" si="23"/>
        <v>0.17004014787403013</v>
      </c>
      <c r="AZ13">
        <f t="shared" si="24"/>
        <v>9.4090780785422531E-2</v>
      </c>
      <c r="BA13">
        <f t="shared" si="25"/>
        <v>9.4090780785422531E-2</v>
      </c>
      <c r="BB13">
        <f t="shared" si="26"/>
        <v>7.1054545281513297E-3</v>
      </c>
      <c r="BC13">
        <f t="shared" si="27"/>
        <v>5.1805975611345714E-2</v>
      </c>
      <c r="BD13">
        <f t="shared" si="27"/>
        <v>8.0709015480057537E-3</v>
      </c>
      <c r="BE13">
        <f t="shared" si="28"/>
        <v>0.22804453864505947</v>
      </c>
    </row>
    <row r="14" spans="1:58" x14ac:dyDescent="0.3">
      <c r="A14" s="1" t="s">
        <v>108</v>
      </c>
      <c r="C14" t="s">
        <v>109</v>
      </c>
      <c r="D14" t="s">
        <v>110</v>
      </c>
      <c r="H14">
        <v>25.09</v>
      </c>
      <c r="I14">
        <v>24</v>
      </c>
      <c r="J14">
        <f t="shared" si="10"/>
        <v>102100</v>
      </c>
      <c r="K14">
        <f t="shared" si="0"/>
        <v>1.1978085148816857</v>
      </c>
      <c r="L14">
        <f t="shared" si="1"/>
        <v>377.01508118349585</v>
      </c>
      <c r="M14">
        <f t="shared" si="11"/>
        <v>8.5458100371670618</v>
      </c>
      <c r="N14">
        <f t="shared" si="12"/>
        <v>8</v>
      </c>
      <c r="O14">
        <v>7.2</v>
      </c>
      <c r="P14" s="8">
        <v>8.2051999999999996</v>
      </c>
      <c r="Q14" s="8">
        <v>34.506599999999999</v>
      </c>
      <c r="R14" s="8">
        <v>5.2057000000000002</v>
      </c>
      <c r="S14" s="1"/>
      <c r="T14">
        <f t="shared" si="29"/>
        <v>-0.60071299022801838</v>
      </c>
      <c r="U14">
        <f t="shared" si="30"/>
        <v>33.952578914355215</v>
      </c>
      <c r="V14">
        <f t="shared" si="13"/>
        <v>4.5611387972617603</v>
      </c>
      <c r="W14" s="1"/>
      <c r="X14">
        <f t="shared" si="31"/>
        <v>0.6793104119738328</v>
      </c>
      <c r="Y14">
        <f t="shared" si="2"/>
        <v>31.734533470582253</v>
      </c>
      <c r="Z14">
        <f t="shared" si="14"/>
        <v>3.4398456954491037</v>
      </c>
      <c r="AA14" s="1"/>
      <c r="AB14">
        <f t="shared" si="3"/>
        <v>8.9092776094984824E-2</v>
      </c>
      <c r="AC14">
        <f t="shared" si="4"/>
        <v>0.65760245441814702</v>
      </c>
      <c r="AD14">
        <f t="shared" si="15"/>
        <v>7.1280423083702749E-2</v>
      </c>
      <c r="AE14" s="1"/>
      <c r="AF14">
        <f t="shared" si="16"/>
        <v>2.1999999999999999E-2</v>
      </c>
      <c r="AG14">
        <f t="shared" si="17"/>
        <v>6.4866148208515663E-3</v>
      </c>
      <c r="AI14" s="3">
        <f t="shared" si="18"/>
        <v>1.9307116960979961E-2</v>
      </c>
      <c r="AJ14" s="1"/>
      <c r="AK14">
        <f t="shared" si="19"/>
        <v>6.5913799610575374</v>
      </c>
      <c r="AL14">
        <f t="shared" si="20"/>
        <v>6.9785659134004863E-2</v>
      </c>
      <c r="AM14">
        <f t="shared" si="32"/>
        <v>0.65760245441814702</v>
      </c>
      <c r="AN14">
        <f t="shared" si="5"/>
        <v>9.9767037904554309E-2</v>
      </c>
      <c r="AO14">
        <f t="shared" si="21"/>
        <v>0.43244098805677111</v>
      </c>
      <c r="AR14" s="1"/>
      <c r="AS14">
        <f t="shared" si="22"/>
        <v>6.5913799610575374</v>
      </c>
      <c r="AT14">
        <f t="shared" si="6"/>
        <v>8.9092776094984824E-2</v>
      </c>
      <c r="AU14">
        <f t="shared" si="7"/>
        <v>0.65760245441814702</v>
      </c>
      <c r="AV14">
        <f t="shared" si="8"/>
        <v>9.9767037904554309E-2</v>
      </c>
      <c r="AW14">
        <f t="shared" si="9"/>
        <v>0.43244098805677111</v>
      </c>
      <c r="AX14" s="1"/>
      <c r="AY14">
        <f t="shared" si="23"/>
        <v>0.17000346328863994</v>
      </c>
      <c r="AZ14">
        <f t="shared" si="24"/>
        <v>9.4054096200032314E-2</v>
      </c>
      <c r="BA14">
        <f t="shared" si="25"/>
        <v>9.4054096200032314E-2</v>
      </c>
      <c r="BB14">
        <f t="shared" si="26"/>
        <v>1.1863803740661335E-2</v>
      </c>
      <c r="BC14">
        <f t="shared" si="27"/>
        <v>6.1850204509221768E-2</v>
      </c>
      <c r="BD14">
        <f t="shared" si="27"/>
        <v>9.3834985806672214E-3</v>
      </c>
      <c r="BE14">
        <f t="shared" si="28"/>
        <v>0.39099419119057288</v>
      </c>
    </row>
    <row r="15" spans="1:58" x14ac:dyDescent="0.3">
      <c r="A15" s="1" t="s">
        <v>111</v>
      </c>
      <c r="C15" t="s">
        <v>112</v>
      </c>
      <c r="D15" t="s">
        <v>110</v>
      </c>
      <c r="H15">
        <v>25.09</v>
      </c>
      <c r="I15">
        <v>24</v>
      </c>
      <c r="J15">
        <f t="shared" si="10"/>
        <v>102100</v>
      </c>
      <c r="K15">
        <f t="shared" si="0"/>
        <v>1.1978085148816857</v>
      </c>
      <c r="L15">
        <f t="shared" si="1"/>
        <v>377.01508118349585</v>
      </c>
      <c r="M15">
        <f t="shared" si="11"/>
        <v>8.5463860042831783</v>
      </c>
      <c r="N15">
        <f t="shared" si="12"/>
        <v>8</v>
      </c>
      <c r="O15">
        <v>7.2</v>
      </c>
      <c r="P15" s="8">
        <v>8.1141000000000005</v>
      </c>
      <c r="Q15" s="8">
        <v>34.530999999999999</v>
      </c>
      <c r="R15" s="8">
        <v>5.1978999999999997</v>
      </c>
      <c r="S15" s="1"/>
      <c r="T15">
        <f t="shared" si="29"/>
        <v>-0.69181299022801745</v>
      </c>
      <c r="U15">
        <f t="shared" si="30"/>
        <v>33.976978914355215</v>
      </c>
      <c r="V15">
        <f t="shared" si="13"/>
        <v>4.5533387972617589</v>
      </c>
      <c r="W15" s="1"/>
      <c r="X15">
        <f t="shared" si="31"/>
        <v>0.67876051197383136</v>
      </c>
      <c r="Y15">
        <f t="shared" si="2"/>
        <v>31.76802139949465</v>
      </c>
      <c r="Z15">
        <f t="shared" si="14"/>
        <v>3.3577615881617713</v>
      </c>
      <c r="AA15" s="1"/>
      <c r="AB15">
        <f t="shared" si="3"/>
        <v>8.902065572598826E-2</v>
      </c>
      <c r="AC15">
        <f t="shared" si="4"/>
        <v>0.65829639070262358</v>
      </c>
      <c r="AD15">
        <f t="shared" si="15"/>
        <v>6.9579477630355838E-2</v>
      </c>
      <c r="AE15" s="1"/>
      <c r="AF15">
        <f t="shared" si="16"/>
        <v>2.1999999999999999E-2</v>
      </c>
      <c r="AG15">
        <f t="shared" si="17"/>
        <v>6.500312070181518E-3</v>
      </c>
      <c r="AI15" s="3">
        <f t="shared" si="18"/>
        <v>1.9327490834157961E-2</v>
      </c>
      <c r="AJ15" s="1"/>
      <c r="AK15">
        <f t="shared" si="19"/>
        <v>6.711845454732015</v>
      </c>
      <c r="AL15">
        <f t="shared" si="20"/>
        <v>6.9693164891830306E-2</v>
      </c>
      <c r="AM15">
        <f t="shared" si="32"/>
        <v>0.65829639070262358</v>
      </c>
      <c r="AN15">
        <f t="shared" si="5"/>
        <v>9.8079789700537365E-2</v>
      </c>
      <c r="AO15">
        <f t="shared" si="21"/>
        <v>0.43335413801210121</v>
      </c>
      <c r="AR15" s="1"/>
      <c r="AS15">
        <f t="shared" si="22"/>
        <v>6.711845454732015</v>
      </c>
      <c r="AT15">
        <f t="shared" si="6"/>
        <v>8.902065572598826E-2</v>
      </c>
      <c r="AU15">
        <f t="shared" si="7"/>
        <v>0.65829639070262358</v>
      </c>
      <c r="AV15">
        <f t="shared" si="8"/>
        <v>9.8079789700537365E-2</v>
      </c>
      <c r="AW15">
        <f t="shared" si="9"/>
        <v>0.43335413801210121</v>
      </c>
      <c r="AX15" s="1"/>
      <c r="AY15">
        <f t="shared" si="23"/>
        <v>0.17000428134275405</v>
      </c>
      <c r="AZ15">
        <f t="shared" si="24"/>
        <v>9.4054914254146429E-2</v>
      </c>
      <c r="BA15">
        <f t="shared" si="25"/>
        <v>9.4054914254146429E-2</v>
      </c>
      <c r="BB15">
        <f t="shared" si="26"/>
        <v>1.1848136411937668E-2</v>
      </c>
      <c r="BC15">
        <f t="shared" si="27"/>
        <v>6.1916010581349337E-2</v>
      </c>
      <c r="BD15">
        <f t="shared" si="27"/>
        <v>9.2248862103487556E-3</v>
      </c>
      <c r="BE15">
        <f t="shared" si="28"/>
        <v>0.3976143026175436</v>
      </c>
    </row>
    <row r="16" spans="1:58" x14ac:dyDescent="0.3">
      <c r="H16">
        <v>25.09</v>
      </c>
      <c r="I16">
        <v>24.1</v>
      </c>
      <c r="J16">
        <f t="shared" si="10"/>
        <v>102100</v>
      </c>
      <c r="K16">
        <f t="shared" si="0"/>
        <v>1.1974053480978142</v>
      </c>
      <c r="L16">
        <f t="shared" si="1"/>
        <v>376.88818280544683</v>
      </c>
      <c r="M16">
        <f t="shared" si="11"/>
        <v>10.621415369287657</v>
      </c>
      <c r="N16">
        <f t="shared" si="12"/>
        <v>10</v>
      </c>
      <c r="O16">
        <v>9.1999999999999993</v>
      </c>
      <c r="P16" s="8">
        <v>9.4614999999999991</v>
      </c>
      <c r="Q16" s="8">
        <v>39.541200000000003</v>
      </c>
      <c r="R16" s="8">
        <v>6.0057999999999998</v>
      </c>
      <c r="S16" s="1"/>
      <c r="T16">
        <f t="shared" si="29"/>
        <v>-1.7717522472283189</v>
      </c>
      <c r="U16">
        <f t="shared" si="30"/>
        <v>38.637393984028137</v>
      </c>
      <c r="V16">
        <f t="shared" si="13"/>
        <v>5.1704217336759219</v>
      </c>
      <c r="W16" s="1"/>
      <c r="X16">
        <f t="shared" si="31"/>
        <v>0.86669332234533281</v>
      </c>
      <c r="Y16">
        <f t="shared" si="2"/>
        <v>36.118224084541822</v>
      </c>
      <c r="Z16">
        <f t="shared" si="14"/>
        <v>4.1627256509089285</v>
      </c>
      <c r="AA16" s="1"/>
      <c r="AB16">
        <f t="shared" si="3"/>
        <v>0.11370665227684811</v>
      </c>
      <c r="AC16">
        <f t="shared" si="4"/>
        <v>0.74869321600922578</v>
      </c>
      <c r="AD16">
        <f t="shared" si="15"/>
        <v>8.6288972781388043E-2</v>
      </c>
      <c r="AE16" s="1"/>
      <c r="AF16">
        <f t="shared" si="16"/>
        <v>2.1999999999999999E-2</v>
      </c>
      <c r="AG16">
        <f t="shared" si="17"/>
        <v>8.4081229754735566E-3</v>
      </c>
      <c r="AI16" s="3">
        <f t="shared" si="18"/>
        <v>2.1981529102065741E-2</v>
      </c>
      <c r="AJ16" s="1"/>
      <c r="AK16">
        <f t="shared" si="19"/>
        <v>6.4156970758649221</v>
      </c>
      <c r="AL16">
        <f t="shared" si="20"/>
        <v>9.1725123174782361E-2</v>
      </c>
      <c r="AM16">
        <f t="shared" si="32"/>
        <v>0.74869321600922578</v>
      </c>
      <c r="AN16">
        <f t="shared" si="5"/>
        <v>0.1166970957568616</v>
      </c>
      <c r="AO16">
        <f t="shared" si="21"/>
        <v>0.56054153169823717</v>
      </c>
      <c r="AR16" s="1"/>
      <c r="AS16">
        <f t="shared" si="22"/>
        <v>6.4156970758649221</v>
      </c>
      <c r="AT16">
        <f t="shared" si="6"/>
        <v>0.11370665227684811</v>
      </c>
      <c r="AU16">
        <f t="shared" si="7"/>
        <v>0.74869321600922578</v>
      </c>
      <c r="AV16">
        <f t="shared" si="8"/>
        <v>0.1166970957568616</v>
      </c>
      <c r="AW16">
        <f t="shared" si="9"/>
        <v>0.56054153169823717</v>
      </c>
      <c r="AX16" s="1"/>
      <c r="AY16">
        <f t="shared" si="23"/>
        <v>0.16998077606893044</v>
      </c>
      <c r="AZ16">
        <f t="shared" si="24"/>
        <v>9.4031408980322834E-2</v>
      </c>
      <c r="BA16">
        <f t="shared" si="25"/>
        <v>9.4031408980322834E-2</v>
      </c>
      <c r="BB16">
        <f t="shared" si="26"/>
        <v>1.5591507622267744E-2</v>
      </c>
      <c r="BC16">
        <f t="shared" si="27"/>
        <v>7.0400677995356695E-2</v>
      </c>
      <c r="BD16">
        <f t="shared" si="27"/>
        <v>1.0973192337929349E-2</v>
      </c>
      <c r="BE16">
        <f t="shared" si="28"/>
        <v>0.50015194930254403</v>
      </c>
    </row>
    <row r="17" spans="1:58" x14ac:dyDescent="0.3">
      <c r="H17">
        <v>25.09</v>
      </c>
      <c r="I17">
        <v>24.1</v>
      </c>
      <c r="J17">
        <f t="shared" si="10"/>
        <v>102100</v>
      </c>
      <c r="K17">
        <f t="shared" si="0"/>
        <v>1.1974053480978142</v>
      </c>
      <c r="L17">
        <f t="shared" si="1"/>
        <v>376.88818280544683</v>
      </c>
      <c r="M17">
        <f t="shared" si="11"/>
        <v>10.621860739173941</v>
      </c>
      <c r="N17">
        <f t="shared" si="12"/>
        <v>10</v>
      </c>
      <c r="O17">
        <v>9.1999999999999993</v>
      </c>
      <c r="P17" s="8">
        <v>9.4609000000000005</v>
      </c>
      <c r="Q17" s="8">
        <v>39.569000000000003</v>
      </c>
      <c r="R17" s="8">
        <v>6.0263999999999998</v>
      </c>
      <c r="S17" s="1"/>
      <c r="T17">
        <f t="shared" si="29"/>
        <v>-1.7723522472283175</v>
      </c>
      <c r="U17">
        <f t="shared" si="30"/>
        <v>38.665193984028136</v>
      </c>
      <c r="V17">
        <f t="shared" si="13"/>
        <v>5.1910217336759219</v>
      </c>
      <c r="W17" s="1"/>
      <c r="X17">
        <f t="shared" si="31"/>
        <v>0.88311418234533257</v>
      </c>
      <c r="Y17">
        <f t="shared" si="2"/>
        <v>36.144110102410572</v>
      </c>
      <c r="Z17">
        <f t="shared" si="14"/>
        <v>4.1663469212521926</v>
      </c>
      <c r="AA17" s="1"/>
      <c r="AB17">
        <f t="shared" si="3"/>
        <v>0.11586100257581441</v>
      </c>
      <c r="AC17">
        <f t="shared" si="4"/>
        <v>0.74922980623366375</v>
      </c>
      <c r="AD17">
        <f t="shared" si="15"/>
        <v>8.6364037948850073E-2</v>
      </c>
      <c r="AE17" s="1"/>
      <c r="AF17">
        <f t="shared" si="16"/>
        <v>2.1999999999999999E-2</v>
      </c>
      <c r="AG17">
        <f t="shared" si="17"/>
        <v>8.4201795382339989E-3</v>
      </c>
      <c r="AI17" s="3">
        <f t="shared" si="18"/>
        <v>2.1997283316718894E-2</v>
      </c>
      <c r="AJ17" s="1"/>
      <c r="AK17">
        <f t="shared" si="19"/>
        <v>6.4155056424171866</v>
      </c>
      <c r="AL17">
        <f t="shared" si="20"/>
        <v>9.3863719259095521E-2</v>
      </c>
      <c r="AM17">
        <f>AC17</f>
        <v>0.74922980623366375</v>
      </c>
      <c r="AN17">
        <f t="shared" si="5"/>
        <v>0.11678421748708408</v>
      </c>
      <c r="AO17">
        <f t="shared" si="21"/>
        <v>0.56134530254893333</v>
      </c>
      <c r="AR17" s="1"/>
      <c r="AS17">
        <f t="shared" si="22"/>
        <v>6.4155056424171866</v>
      </c>
      <c r="AT17">
        <f t="shared" si="6"/>
        <v>0.11586100257581441</v>
      </c>
      <c r="AU17">
        <f t="shared" si="7"/>
        <v>0.74922980623366375</v>
      </c>
      <c r="AV17">
        <f t="shared" si="8"/>
        <v>0.11678421748708408</v>
      </c>
      <c r="AW17">
        <f t="shared" si="9"/>
        <v>0.56134530254893333</v>
      </c>
      <c r="AX17" s="1"/>
      <c r="AY17">
        <f t="shared" si="23"/>
        <v>0.16998048595368234</v>
      </c>
      <c r="AZ17">
        <f t="shared" si="24"/>
        <v>9.4031118865074717E-2</v>
      </c>
      <c r="BA17">
        <f t="shared" si="25"/>
        <v>9.4031118865074717E-2</v>
      </c>
      <c r="BB17">
        <f t="shared" si="26"/>
        <v>1.5955000613081069E-2</v>
      </c>
      <c r="BC17">
        <f t="shared" si="27"/>
        <v>7.0450916967214533E-2</v>
      </c>
      <c r="BD17">
        <f t="shared" si="27"/>
        <v>1.098135063609274E-2</v>
      </c>
      <c r="BE17">
        <f t="shared" si="28"/>
        <v>0.5117969822899564</v>
      </c>
    </row>
    <row r="18" spans="1:58" x14ac:dyDescent="0.3">
      <c r="H18">
        <v>25.09</v>
      </c>
      <c r="I18">
        <v>24.2</v>
      </c>
      <c r="J18">
        <f t="shared" si="10"/>
        <v>102100</v>
      </c>
      <c r="K18">
        <f t="shared" si="0"/>
        <v>1.1970024526240264</v>
      </c>
      <c r="L18">
        <f t="shared" si="1"/>
        <v>376.76136982334543</v>
      </c>
      <c r="M18">
        <f t="shared" si="11"/>
        <v>12.685404220179734</v>
      </c>
      <c r="N18">
        <f t="shared" si="12"/>
        <v>12</v>
      </c>
      <c r="O18">
        <v>11.2</v>
      </c>
      <c r="P18" s="8">
        <v>10.6082</v>
      </c>
      <c r="Q18" s="8">
        <v>43.924900000000001</v>
      </c>
      <c r="R18" s="8">
        <v>6.7102000000000004</v>
      </c>
      <c r="S18" s="1"/>
      <c r="T18">
        <f t="shared" si="29"/>
        <v>-3.0387055167152308</v>
      </c>
      <c r="U18">
        <f t="shared" si="30"/>
        <v>42.586809214834197</v>
      </c>
      <c r="V18">
        <f t="shared" si="13"/>
        <v>5.6793128639760901</v>
      </c>
      <c r="W18" s="1"/>
      <c r="X18">
        <f t="shared" si="31"/>
        <v>1.0491221664423025</v>
      </c>
      <c r="Y18">
        <f t="shared" si="2"/>
        <v>39.824012781126683</v>
      </c>
      <c r="Z18">
        <f t="shared" si="14"/>
        <v>4.9735281711924753</v>
      </c>
      <c r="AA18" s="1"/>
      <c r="AB18">
        <f t="shared" si="3"/>
        <v>0.13768690549848006</v>
      </c>
      <c r="AC18">
        <f t="shared" si="4"/>
        <v>0.82578821708401651</v>
      </c>
      <c r="AD18">
        <f t="shared" si="15"/>
        <v>0.10313076644683539</v>
      </c>
      <c r="AE18" s="1"/>
      <c r="AF18">
        <f t="shared" si="16"/>
        <v>2.1999999999999999E-2</v>
      </c>
      <c r="AG18">
        <f t="shared" si="17"/>
        <v>1.0228892692121981E-2</v>
      </c>
      <c r="AI18" s="3">
        <f t="shared" si="18"/>
        <v>2.4245027653291319E-2</v>
      </c>
      <c r="AJ18" s="1"/>
      <c r="AK18">
        <f t="shared" si="19"/>
        <v>6.1006966354449794</v>
      </c>
      <c r="AL18">
        <f t="shared" si="20"/>
        <v>0.11344187784518875</v>
      </c>
      <c r="AM18">
        <f t="shared" si="32"/>
        <v>0.82578821708401651</v>
      </c>
      <c r="AN18">
        <f t="shared" si="5"/>
        <v>0.13535965913895737</v>
      </c>
      <c r="AO18">
        <f t="shared" si="21"/>
        <v>0.68192617947479872</v>
      </c>
      <c r="AR18" s="1"/>
      <c r="AS18">
        <f t="shared" si="22"/>
        <v>6.1006966354449794</v>
      </c>
      <c r="AT18">
        <f t="shared" si="6"/>
        <v>0.13768690549848006</v>
      </c>
      <c r="AU18">
        <f t="shared" si="7"/>
        <v>0.82578821708401651</v>
      </c>
      <c r="AV18">
        <f t="shared" si="8"/>
        <v>0.13535965913895737</v>
      </c>
      <c r="AW18">
        <f t="shared" si="9"/>
        <v>0.68192617947479872</v>
      </c>
      <c r="AX18" s="1"/>
      <c r="AY18">
        <f t="shared" si="23"/>
        <v>0.16996510692709899</v>
      </c>
      <c r="AZ18">
        <f t="shared" si="24"/>
        <v>9.4015739838491402E-2</v>
      </c>
      <c r="BA18">
        <f t="shared" si="25"/>
        <v>9.4015739838491402E-2</v>
      </c>
      <c r="BB18">
        <f t="shared" si="26"/>
        <v>1.9281160897968407E-2</v>
      </c>
      <c r="BC18">
        <f t="shared" si="27"/>
        <v>7.7637090179062562E-2</v>
      </c>
      <c r="BD18">
        <f t="shared" si="27"/>
        <v>1.2725938498235091E-2</v>
      </c>
      <c r="BE18">
        <f t="shared" si="28"/>
        <v>0.58814256708854573</v>
      </c>
    </row>
    <row r="19" spans="1:58" x14ac:dyDescent="0.3">
      <c r="H19">
        <v>25.09</v>
      </c>
      <c r="I19">
        <v>24.1</v>
      </c>
      <c r="J19">
        <f t="shared" si="10"/>
        <v>102100</v>
      </c>
      <c r="K19">
        <f t="shared" si="0"/>
        <v>1.1974053480978142</v>
      </c>
      <c r="L19">
        <f t="shared" si="1"/>
        <v>376.88818280544683</v>
      </c>
      <c r="M19">
        <f t="shared" si="11"/>
        <v>12.683041340202985</v>
      </c>
      <c r="N19">
        <f t="shared" si="12"/>
        <v>12</v>
      </c>
      <c r="O19">
        <v>11.2</v>
      </c>
      <c r="P19" s="8">
        <v>10.7072</v>
      </c>
      <c r="Q19" s="8">
        <v>43.810099999999998</v>
      </c>
      <c r="R19" s="8">
        <v>6.7378999999999998</v>
      </c>
      <c r="S19" s="1"/>
      <c r="T19">
        <f t="shared" si="29"/>
        <v>-2.9397055167152306</v>
      </c>
      <c r="U19">
        <f t="shared" si="30"/>
        <v>42.472009214834195</v>
      </c>
      <c r="V19">
        <f t="shared" si="13"/>
        <v>5.7070128639760895</v>
      </c>
      <c r="W19" s="1"/>
      <c r="X19">
        <f t="shared" si="31"/>
        <v>1.0773334464423028</v>
      </c>
      <c r="Y19">
        <f t="shared" si="2"/>
        <v>39.700080499678108</v>
      </c>
      <c r="Z19">
        <f t="shared" si="14"/>
        <v>5.0438556406404222</v>
      </c>
      <c r="AA19" s="1"/>
      <c r="AB19">
        <f t="shared" si="3"/>
        <v>0.14134178309963177</v>
      </c>
      <c r="AC19">
        <f t="shared" si="4"/>
        <v>0.82294137373853682</v>
      </c>
      <c r="AD19">
        <f t="shared" si="15"/>
        <v>0.10455388093938882</v>
      </c>
      <c r="AE19" s="1"/>
      <c r="AF19">
        <f t="shared" si="16"/>
        <v>2.1999999999999999E-2</v>
      </c>
      <c r="AG19">
        <f t="shared" si="17"/>
        <v>1.0158487569160051E-2</v>
      </c>
      <c r="AI19" s="3">
        <f t="shared" si="18"/>
        <v>2.4161444727054532E-2</v>
      </c>
      <c r="AJ19" s="1"/>
      <c r="AK19">
        <f t="shared" si="19"/>
        <v>6.019509300558104</v>
      </c>
      <c r="AL19">
        <f t="shared" si="20"/>
        <v>0.11718033837257724</v>
      </c>
      <c r="AM19">
        <f t="shared" si="32"/>
        <v>0.82294137373853682</v>
      </c>
      <c r="AN19">
        <f t="shared" si="5"/>
        <v>0.13671236850854887</v>
      </c>
      <c r="AO19">
        <f t="shared" si="21"/>
        <v>0.67723250461067008</v>
      </c>
      <c r="AR19" s="1"/>
      <c r="AS19">
        <f t="shared" si="22"/>
        <v>6.019509300558104</v>
      </c>
      <c r="AT19">
        <f t="shared" si="6"/>
        <v>0.14134178309963177</v>
      </c>
      <c r="AU19">
        <f t="shared" si="7"/>
        <v>0.82294137373853682</v>
      </c>
      <c r="AV19">
        <f t="shared" si="8"/>
        <v>0.13671236850854887</v>
      </c>
      <c r="AW19">
        <f t="shared" si="9"/>
        <v>0.67723250461067008</v>
      </c>
      <c r="AX19" s="1"/>
      <c r="AY19">
        <f t="shared" si="23"/>
        <v>0.16996434997134272</v>
      </c>
      <c r="AZ19">
        <f t="shared" si="24"/>
        <v>9.4014982882735118E-2</v>
      </c>
      <c r="BA19">
        <f t="shared" si="25"/>
        <v>9.4014982882735118E-2</v>
      </c>
      <c r="BB19">
        <f t="shared" si="26"/>
        <v>1.9916480040917079E-2</v>
      </c>
      <c r="BC19">
        <f t="shared" si="27"/>
        <v>7.7368819165523059E-2</v>
      </c>
      <c r="BD19">
        <f t="shared" si="27"/>
        <v>1.2853010985189397E-2</v>
      </c>
      <c r="BE19">
        <f t="shared" si="28"/>
        <v>0.59943718420340097</v>
      </c>
    </row>
    <row r="20" spans="1:58" x14ac:dyDescent="0.3">
      <c r="A20" s="37" t="s">
        <v>113</v>
      </c>
      <c r="B20" s="37"/>
      <c r="C20" s="37"/>
      <c r="D20" s="37"/>
      <c r="F20" s="37" t="s">
        <v>119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24"/>
    </row>
    <row r="21" spans="1:58" x14ac:dyDescent="0.3">
      <c r="A21" s="1"/>
      <c r="B21" s="1" t="s">
        <v>114</v>
      </c>
      <c r="C21" s="1" t="s">
        <v>115</v>
      </c>
      <c r="D21" s="1" t="s">
        <v>116</v>
      </c>
      <c r="F21" s="38" t="s">
        <v>56</v>
      </c>
      <c r="G21" s="38"/>
      <c r="H21" s="38"/>
      <c r="I21" s="38"/>
      <c r="J21" s="38"/>
      <c r="K21" s="38"/>
      <c r="L21" s="38"/>
      <c r="M21" s="38"/>
      <c r="N21" s="38" t="s">
        <v>57</v>
      </c>
      <c r="O21" s="38"/>
      <c r="P21" s="38"/>
      <c r="Q21" s="38"/>
      <c r="R21" s="38"/>
      <c r="S21" s="1"/>
      <c r="T21" s="38" t="s">
        <v>58</v>
      </c>
      <c r="U21" s="38"/>
      <c r="V21" s="38"/>
      <c r="W21" s="1"/>
      <c r="X21" s="38" t="s">
        <v>59</v>
      </c>
      <c r="Y21" s="38"/>
      <c r="Z21" s="38"/>
      <c r="AA21" s="1"/>
      <c r="AB21" s="38" t="s">
        <v>60</v>
      </c>
      <c r="AC21" s="38"/>
      <c r="AD21" s="38"/>
      <c r="AE21" s="1"/>
      <c r="AF21" s="38" t="s">
        <v>61</v>
      </c>
      <c r="AG21" s="38"/>
      <c r="AH21" s="38"/>
      <c r="AI21" s="38"/>
      <c r="AJ21" s="1"/>
      <c r="AK21" s="1"/>
      <c r="AL21" s="38" t="s">
        <v>62</v>
      </c>
      <c r="AM21" s="38"/>
      <c r="AN21" s="38"/>
      <c r="AO21" s="5"/>
      <c r="AP21" s="5"/>
      <c r="AQ21" s="5"/>
      <c r="AR21" s="1"/>
      <c r="AS21" s="38" t="s">
        <v>133</v>
      </c>
      <c r="AT21" s="38"/>
      <c r="AU21" s="38"/>
      <c r="AV21" s="38"/>
      <c r="AW21" s="38"/>
      <c r="AX21" s="5"/>
      <c r="AY21" s="38" t="s">
        <v>136</v>
      </c>
      <c r="AZ21" s="38"/>
      <c r="BA21" s="38"/>
      <c r="BB21" s="38"/>
      <c r="BC21" s="38"/>
      <c r="BD21" s="38"/>
      <c r="BE21" s="38"/>
      <c r="BF21" s="24"/>
    </row>
    <row r="22" spans="1:58" x14ac:dyDescent="0.3">
      <c r="A22" s="1" t="s">
        <v>117</v>
      </c>
      <c r="B22">
        <v>70.260000000000005</v>
      </c>
      <c r="C22">
        <v>-6.6699999999999995E-2</v>
      </c>
      <c r="D22">
        <v>6.9000000000000006E-2</v>
      </c>
      <c r="F22" s="11" t="s">
        <v>123</v>
      </c>
      <c r="G22" s="10" t="s">
        <v>65</v>
      </c>
      <c r="H22" s="10" t="s">
        <v>66</v>
      </c>
      <c r="I22" s="10" t="s">
        <v>67</v>
      </c>
      <c r="J22" s="11" t="s">
        <v>68</v>
      </c>
      <c r="K22" s="1" t="s">
        <v>69</v>
      </c>
      <c r="L22" s="11" t="s">
        <v>70</v>
      </c>
      <c r="M22" s="7" t="s">
        <v>71</v>
      </c>
      <c r="N22" s="2" t="s">
        <v>72</v>
      </c>
      <c r="O22" s="2" t="s">
        <v>73</v>
      </c>
      <c r="P22" s="2" t="s">
        <v>74</v>
      </c>
      <c r="Q22" s="2" t="s">
        <v>75</v>
      </c>
      <c r="R22" s="2" t="s">
        <v>76</v>
      </c>
      <c r="S22" s="1"/>
      <c r="T22" s="1" t="s">
        <v>77</v>
      </c>
      <c r="U22" s="1" t="s">
        <v>78</v>
      </c>
      <c r="V22" s="1" t="s">
        <v>79</v>
      </c>
      <c r="W22" s="1"/>
      <c r="X22" s="1" t="s">
        <v>80</v>
      </c>
      <c r="Y22" s="1" t="s">
        <v>81</v>
      </c>
      <c r="Z22" s="1" t="s">
        <v>82</v>
      </c>
      <c r="AA22" s="1"/>
      <c r="AB22" s="1" t="s">
        <v>83</v>
      </c>
      <c r="AC22" s="1" t="s">
        <v>84</v>
      </c>
      <c r="AD22" s="1" t="s">
        <v>85</v>
      </c>
      <c r="AE22" s="1"/>
      <c r="AF22" s="1" t="s">
        <v>86</v>
      </c>
      <c r="AG22" s="1" t="s">
        <v>87</v>
      </c>
      <c r="AH22" s="1" t="s">
        <v>88</v>
      </c>
      <c r="AI22" s="1" t="s">
        <v>89</v>
      </c>
      <c r="AJ22" s="1"/>
      <c r="AK22" s="1" t="s">
        <v>151</v>
      </c>
      <c r="AL22" s="1" t="s">
        <v>90</v>
      </c>
      <c r="AM22" s="1" t="s">
        <v>91</v>
      </c>
      <c r="AN22" s="1" t="s">
        <v>92</v>
      </c>
      <c r="AO22" s="1" t="s">
        <v>93</v>
      </c>
      <c r="AP22" s="1" t="s">
        <v>124</v>
      </c>
      <c r="AQ22" s="1" t="s">
        <v>125</v>
      </c>
      <c r="AR22" s="1"/>
      <c r="AS22" s="1" t="s">
        <v>127</v>
      </c>
      <c r="AT22" s="1" t="s">
        <v>90</v>
      </c>
      <c r="AU22" s="1" t="s">
        <v>91</v>
      </c>
      <c r="AV22" s="1" t="s">
        <v>92</v>
      </c>
      <c r="AW22" s="1" t="s">
        <v>93</v>
      </c>
      <c r="AX22" s="1"/>
      <c r="AY22" s="1" t="s">
        <v>137</v>
      </c>
      <c r="AZ22" s="1" t="s">
        <v>138</v>
      </c>
      <c r="BA22" s="1" t="s">
        <v>139</v>
      </c>
      <c r="BB22" s="1" t="s">
        <v>140</v>
      </c>
      <c r="BC22" s="1" t="s">
        <v>141</v>
      </c>
      <c r="BD22" s="1" t="s">
        <v>142</v>
      </c>
      <c r="BE22" s="1" t="s">
        <v>143</v>
      </c>
    </row>
    <row r="23" spans="1:58" x14ac:dyDescent="0.3">
      <c r="A23" s="1" t="s">
        <v>118</v>
      </c>
      <c r="B23">
        <v>74.650000000000006</v>
      </c>
      <c r="C23">
        <v>-5.2900000000000003E-2</v>
      </c>
      <c r="D23">
        <v>7.6300000000000007E-2</v>
      </c>
      <c r="F23">
        <v>1</v>
      </c>
      <c r="H23">
        <v>25</v>
      </c>
      <c r="I23">
        <v>24.1</v>
      </c>
      <c r="J23">
        <f t="shared" ref="J23:J38" si="33">102.1*10^3</f>
        <v>102100</v>
      </c>
      <c r="K23">
        <f t="shared" ref="K23:K38" si="34">J23/(287*(I23+273))</f>
        <v>1.1974053480978142</v>
      </c>
      <c r="L23">
        <f t="shared" ref="L23:L38" si="35">0.5*(H23^2)*K23</f>
        <v>374.18917128056694</v>
      </c>
      <c r="M23">
        <f>N23+0.83*(AM23)</f>
        <v>-2.0258822909407312</v>
      </c>
      <c r="N23">
        <f>O23+0.8</f>
        <v>-1.9999999999999998</v>
      </c>
      <c r="O23">
        <v>-2.8</v>
      </c>
      <c r="P23" s="8">
        <v>-1.3255999999999999</v>
      </c>
      <c r="Q23" s="8">
        <v>-1.6152</v>
      </c>
      <c r="R23" s="8">
        <v>-1.11E-2</v>
      </c>
      <c r="S23" s="1"/>
      <c r="T23">
        <f>P23-$B$23*SIN(RADIANS(O23))</f>
        <v>2.32103531524253</v>
      </c>
      <c r="U23">
        <f>Q23+$B$23*(COS(RADIANS(O23))-1)</f>
        <v>-1.7043218474619455</v>
      </c>
      <c r="V23">
        <f>R23-$B$23*($D$23*SIN(RADIANS(O23))+$C$23*(COS(RADIANS(O23))-1))</f>
        <v>0.26242372882226817</v>
      </c>
      <c r="W23" s="1"/>
      <c r="X23">
        <f t="shared" ref="X23:X38" si="36">(V23-0.115*U23-0.11*T23)*0.94</f>
        <v>0.19092044520749077</v>
      </c>
      <c r="Y23">
        <f t="shared" ref="Y23:Y38" si="37">(U23*COS(RADIANS(O23))-T23*SIN(RADIANS(O23)))*0.94</f>
        <v>-1.4935707755882164</v>
      </c>
      <c r="Z23">
        <f t="shared" ref="Z23:Z38" si="38">(T23*COS(RADIANS(O23))+U23*SIN(RADIANS(O23)))*0.94</f>
        <v>2.2574288448912037</v>
      </c>
      <c r="AA23" s="1"/>
      <c r="AB23">
        <f t="shared" ref="AB23:AB38" si="39">X23/(L23*($C$8)*($C$10))</f>
        <v>2.5228658993135856E-2</v>
      </c>
      <c r="AC23">
        <f t="shared" ref="AC23:AC38" si="40">Y23/(L23*($C$10))</f>
        <v>-3.1183483061122272E-2</v>
      </c>
      <c r="AD23">
        <f t="shared" ref="AD23:AD38" si="41">Z23/(L23*($C$10))</f>
        <v>4.7131676179610602E-2</v>
      </c>
      <c r="AE23" s="1"/>
      <c r="AF23">
        <f>0.022</f>
        <v>2.1999999999999999E-2</v>
      </c>
      <c r="AG23">
        <f xml:space="preserve"> 0.015*(AC23^2)</f>
        <v>1.4586144237349494E-5</v>
      </c>
      <c r="AI23">
        <f t="shared" ref="AI23:AI38" si="42">-0.415*AM23*(-0.0707466541333333)</f>
        <v>-9.1554274268111798E-4</v>
      </c>
      <c r="AJ23" s="1"/>
      <c r="AK23">
        <f>AM23/AN23</f>
        <v>-0.45097857806216307</v>
      </c>
      <c r="AL23">
        <f>AB23-AI23</f>
        <v>2.6144201735816972E-2</v>
      </c>
      <c r="AM23">
        <f>AC23</f>
        <v>-3.1183483061122272E-2</v>
      </c>
      <c r="AN23">
        <f>(AD23+AF23+AG23)</f>
        <v>6.9146262323847962E-2</v>
      </c>
      <c r="AO23">
        <f>AM23^2</f>
        <v>9.7240961582329961E-4</v>
      </c>
      <c r="AP23">
        <f t="shared" ref="AP23:AP38" si="43">0.415*AM23</f>
        <v>-1.2941145470365742E-2</v>
      </c>
      <c r="AQ23">
        <f t="shared" ref="AQ23:AQ38" si="44">F23-AP23</f>
        <v>1.0129411454703658</v>
      </c>
      <c r="AR23" s="1"/>
      <c r="AS23">
        <f t="shared" ref="AS23:AS38" si="45">AM23/AN23</f>
        <v>-0.45097857806216307</v>
      </c>
      <c r="AT23">
        <f t="shared" ref="AT23:AT38" si="46">AB23</f>
        <v>2.5228658993135856E-2</v>
      </c>
      <c r="AU23">
        <f t="shared" ref="AU23:AU38" si="47">AC23</f>
        <v>-3.1183483061122272E-2</v>
      </c>
      <c r="AV23">
        <f t="shared" ref="AV23:AV38" si="48">(AD23+AF23+AG23)</f>
        <v>6.9146262323847962E-2</v>
      </c>
      <c r="AW23">
        <f t="shared" ref="AW23:AW38" si="49">AM23^2</f>
        <v>9.7240961582329961E-4</v>
      </c>
      <c r="AX23" s="1"/>
      <c r="AY23">
        <f>(0.0005*24/$C$10)+(0.0005*24/$C$8)+(0.0005/P23)+(0.0005/Q23)+(0.0005/R23)+(0.05/L23)</f>
        <v>0.12410119741994546</v>
      </c>
      <c r="AZ23">
        <f>(0.0005*24/$C$10)+(0.0005/P23)+(0.0005/Q23)+(0.0005/R23)+(0.05/L23)</f>
        <v>4.8151830331337853E-2</v>
      </c>
      <c r="BA23">
        <f>(0.0005*24/$C$10)+(0.0005/P23)+(0.0005/Q23)+(0.0005/R23)+(0.05/L23)</f>
        <v>4.8151830331337853E-2</v>
      </c>
      <c r="BB23">
        <f>AY23*AT23</f>
        <v>3.1309067903476356E-3</v>
      </c>
      <c r="BC23">
        <f>AZ23*AU23</f>
        <v>-1.5015417854993076E-3</v>
      </c>
      <c r="BD23">
        <f>BA23*AV23</f>
        <v>3.3295190914641062E-3</v>
      </c>
      <c r="BE23">
        <f>BB23*AK23*5</f>
        <v>-7.0598594617807386E-3</v>
      </c>
    </row>
    <row r="24" spans="1:58" x14ac:dyDescent="0.3">
      <c r="F24">
        <v>1</v>
      </c>
      <c r="H24">
        <v>25</v>
      </c>
      <c r="I24">
        <v>24.1</v>
      </c>
      <c r="J24">
        <f t="shared" si="33"/>
        <v>102100</v>
      </c>
      <c r="K24">
        <f t="shared" si="34"/>
        <v>1.1974053480978142</v>
      </c>
      <c r="L24">
        <f t="shared" si="35"/>
        <v>374.18917128056694</v>
      </c>
      <c r="M24">
        <f t="shared" ref="M24:M38" si="50">N24+0.83*(AM24)</f>
        <v>-2.0243661001538582</v>
      </c>
      <c r="N24">
        <f t="shared" ref="N24:N38" si="51">O24+0.8</f>
        <v>-1.9999999999999998</v>
      </c>
      <c r="O24">
        <v>-2.8</v>
      </c>
      <c r="P24" s="8">
        <v>-1.3299000000000001</v>
      </c>
      <c r="Q24" s="8">
        <v>-1.5218</v>
      </c>
      <c r="R24" s="8">
        <v>-3.3500000000000002E-2</v>
      </c>
      <c r="S24" s="1"/>
      <c r="T24">
        <f>P24-$B$23*SIN(RADIANS(O24))</f>
        <v>2.3167353152425294</v>
      </c>
      <c r="U24">
        <f t="shared" ref="U24:U38" si="52">Q24+$B$23*(COS(RADIANS(O24))-1)</f>
        <v>-1.6109218474619456</v>
      </c>
      <c r="V24">
        <f t="shared" ref="V24:V38" si="53">R24-$B$23*($D$23*SIN(RADIANS(O24))+$C$23*(COS(RADIANS(O24))-1))</f>
        <v>0.24002372882226816</v>
      </c>
      <c r="W24" s="1"/>
      <c r="X24">
        <f t="shared" si="36"/>
        <v>0.16021252520749082</v>
      </c>
      <c r="Y24">
        <f t="shared" si="37"/>
        <v>-1.4060770427237017</v>
      </c>
      <c r="Z24">
        <f t="shared" si="38"/>
        <v>2.2491028560950928</v>
      </c>
      <c r="AA24" s="1"/>
      <c r="AB24">
        <f t="shared" si="39"/>
        <v>2.1170845063221037E-2</v>
      </c>
      <c r="AC24">
        <f t="shared" si="40"/>
        <v>-2.935674717332316E-2</v>
      </c>
      <c r="AD24">
        <f t="shared" si="41"/>
        <v>4.6957842214167371E-2</v>
      </c>
      <c r="AE24" s="1"/>
      <c r="AF24">
        <f t="shared" ref="AF24:AF38" si="54">0.022</f>
        <v>2.1999999999999999E-2</v>
      </c>
      <c r="AG24">
        <f t="shared" ref="AG24:AG38" si="55" xml:space="preserve"> 0.015*(AC24^2)</f>
        <v>1.2927279068976259E-5</v>
      </c>
      <c r="AI24">
        <f t="shared" si="42"/>
        <v>-8.619100300815834E-4</v>
      </c>
      <c r="AJ24" s="1"/>
      <c r="AK24">
        <f t="shared" ref="AK24:AK38" si="56">AM24/AN24</f>
        <v>-0.42564041823836757</v>
      </c>
      <c r="AL24">
        <f t="shared" ref="AL24:AL38" si="57">AB24-AI24</f>
        <v>2.203275509330262E-2</v>
      </c>
      <c r="AM24">
        <f t="shared" ref="AM24:AM38" si="58">AC24</f>
        <v>-2.935674717332316E-2</v>
      </c>
      <c r="AN24">
        <f t="shared" ref="AN24:AN38" si="59">(AD24+AF24+AG24)</f>
        <v>6.8970769493236342E-2</v>
      </c>
      <c r="AO24">
        <f t="shared" ref="AO24:AO38" si="60">AM24^2</f>
        <v>8.6181860459841732E-4</v>
      </c>
      <c r="AP24">
        <f t="shared" si="43"/>
        <v>-1.2183050076929111E-2</v>
      </c>
      <c r="AQ24">
        <f t="shared" si="44"/>
        <v>1.0121830500769291</v>
      </c>
      <c r="AR24" s="1"/>
      <c r="AS24">
        <f t="shared" si="45"/>
        <v>-0.42564041823836757</v>
      </c>
      <c r="AT24">
        <f t="shared" si="46"/>
        <v>2.1170845063221037E-2</v>
      </c>
      <c r="AU24">
        <f t="shared" si="47"/>
        <v>-2.935674717332316E-2</v>
      </c>
      <c r="AV24">
        <f t="shared" si="48"/>
        <v>6.8970769493236342E-2</v>
      </c>
      <c r="AW24">
        <f t="shared" si="49"/>
        <v>8.6181860459841732E-4</v>
      </c>
      <c r="AX24" s="1"/>
      <c r="AY24">
        <f t="shared" ref="AY24:AY38" si="61">(0.0005*24/$C$10)+(0.0005*24/$C$8)+(0.0005/P24)+(0.0005/Q24)+(0.0005/R24)+(0.05/L24)</f>
        <v>0.15420308980282912</v>
      </c>
      <c r="AZ24">
        <f t="shared" ref="AZ24:AZ38" si="62">(0.0005*24/$C$10)+(0.0005/P24)+(0.0005/Q24)+(0.0005/R24)+(0.05/L24)</f>
        <v>7.8253722714221485E-2</v>
      </c>
      <c r="BA24">
        <f t="shared" ref="BA24:BA38" si="63">(0.0005*24/$C$10)+(0.0005/P24)+(0.0005/Q24)+(0.0005/R24)+(0.05/L24)</f>
        <v>7.8253722714221485E-2</v>
      </c>
      <c r="BB24">
        <f t="shared" ref="BB24:BB38" si="64">AY24*AT24</f>
        <v>3.264609722485655E-3</v>
      </c>
      <c r="BC24">
        <f t="shared" ref="BC24:BC38" si="65">AZ24*AU24</f>
        <v>-2.2972747530927359E-3</v>
      </c>
      <c r="BD24">
        <f t="shared" ref="BD24:BD38" si="66">BA24*AV24</f>
        <v>5.3972194713102026E-3</v>
      </c>
      <c r="BE24">
        <f t="shared" ref="BE24:BE38" si="67">BB24*AK24*5</f>
        <v>-6.9477492383191765E-3</v>
      </c>
    </row>
    <row r="25" spans="1:58" x14ac:dyDescent="0.3">
      <c r="A25" s="20" t="s">
        <v>135</v>
      </c>
      <c r="B25" s="20">
        <f>((C3+D3)^2)/((C3^2/C9)+(D3^2/D9))</f>
        <v>9.9208174261726771</v>
      </c>
      <c r="F25">
        <v>1</v>
      </c>
      <c r="H25">
        <v>25</v>
      </c>
      <c r="I25">
        <v>24.1</v>
      </c>
      <c r="J25">
        <f t="shared" si="33"/>
        <v>102100</v>
      </c>
      <c r="K25">
        <f t="shared" si="34"/>
        <v>1.1974053480978142</v>
      </c>
      <c r="L25">
        <f t="shared" si="35"/>
        <v>374.18917128056694</v>
      </c>
      <c r="M25">
        <f t="shared" si="50"/>
        <v>0.11100370853780418</v>
      </c>
      <c r="N25">
        <f t="shared" si="51"/>
        <v>0</v>
      </c>
      <c r="O25">
        <v>-0.8</v>
      </c>
      <c r="P25" s="8">
        <v>1.4944</v>
      </c>
      <c r="Q25" s="8">
        <v>6.7869999999999999</v>
      </c>
      <c r="R25" s="8">
        <v>0.90249999999999997</v>
      </c>
      <c r="S25" s="1"/>
      <c r="T25">
        <f t="shared" ref="T25:T38" si="68">P25-$B$23*SIN(RADIANS(O25))</f>
        <v>2.5366767623171946</v>
      </c>
      <c r="U25">
        <f t="shared" si="52"/>
        <v>6.7797234172945613</v>
      </c>
      <c r="V25">
        <f t="shared" si="53"/>
        <v>0.98164078573968427</v>
      </c>
      <c r="W25" s="1"/>
      <c r="X25">
        <f t="shared" si="36"/>
        <v>-7.2438140037836801E-2</v>
      </c>
      <c r="Y25">
        <f t="shared" si="37"/>
        <v>6.4056112897280846</v>
      </c>
      <c r="Z25">
        <f t="shared" si="38"/>
        <v>2.2952635896608244</v>
      </c>
      <c r="AA25" s="1"/>
      <c r="AB25">
        <f t="shared" si="39"/>
        <v>-9.5721394904850314E-3</v>
      </c>
      <c r="AC25">
        <f t="shared" si="40"/>
        <v>0.13373940787687252</v>
      </c>
      <c r="AD25">
        <f t="shared" si="41"/>
        <v>4.7921608027454037E-2</v>
      </c>
      <c r="AE25" s="1"/>
      <c r="AF25">
        <f t="shared" si="54"/>
        <v>2.1999999999999999E-2</v>
      </c>
      <c r="AG25">
        <f t="shared" si="55"/>
        <v>2.6829343828884712E-4</v>
      </c>
      <c r="AI25">
        <f t="shared" si="42"/>
        <v>3.926570487720684E-3</v>
      </c>
      <c r="AJ25" s="1"/>
      <c r="AK25">
        <f t="shared" si="56"/>
        <v>1.9053938684063521</v>
      </c>
      <c r="AL25">
        <f t="shared" si="57"/>
        <v>-1.3498709978205715E-2</v>
      </c>
      <c r="AM25">
        <f t="shared" si="58"/>
        <v>0.13373940787687252</v>
      </c>
      <c r="AN25">
        <f t="shared" si="59"/>
        <v>7.0189901465742888E-2</v>
      </c>
      <c r="AO25">
        <f t="shared" si="60"/>
        <v>1.7886229219256474E-2</v>
      </c>
      <c r="AP25">
        <f t="shared" si="43"/>
        <v>5.5501854268902091E-2</v>
      </c>
      <c r="AQ25">
        <f t="shared" si="44"/>
        <v>0.94449814573109792</v>
      </c>
      <c r="AR25" s="1"/>
      <c r="AS25">
        <f t="shared" si="45"/>
        <v>1.9053938684063521</v>
      </c>
      <c r="AT25">
        <f t="shared" si="46"/>
        <v>-9.5721394904850314E-3</v>
      </c>
      <c r="AU25">
        <f t="shared" si="47"/>
        <v>0.13373940787687252</v>
      </c>
      <c r="AV25">
        <f t="shared" si="48"/>
        <v>7.0189901465742888E-2</v>
      </c>
      <c r="AW25">
        <f t="shared" si="49"/>
        <v>1.7886229219256474E-2</v>
      </c>
      <c r="AX25" s="1"/>
      <c r="AY25">
        <f t="shared" si="61"/>
        <v>0.17079525865486542</v>
      </c>
      <c r="AZ25">
        <f t="shared" si="62"/>
        <v>9.4845891566257806E-2</v>
      </c>
      <c r="BA25">
        <f t="shared" si="63"/>
        <v>9.4845891566257806E-2</v>
      </c>
      <c r="BB25">
        <f t="shared" si="64"/>
        <v>-1.6348760401578427E-3</v>
      </c>
      <c r="BC25">
        <f t="shared" si="65"/>
        <v>1.2684633377625376E-2</v>
      </c>
      <c r="BD25">
        <f t="shared" si="66"/>
        <v>6.6572237834661699E-3</v>
      </c>
      <c r="BE25">
        <f t="shared" si="67"/>
        <v>-1.5575413912606053E-2</v>
      </c>
    </row>
    <row r="26" spans="1:58" x14ac:dyDescent="0.3">
      <c r="F26">
        <v>1</v>
      </c>
      <c r="H26">
        <v>25</v>
      </c>
      <c r="I26">
        <v>24.1</v>
      </c>
      <c r="J26">
        <f t="shared" si="33"/>
        <v>102100</v>
      </c>
      <c r="K26">
        <f t="shared" si="34"/>
        <v>1.1974053480978142</v>
      </c>
      <c r="L26">
        <f t="shared" si="35"/>
        <v>374.18917128056694</v>
      </c>
      <c r="M26">
        <f t="shared" si="50"/>
        <v>0.10983566155090897</v>
      </c>
      <c r="N26">
        <f t="shared" si="51"/>
        <v>0</v>
      </c>
      <c r="O26">
        <v>-0.8</v>
      </c>
      <c r="P26" s="8">
        <v>1.4504999999999999</v>
      </c>
      <c r="Q26" s="8">
        <v>6.7159000000000004</v>
      </c>
      <c r="R26" s="8">
        <v>0.8931</v>
      </c>
      <c r="S26" s="1"/>
      <c r="T26">
        <f t="shared" si="68"/>
        <v>2.4927767623171944</v>
      </c>
      <c r="U26">
        <f t="shared" si="52"/>
        <v>6.7086234172945618</v>
      </c>
      <c r="V26">
        <f t="shared" si="53"/>
        <v>0.9722407857396842</v>
      </c>
      <c r="W26" s="1"/>
      <c r="X26">
        <f t="shared" si="36"/>
        <v>-6.9048970037836915E-2</v>
      </c>
      <c r="Y26">
        <f t="shared" si="37"/>
        <v>6.3382076411045718</v>
      </c>
      <c r="Z26">
        <f t="shared" si="38"/>
        <v>2.2549347604658427</v>
      </c>
      <c r="AA26" s="1"/>
      <c r="AB26">
        <f t="shared" si="39"/>
        <v>-9.1242869092340393E-3</v>
      </c>
      <c r="AC26">
        <f t="shared" si="40"/>
        <v>0.13233212235049274</v>
      </c>
      <c r="AD26">
        <f t="shared" si="41"/>
        <v>4.7079603495341175E-2</v>
      </c>
      <c r="AE26" s="1"/>
      <c r="AF26">
        <f t="shared" si="54"/>
        <v>2.1999999999999999E-2</v>
      </c>
      <c r="AG26">
        <f t="shared" si="55"/>
        <v>2.6267685908678672E-4</v>
      </c>
      <c r="AI26">
        <f t="shared" si="42"/>
        <v>3.8852527796240056E-3</v>
      </c>
      <c r="AJ26" s="1"/>
      <c r="AK26">
        <f t="shared" si="56"/>
        <v>1.9083901145752047</v>
      </c>
      <c r="AL26">
        <f t="shared" si="57"/>
        <v>-1.3009539688858044E-2</v>
      </c>
      <c r="AM26">
        <f t="shared" si="58"/>
        <v>0.13233212235049274</v>
      </c>
      <c r="AN26">
        <f t="shared" si="59"/>
        <v>6.9342280354427965E-2</v>
      </c>
      <c r="AO26">
        <f t="shared" si="60"/>
        <v>1.7511790605785782E-2</v>
      </c>
      <c r="AP26">
        <f t="shared" si="43"/>
        <v>5.4917830775454486E-2</v>
      </c>
      <c r="AQ26">
        <f t="shared" si="44"/>
        <v>0.94508216922454547</v>
      </c>
      <c r="AR26" s="1"/>
      <c r="AS26">
        <f t="shared" si="45"/>
        <v>1.9083901145752047</v>
      </c>
      <c r="AT26">
        <f t="shared" si="46"/>
        <v>-9.1242869092340393E-3</v>
      </c>
      <c r="AU26">
        <f t="shared" si="47"/>
        <v>0.13233212235049274</v>
      </c>
      <c r="AV26">
        <f t="shared" si="48"/>
        <v>6.9342280354427965E-2</v>
      </c>
      <c r="AW26">
        <f t="shared" si="49"/>
        <v>1.7511790605785782E-2</v>
      </c>
      <c r="AX26" s="1"/>
      <c r="AY26">
        <f t="shared" si="61"/>
        <v>0.17081199596923247</v>
      </c>
      <c r="AZ26">
        <f t="shared" si="62"/>
        <v>9.4862628880624814E-2</v>
      </c>
      <c r="BA26">
        <f t="shared" si="63"/>
        <v>9.4862628880624814E-2</v>
      </c>
      <c r="BB26">
        <f t="shared" si="64"/>
        <v>-1.5585376587622052E-3</v>
      </c>
      <c r="BC26">
        <f t="shared" si="65"/>
        <v>1.2553373011520229E-2</v>
      </c>
      <c r="BD26">
        <f t="shared" si="66"/>
        <v>6.5779910069983412E-3</v>
      </c>
      <c r="BE26">
        <f t="shared" si="67"/>
        <v>-1.4871489305874879E-2</v>
      </c>
    </row>
    <row r="27" spans="1:58" x14ac:dyDescent="0.3">
      <c r="F27">
        <v>1</v>
      </c>
      <c r="H27">
        <v>25</v>
      </c>
      <c r="I27">
        <v>24.2</v>
      </c>
      <c r="J27">
        <f t="shared" si="33"/>
        <v>102100</v>
      </c>
      <c r="K27">
        <f t="shared" si="34"/>
        <v>1.1970024526240264</v>
      </c>
      <c r="L27">
        <f t="shared" si="35"/>
        <v>374.06326644500825</v>
      </c>
      <c r="M27">
        <f t="shared" si="50"/>
        <v>2.2462231308341485</v>
      </c>
      <c r="N27">
        <f t="shared" si="51"/>
        <v>2</v>
      </c>
      <c r="O27">
        <v>1.2</v>
      </c>
      <c r="P27" s="8">
        <v>3.7614999999999998</v>
      </c>
      <c r="Q27" s="8">
        <v>15.1762</v>
      </c>
      <c r="R27" s="8">
        <v>1.8331999999999999</v>
      </c>
      <c r="S27" s="1"/>
      <c r="T27">
        <f t="shared" si="68"/>
        <v>2.1981483557074029</v>
      </c>
      <c r="U27">
        <f t="shared" si="52"/>
        <v>15.159828021397216</v>
      </c>
      <c r="V27">
        <f t="shared" si="53"/>
        <v>1.7130501918723875</v>
      </c>
      <c r="W27" s="1"/>
      <c r="X27">
        <f t="shared" si="36"/>
        <v>-0.25579876873314017</v>
      </c>
      <c r="Y27">
        <f t="shared" si="37"/>
        <v>14.203840554276736</v>
      </c>
      <c r="Z27">
        <f t="shared" si="38"/>
        <v>2.3642407642779255</v>
      </c>
      <c r="AA27" s="1"/>
      <c r="AB27">
        <f t="shared" si="39"/>
        <v>-3.3813204505029532E-2</v>
      </c>
      <c r="AC27">
        <f t="shared" si="40"/>
        <v>0.29665437449897408</v>
      </c>
      <c r="AD27">
        <f t="shared" si="41"/>
        <v>4.9378360902584628E-2</v>
      </c>
      <c r="AE27" s="1"/>
      <c r="AF27">
        <f t="shared" si="54"/>
        <v>2.1999999999999999E-2</v>
      </c>
      <c r="AG27">
        <f t="shared" si="55"/>
        <v>1.3200572686406634E-3</v>
      </c>
      <c r="AI27">
        <f t="shared" si="42"/>
        <v>8.7097313383749878E-3</v>
      </c>
      <c r="AJ27" s="1"/>
      <c r="AK27">
        <f t="shared" si="56"/>
        <v>4.0806166346050246</v>
      </c>
      <c r="AL27">
        <f t="shared" si="57"/>
        <v>-4.2522935843404518E-2</v>
      </c>
      <c r="AM27">
        <f t="shared" si="58"/>
        <v>0.29665437449897408</v>
      </c>
      <c r="AN27">
        <f t="shared" si="59"/>
        <v>7.2698418171225285E-2</v>
      </c>
      <c r="AO27">
        <f t="shared" si="60"/>
        <v>8.8003817909377571E-2</v>
      </c>
      <c r="AP27">
        <f t="shared" si="43"/>
        <v>0.12311156541707424</v>
      </c>
      <c r="AQ27">
        <f t="shared" si="44"/>
        <v>0.87688843458292576</v>
      </c>
      <c r="AR27" s="1"/>
      <c r="AS27">
        <f t="shared" si="45"/>
        <v>4.0806166346050246</v>
      </c>
      <c r="AT27">
        <f t="shared" si="46"/>
        <v>-3.3813204505029532E-2</v>
      </c>
      <c r="AU27">
        <f t="shared" si="47"/>
        <v>0.29665437449897408</v>
      </c>
      <c r="AV27">
        <f t="shared" si="48"/>
        <v>7.2698418171225285E-2</v>
      </c>
      <c r="AW27">
        <f t="shared" si="49"/>
        <v>8.8003817909377571E-2</v>
      </c>
      <c r="AX27" s="1"/>
      <c r="AY27">
        <f t="shared" si="61"/>
        <v>0.17027165344408185</v>
      </c>
      <c r="AZ27">
        <f t="shared" si="62"/>
        <v>9.4322286355474225E-2</v>
      </c>
      <c r="BA27">
        <f t="shared" si="63"/>
        <v>9.4322286355474225E-2</v>
      </c>
      <c r="BB27">
        <f t="shared" si="64"/>
        <v>-5.7574302393142559E-3</v>
      </c>
      <c r="BC27">
        <f t="shared" si="65"/>
        <v>2.7981118860096323E-2</v>
      </c>
      <c r="BD27">
        <f t="shared" si="66"/>
        <v>6.8570810163363222E-3</v>
      </c>
      <c r="BE27">
        <f t="shared" si="67"/>
        <v>-0.1174693280356187</v>
      </c>
    </row>
    <row r="28" spans="1:58" x14ac:dyDescent="0.3">
      <c r="F28">
        <v>1</v>
      </c>
      <c r="H28">
        <v>25</v>
      </c>
      <c r="I28">
        <v>24.2</v>
      </c>
      <c r="J28">
        <f t="shared" si="33"/>
        <v>102100</v>
      </c>
      <c r="K28">
        <f t="shared" si="34"/>
        <v>1.1970024526240264</v>
      </c>
      <c r="L28">
        <f t="shared" si="35"/>
        <v>374.06326644500825</v>
      </c>
      <c r="M28">
        <f t="shared" si="50"/>
        <v>2.2460814303861834</v>
      </c>
      <c r="N28">
        <f t="shared" si="51"/>
        <v>2</v>
      </c>
      <c r="O28">
        <v>1.2</v>
      </c>
      <c r="P28" s="8">
        <v>3.6516000000000002</v>
      </c>
      <c r="Q28" s="8">
        <v>15.1652</v>
      </c>
      <c r="R28" s="8">
        <v>1.8104</v>
      </c>
      <c r="S28" s="1"/>
      <c r="T28">
        <f t="shared" si="68"/>
        <v>2.0882483557074032</v>
      </c>
      <c r="U28">
        <f t="shared" si="52"/>
        <v>15.148828021397216</v>
      </c>
      <c r="V28">
        <f t="shared" si="53"/>
        <v>1.6902501918723876</v>
      </c>
      <c r="W28" s="1"/>
      <c r="X28">
        <f t="shared" si="36"/>
        <v>-0.26467800873314035</v>
      </c>
      <c r="Y28">
        <f t="shared" si="37"/>
        <v>14.195666299638079</v>
      </c>
      <c r="Z28">
        <f t="shared" si="38"/>
        <v>2.2607408763692796</v>
      </c>
      <c r="AA28" s="1"/>
      <c r="AB28">
        <f t="shared" si="39"/>
        <v>-3.4986922265502658E-2</v>
      </c>
      <c r="AC28">
        <f t="shared" si="40"/>
        <v>0.29648365106769081</v>
      </c>
      <c r="AD28">
        <f t="shared" si="41"/>
        <v>4.7216713537498678E-2</v>
      </c>
      <c r="AE28" s="1"/>
      <c r="AF28">
        <f t="shared" si="54"/>
        <v>2.1999999999999999E-2</v>
      </c>
      <c r="AG28">
        <f t="shared" si="55"/>
        <v>1.3185383302564235E-3</v>
      </c>
      <c r="AI28">
        <f t="shared" si="42"/>
        <v>8.7047189220836232E-3</v>
      </c>
      <c r="AJ28" s="1"/>
      <c r="AK28">
        <f t="shared" si="56"/>
        <v>4.2033400777183179</v>
      </c>
      <c r="AL28">
        <f t="shared" si="57"/>
        <v>-4.3691641187586283E-2</v>
      </c>
      <c r="AM28">
        <f t="shared" si="58"/>
        <v>0.29648365106769081</v>
      </c>
      <c r="AN28">
        <f t="shared" si="59"/>
        <v>7.0535251867755097E-2</v>
      </c>
      <c r="AO28">
        <f t="shared" si="60"/>
        <v>8.7902555350428235E-2</v>
      </c>
      <c r="AP28">
        <f t="shared" si="43"/>
        <v>0.12304071519309168</v>
      </c>
      <c r="AQ28">
        <f t="shared" si="44"/>
        <v>0.87695928480690832</v>
      </c>
      <c r="AR28" s="1"/>
      <c r="AS28">
        <f t="shared" si="45"/>
        <v>4.2033400777183179</v>
      </c>
      <c r="AT28">
        <f t="shared" si="46"/>
        <v>-3.4986922265502658E-2</v>
      </c>
      <c r="AU28">
        <f t="shared" si="47"/>
        <v>0.29648365106769081</v>
      </c>
      <c r="AV28">
        <f t="shared" si="48"/>
        <v>7.0535251867755097E-2</v>
      </c>
      <c r="AW28">
        <f t="shared" si="49"/>
        <v>8.7902555350428235E-2</v>
      </c>
      <c r="AX28" s="1"/>
      <c r="AY28">
        <f t="shared" si="61"/>
        <v>0.17027911287621625</v>
      </c>
      <c r="AZ28">
        <f t="shared" si="62"/>
        <v>9.4329745787608651E-2</v>
      </c>
      <c r="BA28">
        <f t="shared" si="63"/>
        <v>9.4329745787608651E-2</v>
      </c>
      <c r="BB28">
        <f t="shared" si="64"/>
        <v>-5.9575420856389305E-3</v>
      </c>
      <c r="BC28">
        <f t="shared" si="65"/>
        <v>2.796722743539734E-2</v>
      </c>
      <c r="BD28">
        <f t="shared" si="66"/>
        <v>6.6535723777502867E-3</v>
      </c>
      <c r="BE28">
        <f t="shared" si="67"/>
        <v>-0.12520787706629846</v>
      </c>
    </row>
    <row r="29" spans="1:58" x14ac:dyDescent="0.3">
      <c r="F29">
        <v>1</v>
      </c>
      <c r="H29">
        <v>25</v>
      </c>
      <c r="I29">
        <v>24.2</v>
      </c>
      <c r="J29">
        <f t="shared" si="33"/>
        <v>102100</v>
      </c>
      <c r="K29">
        <f t="shared" si="34"/>
        <v>1.1970024526240264</v>
      </c>
      <c r="L29">
        <f t="shared" si="35"/>
        <v>374.06326644500825</v>
      </c>
      <c r="M29">
        <f t="shared" si="50"/>
        <v>4.381721142873535</v>
      </c>
      <c r="N29">
        <f t="shared" si="51"/>
        <v>4</v>
      </c>
      <c r="O29">
        <v>3.2</v>
      </c>
      <c r="P29" s="8">
        <v>5.6905000000000001</v>
      </c>
      <c r="Q29" s="8">
        <v>23.664000000000001</v>
      </c>
      <c r="R29" s="8">
        <v>2.7271999999999998</v>
      </c>
      <c r="S29" s="1"/>
      <c r="T29">
        <f t="shared" si="68"/>
        <v>1.5234246522603216</v>
      </c>
      <c r="U29">
        <f t="shared" si="52"/>
        <v>23.547603046184886</v>
      </c>
      <c r="V29">
        <f t="shared" si="53"/>
        <v>2.4030947521106425</v>
      </c>
      <c r="W29" s="1"/>
      <c r="X29">
        <f t="shared" si="36"/>
        <v>-0.44410893135229951</v>
      </c>
      <c r="Y29">
        <f t="shared" si="37"/>
        <v>22.020296107858687</v>
      </c>
      <c r="Z29">
        <f t="shared" si="38"/>
        <v>2.6653812000963462</v>
      </c>
      <c r="AA29" s="1"/>
      <c r="AB29">
        <f t="shared" si="39"/>
        <v>-5.8705310399642746E-2</v>
      </c>
      <c r="AC29">
        <f t="shared" si="40"/>
        <v>0.45990499141389757</v>
      </c>
      <c r="AD29">
        <f t="shared" si="41"/>
        <v>5.5667830802129767E-2</v>
      </c>
      <c r="AE29" s="1"/>
      <c r="AF29">
        <f t="shared" si="54"/>
        <v>2.1999999999999999E-2</v>
      </c>
      <c r="AG29">
        <f t="shared" si="55"/>
        <v>3.1726890169112578E-3</v>
      </c>
      <c r="AI29">
        <f t="shared" si="42"/>
        <v>1.3502746835127342E-2</v>
      </c>
      <c r="AJ29" s="1"/>
      <c r="AK29">
        <f t="shared" si="56"/>
        <v>5.6890405015131087</v>
      </c>
      <c r="AL29">
        <f t="shared" si="57"/>
        <v>-7.2208057234770084E-2</v>
      </c>
      <c r="AM29">
        <f t="shared" si="58"/>
        <v>0.45990499141389757</v>
      </c>
      <c r="AN29">
        <f t="shared" si="59"/>
        <v>8.0840519819041029E-2</v>
      </c>
      <c r="AO29">
        <f t="shared" si="60"/>
        <v>0.21151260112741718</v>
      </c>
      <c r="AP29">
        <f t="shared" si="43"/>
        <v>0.19086057143676749</v>
      </c>
      <c r="AQ29">
        <f t="shared" si="44"/>
        <v>0.80913942856323251</v>
      </c>
      <c r="AR29" s="1"/>
      <c r="AS29">
        <f t="shared" si="45"/>
        <v>5.6890405015131087</v>
      </c>
      <c r="AT29">
        <f t="shared" si="46"/>
        <v>-5.8705310399642746E-2</v>
      </c>
      <c r="AU29">
        <f t="shared" si="47"/>
        <v>0.45990499141389757</v>
      </c>
      <c r="AV29">
        <f t="shared" si="48"/>
        <v>8.0840519819041029E-2</v>
      </c>
      <c r="AW29">
        <f t="shared" si="49"/>
        <v>0.21151260112741718</v>
      </c>
      <c r="AX29" s="1"/>
      <c r="AY29">
        <f t="shared" si="61"/>
        <v>0.17012536742162707</v>
      </c>
      <c r="AZ29">
        <f t="shared" si="62"/>
        <v>9.4176000333019455E-2</v>
      </c>
      <c r="BA29">
        <f t="shared" si="63"/>
        <v>9.4176000333019455E-2</v>
      </c>
      <c r="BB29">
        <f t="shared" si="64"/>
        <v>-9.9872625013398865E-3</v>
      </c>
      <c r="BC29">
        <f t="shared" si="65"/>
        <v>4.3312012624552525E-2</v>
      </c>
      <c r="BD29">
        <f t="shared" si="66"/>
        <v>7.6132368213994734E-3</v>
      </c>
      <c r="BE29">
        <f t="shared" si="67"/>
        <v>-0.28408970434682868</v>
      </c>
    </row>
    <row r="30" spans="1:58" x14ac:dyDescent="0.3">
      <c r="F30">
        <v>1</v>
      </c>
      <c r="H30">
        <v>25</v>
      </c>
      <c r="I30">
        <v>24.2</v>
      </c>
      <c r="J30">
        <f t="shared" si="33"/>
        <v>102100</v>
      </c>
      <c r="K30">
        <f t="shared" si="34"/>
        <v>1.1970024526240264</v>
      </c>
      <c r="L30">
        <f t="shared" si="35"/>
        <v>374.06326644500825</v>
      </c>
      <c r="M30">
        <f t="shared" si="50"/>
        <v>4.3841655460093056</v>
      </c>
      <c r="N30">
        <f t="shared" si="51"/>
        <v>4</v>
      </c>
      <c r="O30">
        <v>3.2</v>
      </c>
      <c r="P30" s="8">
        <v>5.6736000000000004</v>
      </c>
      <c r="Q30" s="8">
        <v>23.813300000000002</v>
      </c>
      <c r="R30" s="8">
        <v>2.7452999999999999</v>
      </c>
      <c r="S30" s="1"/>
      <c r="T30">
        <f t="shared" si="68"/>
        <v>1.506524652260322</v>
      </c>
      <c r="U30">
        <f t="shared" si="52"/>
        <v>23.696903046184886</v>
      </c>
      <c r="V30">
        <f t="shared" si="53"/>
        <v>2.4211947521106425</v>
      </c>
      <c r="W30" s="1"/>
      <c r="X30">
        <f t="shared" si="36"/>
        <v>-0.44148680135229956</v>
      </c>
      <c r="Y30">
        <f t="shared" si="37"/>
        <v>22.161306062013836</v>
      </c>
      <c r="Z30">
        <f t="shared" si="38"/>
        <v>2.6573540717703024</v>
      </c>
      <c r="AA30" s="1"/>
      <c r="AB30">
        <f t="shared" si="39"/>
        <v>-5.8358699591592816E-2</v>
      </c>
      <c r="AC30">
        <f t="shared" si="40"/>
        <v>0.46285005543289831</v>
      </c>
      <c r="AD30">
        <f t="shared" si="41"/>
        <v>5.5500180178097061E-2</v>
      </c>
      <c r="AE30" s="1"/>
      <c r="AF30">
        <f t="shared" si="54"/>
        <v>2.1999999999999999E-2</v>
      </c>
      <c r="AG30">
        <f t="shared" si="55"/>
        <v>3.2134526072135554E-3</v>
      </c>
      <c r="AI30">
        <f t="shared" si="42"/>
        <v>1.3589213506731741E-2</v>
      </c>
      <c r="AJ30" s="1"/>
      <c r="AK30">
        <f t="shared" si="56"/>
        <v>5.7344718538939832</v>
      </c>
      <c r="AL30">
        <f t="shared" si="57"/>
        <v>-7.1947913098324559E-2</v>
      </c>
      <c r="AM30">
        <f t="shared" si="58"/>
        <v>0.46285005543289831</v>
      </c>
      <c r="AN30">
        <f t="shared" si="59"/>
        <v>8.0713632785310616E-2</v>
      </c>
      <c r="AO30">
        <f t="shared" si="60"/>
        <v>0.21423017381423703</v>
      </c>
      <c r="AP30">
        <f t="shared" si="43"/>
        <v>0.19208277300465279</v>
      </c>
      <c r="AQ30">
        <f t="shared" si="44"/>
        <v>0.80791722699534718</v>
      </c>
      <c r="AR30" s="1"/>
      <c r="AS30">
        <f t="shared" si="45"/>
        <v>5.7344718538939832</v>
      </c>
      <c r="AT30">
        <f t="shared" si="46"/>
        <v>-5.8358699591592816E-2</v>
      </c>
      <c r="AU30">
        <f t="shared" si="47"/>
        <v>0.46285005543289831</v>
      </c>
      <c r="AV30">
        <f t="shared" si="48"/>
        <v>8.0713632785310616E-2</v>
      </c>
      <c r="AW30">
        <f t="shared" si="49"/>
        <v>0.21423017381423703</v>
      </c>
      <c r="AX30" s="1"/>
      <c r="AY30">
        <f t="shared" si="61"/>
        <v>0.17012428791193096</v>
      </c>
      <c r="AZ30">
        <f t="shared" si="62"/>
        <v>9.4174920823323349E-2</v>
      </c>
      <c r="BA30">
        <f t="shared" si="63"/>
        <v>9.4174920823323349E-2</v>
      </c>
      <c r="BB30">
        <f t="shared" si="64"/>
        <v>-9.9282322114860235E-3</v>
      </c>
      <c r="BC30">
        <f t="shared" si="65"/>
        <v>4.3588867323464023E-2</v>
      </c>
      <c r="BD30">
        <f t="shared" si="66"/>
        <v>7.6011999769194233E-3</v>
      </c>
      <c r="BE30">
        <f t="shared" si="67"/>
        <v>-0.28466584087845109</v>
      </c>
    </row>
    <row r="31" spans="1:58" x14ac:dyDescent="0.3">
      <c r="F31">
        <v>1</v>
      </c>
      <c r="H31">
        <v>25</v>
      </c>
      <c r="I31">
        <v>24.2</v>
      </c>
      <c r="J31">
        <f t="shared" si="33"/>
        <v>102100</v>
      </c>
      <c r="K31">
        <f t="shared" si="34"/>
        <v>1.1970024526240264</v>
      </c>
      <c r="L31">
        <f t="shared" si="35"/>
        <v>374.06326644500825</v>
      </c>
      <c r="M31">
        <f t="shared" si="50"/>
        <v>6.5134176637516266</v>
      </c>
      <c r="N31">
        <f t="shared" si="51"/>
        <v>6</v>
      </c>
      <c r="O31">
        <v>5.2</v>
      </c>
      <c r="P31" s="8">
        <v>7.0814000000000004</v>
      </c>
      <c r="Q31" s="8">
        <v>31.9741</v>
      </c>
      <c r="R31" s="8">
        <v>3.5024000000000002</v>
      </c>
      <c r="S31" s="1"/>
      <c r="T31">
        <f t="shared" si="68"/>
        <v>0.31567788823571075</v>
      </c>
      <c r="U31">
        <f t="shared" si="52"/>
        <v>31.666870356682185</v>
      </c>
      <c r="V31">
        <f t="shared" si="53"/>
        <v>2.9699229547408725</v>
      </c>
      <c r="W31" s="1"/>
      <c r="X31">
        <f t="shared" si="36"/>
        <v>-0.66410220174449663</v>
      </c>
      <c r="Y31">
        <f t="shared" si="37"/>
        <v>29.617455553310617</v>
      </c>
      <c r="Z31">
        <f t="shared" si="38"/>
        <v>2.9933631200308843</v>
      </c>
      <c r="AA31" s="1"/>
      <c r="AB31">
        <f t="shared" si="39"/>
        <v>-8.7785502921061617E-2</v>
      </c>
      <c r="AC31">
        <f t="shared" si="40"/>
        <v>0.61857549849593618</v>
      </c>
      <c r="AD31">
        <f t="shared" si="41"/>
        <v>6.2517898636484409E-2</v>
      </c>
      <c r="AE31" s="1"/>
      <c r="AF31">
        <f t="shared" si="54"/>
        <v>2.1999999999999999E-2</v>
      </c>
      <c r="AG31">
        <f t="shared" si="55"/>
        <v>5.739534710092439E-3</v>
      </c>
      <c r="AI31">
        <f t="shared" si="42"/>
        <v>1.8161290941690184E-2</v>
      </c>
      <c r="AJ31" s="1"/>
      <c r="AK31">
        <f t="shared" si="56"/>
        <v>6.8534576661479676</v>
      </c>
      <c r="AL31">
        <f t="shared" si="57"/>
        <v>-0.1059467938627518</v>
      </c>
      <c r="AM31">
        <f t="shared" si="58"/>
        <v>0.61857549849593618</v>
      </c>
      <c r="AN31">
        <f t="shared" si="59"/>
        <v>9.0257433346576835E-2</v>
      </c>
      <c r="AO31">
        <f t="shared" si="60"/>
        <v>0.38263564733949595</v>
      </c>
      <c r="AP31">
        <f t="shared" si="43"/>
        <v>0.2567088318758135</v>
      </c>
      <c r="AQ31">
        <f t="shared" si="44"/>
        <v>0.7432911681241865</v>
      </c>
      <c r="AR31" s="1"/>
      <c r="AS31">
        <f t="shared" si="45"/>
        <v>6.8534576661479676</v>
      </c>
      <c r="AT31">
        <f t="shared" si="46"/>
        <v>-8.7785502921061617E-2</v>
      </c>
      <c r="AU31">
        <f t="shared" si="47"/>
        <v>0.61857549849593618</v>
      </c>
      <c r="AV31">
        <f t="shared" si="48"/>
        <v>9.0257433346576835E-2</v>
      </c>
      <c r="AW31">
        <f t="shared" si="49"/>
        <v>0.38263564733949595</v>
      </c>
      <c r="AX31" s="1"/>
      <c r="AY31">
        <f t="shared" si="61"/>
        <v>0.17006203873133327</v>
      </c>
      <c r="AZ31">
        <f t="shared" si="62"/>
        <v>9.4112671642725659E-2</v>
      </c>
      <c r="BA31">
        <f t="shared" si="63"/>
        <v>9.4112671642725659E-2</v>
      </c>
      <c r="BB31">
        <f t="shared" si="64"/>
        <v>-1.492898159781115E-2</v>
      </c>
      <c r="BC31">
        <f t="shared" si="65"/>
        <v>5.8215792776183384E-2</v>
      </c>
      <c r="BD31">
        <f t="shared" si="66"/>
        <v>8.4943681878615826E-3</v>
      </c>
      <c r="BE31">
        <f t="shared" si="67"/>
        <v>-0.51157571689650383</v>
      </c>
    </row>
    <row r="32" spans="1:58" x14ac:dyDescent="0.3">
      <c r="F32">
        <v>1</v>
      </c>
      <c r="H32">
        <v>25</v>
      </c>
      <c r="I32">
        <v>24.2</v>
      </c>
      <c r="J32">
        <f t="shared" si="33"/>
        <v>102100</v>
      </c>
      <c r="K32">
        <f t="shared" si="34"/>
        <v>1.1970024526240264</v>
      </c>
      <c r="L32">
        <f t="shared" si="35"/>
        <v>374.06326644500825</v>
      </c>
      <c r="M32">
        <f t="shared" si="50"/>
        <v>6.5109272055603888</v>
      </c>
      <c r="N32">
        <f t="shared" si="51"/>
        <v>6</v>
      </c>
      <c r="O32">
        <v>5.2</v>
      </c>
      <c r="P32" s="8">
        <v>7.1315999999999997</v>
      </c>
      <c r="Q32" s="8">
        <v>31.825199999999999</v>
      </c>
      <c r="R32" s="8">
        <v>3.5217999999999998</v>
      </c>
      <c r="S32" s="1"/>
      <c r="T32">
        <f t="shared" si="68"/>
        <v>0.3658778882357101</v>
      </c>
      <c r="U32">
        <f t="shared" si="52"/>
        <v>31.517970356682184</v>
      </c>
      <c r="V32">
        <f t="shared" si="53"/>
        <v>2.9893229547408722</v>
      </c>
      <c r="W32" s="1"/>
      <c r="X32">
        <f t="shared" si="36"/>
        <v>-0.63496079174449671</v>
      </c>
      <c r="Y32">
        <f t="shared" si="37"/>
        <v>29.473788827379561</v>
      </c>
      <c r="Z32">
        <f t="shared" si="38"/>
        <v>3.0276714333128116</v>
      </c>
      <c r="AA32" s="1"/>
      <c r="AB32">
        <f t="shared" si="39"/>
        <v>-8.3933395028693764E-2</v>
      </c>
      <c r="AC32">
        <f t="shared" si="40"/>
        <v>0.61557494645830013</v>
      </c>
      <c r="AD32">
        <f t="shared" si="41"/>
        <v>6.3234445064746056E-2</v>
      </c>
      <c r="AE32" s="1"/>
      <c r="AF32">
        <f t="shared" si="54"/>
        <v>2.1999999999999999E-2</v>
      </c>
      <c r="AG32">
        <f t="shared" si="55"/>
        <v>5.6839877206070859E-3</v>
      </c>
      <c r="AI32">
        <f t="shared" si="42"/>
        <v>1.8073195149545664E-2</v>
      </c>
      <c r="AJ32" s="1"/>
      <c r="AK32">
        <f t="shared" si="56"/>
        <v>6.7706286569148659</v>
      </c>
      <c r="AL32">
        <f t="shared" si="57"/>
        <v>-0.10200659017823943</v>
      </c>
      <c r="AM32">
        <f t="shared" si="58"/>
        <v>0.61557494645830013</v>
      </c>
      <c r="AN32">
        <f t="shared" si="59"/>
        <v>9.0918432785353151E-2</v>
      </c>
      <c r="AO32">
        <f t="shared" si="60"/>
        <v>0.37893251470713907</v>
      </c>
      <c r="AP32">
        <f t="shared" si="43"/>
        <v>0.25546360278019453</v>
      </c>
      <c r="AQ32">
        <f t="shared" si="44"/>
        <v>0.74453639721980547</v>
      </c>
      <c r="AR32" s="1"/>
      <c r="AS32">
        <f t="shared" si="45"/>
        <v>6.7706286569148659</v>
      </c>
      <c r="AT32">
        <f t="shared" si="46"/>
        <v>-8.3933395028693764E-2</v>
      </c>
      <c r="AU32">
        <f t="shared" si="47"/>
        <v>0.61557494645830013</v>
      </c>
      <c r="AV32">
        <f t="shared" si="48"/>
        <v>9.0918432785353151E-2</v>
      </c>
      <c r="AW32">
        <f t="shared" si="49"/>
        <v>0.37893251470713907</v>
      </c>
      <c r="AX32" s="1"/>
      <c r="AY32">
        <f t="shared" si="61"/>
        <v>0.17006082848610041</v>
      </c>
      <c r="AZ32">
        <f t="shared" si="62"/>
        <v>9.4111461397492754E-2</v>
      </c>
      <c r="BA32">
        <f t="shared" si="63"/>
        <v>9.4111461397492754E-2</v>
      </c>
      <c r="BB32">
        <f t="shared" si="64"/>
        <v>-1.4273782696230803E-2</v>
      </c>
      <c r="BC32">
        <f t="shared" si="65"/>
        <v>5.7932657810873985E-2</v>
      </c>
      <c r="BD32">
        <f t="shared" si="66"/>
        <v>8.5564665773993024E-3</v>
      </c>
      <c r="BE32">
        <f t="shared" si="67"/>
        <v>-0.48321241082837907</v>
      </c>
    </row>
    <row r="33" spans="6:58" x14ac:dyDescent="0.3">
      <c r="F33">
        <v>1</v>
      </c>
      <c r="H33">
        <v>25</v>
      </c>
      <c r="I33">
        <v>24.3</v>
      </c>
      <c r="J33">
        <f t="shared" si="33"/>
        <v>102100</v>
      </c>
      <c r="K33">
        <f t="shared" si="34"/>
        <v>1.1965998281865475</v>
      </c>
      <c r="L33">
        <f t="shared" si="35"/>
        <v>373.9374463082961</v>
      </c>
      <c r="M33">
        <f t="shared" si="50"/>
        <v>8.620290839738713</v>
      </c>
      <c r="N33">
        <f t="shared" si="51"/>
        <v>8</v>
      </c>
      <c r="O33">
        <v>7.2</v>
      </c>
      <c r="P33" s="8">
        <v>8.5660000000000007</v>
      </c>
      <c r="Q33" s="8">
        <v>38.845100000000002</v>
      </c>
      <c r="R33" s="8">
        <v>4.1860999999999997</v>
      </c>
      <c r="S33" s="1"/>
      <c r="T33">
        <f t="shared" si="68"/>
        <v>-0.79012588557531238</v>
      </c>
      <c r="U33">
        <f t="shared" si="52"/>
        <v>38.256462453125778</v>
      </c>
      <c r="V33">
        <f t="shared" si="53"/>
        <v>3.4410886687009565</v>
      </c>
      <c r="W33" s="1"/>
      <c r="X33">
        <f t="shared" si="36"/>
        <v>-0.8192012260355106</v>
      </c>
      <c r="Y33">
        <f t="shared" si="37"/>
        <v>35.770598181061828</v>
      </c>
      <c r="Z33">
        <f t="shared" si="38"/>
        <v>3.7702559987924649</v>
      </c>
      <c r="AA33" s="1"/>
      <c r="AB33">
        <f t="shared" si="39"/>
        <v>-0.10832397273026345</v>
      </c>
      <c r="AC33">
        <f t="shared" si="40"/>
        <v>0.74733836113097918</v>
      </c>
      <c r="AD33">
        <f t="shared" si="41"/>
        <v>7.8770193467817579E-2</v>
      </c>
      <c r="AE33" s="1"/>
      <c r="AF33">
        <f t="shared" si="54"/>
        <v>2.1999999999999999E-2</v>
      </c>
      <c r="AG33">
        <f t="shared" si="55"/>
        <v>8.3777193902690675E-3</v>
      </c>
      <c r="AI33">
        <f t="shared" si="42"/>
        <v>2.194175075053479E-2</v>
      </c>
      <c r="AJ33" s="1"/>
      <c r="AK33">
        <f t="shared" si="56"/>
        <v>6.8470238373010694</v>
      </c>
      <c r="AL33">
        <f t="shared" si="57"/>
        <v>-0.13026572348079823</v>
      </c>
      <c r="AM33">
        <f t="shared" si="58"/>
        <v>0.74733836113097918</v>
      </c>
      <c r="AN33">
        <f t="shared" si="59"/>
        <v>0.10914791285808664</v>
      </c>
      <c r="AO33">
        <f t="shared" si="60"/>
        <v>0.55851462601793789</v>
      </c>
      <c r="AP33">
        <f t="shared" si="43"/>
        <v>0.31014541986935634</v>
      </c>
      <c r="AQ33">
        <f t="shared" si="44"/>
        <v>0.68985458013064371</v>
      </c>
      <c r="AR33" s="1"/>
      <c r="AS33">
        <f t="shared" si="45"/>
        <v>6.8470238373010694</v>
      </c>
      <c r="AT33">
        <f t="shared" si="46"/>
        <v>-0.10832397273026345</v>
      </c>
      <c r="AU33">
        <f t="shared" si="47"/>
        <v>0.74733836113097918</v>
      </c>
      <c r="AV33">
        <f t="shared" si="48"/>
        <v>0.10914791285808664</v>
      </c>
      <c r="AW33">
        <f t="shared" si="49"/>
        <v>0.55851462601793789</v>
      </c>
      <c r="AX33" s="1"/>
      <c r="AY33">
        <f t="shared" si="61"/>
        <v>0.17002376414806922</v>
      </c>
      <c r="AZ33">
        <f t="shared" si="62"/>
        <v>9.4074397059461606E-2</v>
      </c>
      <c r="BA33">
        <f t="shared" si="63"/>
        <v>9.4074397059461606E-2</v>
      </c>
      <c r="BB33">
        <f t="shared" si="64"/>
        <v>-1.8417649591072196E-2</v>
      </c>
      <c r="BC33">
        <f t="shared" si="65"/>
        <v>7.0305405722803041E-2</v>
      </c>
      <c r="BD33">
        <f t="shared" si="66"/>
        <v>1.0268024092423158E-2</v>
      </c>
      <c r="BE33">
        <f t="shared" si="67"/>
        <v>-0.63053042888564814</v>
      </c>
    </row>
    <row r="34" spans="6:58" x14ac:dyDescent="0.3">
      <c r="F34">
        <v>1</v>
      </c>
      <c r="H34">
        <v>25</v>
      </c>
      <c r="I34">
        <v>24.3</v>
      </c>
      <c r="J34">
        <f t="shared" si="33"/>
        <v>102100</v>
      </c>
      <c r="K34">
        <f t="shared" si="34"/>
        <v>1.1965998281865475</v>
      </c>
      <c r="L34">
        <f t="shared" si="35"/>
        <v>373.9374463082961</v>
      </c>
      <c r="M34">
        <f t="shared" si="50"/>
        <v>8.6209387579929437</v>
      </c>
      <c r="N34">
        <f t="shared" si="51"/>
        <v>8</v>
      </c>
      <c r="O34">
        <v>7.2</v>
      </c>
      <c r="P34" s="8">
        <v>8.6113999999999997</v>
      </c>
      <c r="Q34" s="8">
        <v>38.890900000000002</v>
      </c>
      <c r="R34" s="8">
        <v>4.1887999999999996</v>
      </c>
      <c r="S34" s="1"/>
      <c r="T34">
        <f t="shared" si="68"/>
        <v>-0.74472588557531338</v>
      </c>
      <c r="U34">
        <f t="shared" si="52"/>
        <v>38.302262453125778</v>
      </c>
      <c r="V34">
        <f t="shared" si="53"/>
        <v>3.4437886687009565</v>
      </c>
      <c r="W34" s="1"/>
      <c r="X34">
        <f t="shared" si="36"/>
        <v>-0.82630856603551039</v>
      </c>
      <c r="Y34">
        <f t="shared" si="37"/>
        <v>35.807961982107223</v>
      </c>
      <c r="Z34">
        <f t="shared" si="38"/>
        <v>3.8179913321571712</v>
      </c>
      <c r="AA34" s="1"/>
      <c r="AB34">
        <f t="shared" si="39"/>
        <v>-0.10926378492765305</v>
      </c>
      <c r="AC34">
        <f t="shared" si="40"/>
        <v>0.74811898553366729</v>
      </c>
      <c r="AD34">
        <f t="shared" si="41"/>
        <v>7.9767505439628766E-2</v>
      </c>
      <c r="AE34" s="1"/>
      <c r="AF34">
        <f t="shared" si="54"/>
        <v>2.1999999999999999E-2</v>
      </c>
      <c r="AG34">
        <f t="shared" si="55"/>
        <v>8.3952302477388521E-3</v>
      </c>
      <c r="AI34">
        <f t="shared" si="42"/>
        <v>2.1964669774854173E-2</v>
      </c>
      <c r="AJ34" s="1"/>
      <c r="AK34">
        <f t="shared" si="56"/>
        <v>6.7910349254285478</v>
      </c>
      <c r="AL34">
        <f t="shared" si="57"/>
        <v>-0.13122845470250721</v>
      </c>
      <c r="AM34">
        <f t="shared" si="58"/>
        <v>0.74811898553366729</v>
      </c>
      <c r="AN34">
        <f t="shared" si="59"/>
        <v>0.11016273568736761</v>
      </c>
      <c r="AO34">
        <f t="shared" si="60"/>
        <v>0.55968201651592353</v>
      </c>
      <c r="AP34">
        <f t="shared" si="43"/>
        <v>0.31046937899647192</v>
      </c>
      <c r="AQ34">
        <f t="shared" si="44"/>
        <v>0.68953062100352813</v>
      </c>
      <c r="AR34" s="1"/>
      <c r="AS34">
        <f t="shared" si="45"/>
        <v>6.7910349254285478</v>
      </c>
      <c r="AT34">
        <f t="shared" si="46"/>
        <v>-0.10926378492765305</v>
      </c>
      <c r="AU34">
        <f t="shared" si="47"/>
        <v>0.74811898553366729</v>
      </c>
      <c r="AV34">
        <f t="shared" si="48"/>
        <v>0.11016273568736761</v>
      </c>
      <c r="AW34">
        <f t="shared" si="49"/>
        <v>0.55968201651592353</v>
      </c>
      <c r="AX34" s="1"/>
      <c r="AY34">
        <f t="shared" si="61"/>
        <v>0.170023364266736</v>
      </c>
      <c r="AZ34">
        <f t="shared" si="62"/>
        <v>9.407399717812838E-2</v>
      </c>
      <c r="BA34">
        <f t="shared" si="63"/>
        <v>9.407399717812838E-2</v>
      </c>
      <c r="BB34">
        <f t="shared" si="64"/>
        <v>-1.8577396305916656E-2</v>
      </c>
      <c r="BC34">
        <f t="shared" si="65"/>
        <v>7.0378543333998483E-2</v>
      </c>
      <c r="BD34">
        <f t="shared" si="66"/>
        <v>1.0363448886188323E-2</v>
      </c>
      <c r="BE34">
        <f t="shared" si="67"/>
        <v>-0.63079873568503653</v>
      </c>
    </row>
    <row r="35" spans="6:58" x14ac:dyDescent="0.3">
      <c r="F35">
        <v>1</v>
      </c>
      <c r="H35">
        <v>25</v>
      </c>
      <c r="I35">
        <v>24.3</v>
      </c>
      <c r="J35">
        <f t="shared" si="33"/>
        <v>102100</v>
      </c>
      <c r="K35">
        <f t="shared" si="34"/>
        <v>1.1965998281865475</v>
      </c>
      <c r="L35">
        <f t="shared" si="35"/>
        <v>373.9374463082961</v>
      </c>
      <c r="M35">
        <f t="shared" si="50"/>
        <v>10.70871173950162</v>
      </c>
      <c r="N35">
        <f t="shared" si="51"/>
        <v>10</v>
      </c>
      <c r="O35">
        <v>9.1999999999999993</v>
      </c>
      <c r="P35" s="8">
        <v>9.8849</v>
      </c>
      <c r="Q35" s="8">
        <v>44.673099999999998</v>
      </c>
      <c r="R35" s="8">
        <v>4.7724000000000002</v>
      </c>
      <c r="S35" s="1"/>
      <c r="T35">
        <f t="shared" si="68"/>
        <v>-2.0502306611954726</v>
      </c>
      <c r="U35">
        <f t="shared" si="52"/>
        <v>43.712822187698542</v>
      </c>
      <c r="V35">
        <f t="shared" si="53"/>
        <v>3.8109508342800389</v>
      </c>
      <c r="W35" s="1"/>
      <c r="X35">
        <f t="shared" si="36"/>
        <v>-0.93106844389936372</v>
      </c>
      <c r="Y35">
        <f t="shared" si="37"/>
        <v>40.869607022719414</v>
      </c>
      <c r="Z35">
        <f t="shared" si="38"/>
        <v>4.6671008378225745</v>
      </c>
      <c r="AA35" s="1"/>
      <c r="AB35">
        <f t="shared" si="39"/>
        <v>-0.12311631076903633</v>
      </c>
      <c r="AC35">
        <f t="shared" si="40"/>
        <v>0.85386956566460248</v>
      </c>
      <c r="AD35">
        <f t="shared" si="41"/>
        <v>9.7507552815204457E-2</v>
      </c>
      <c r="AE35" s="1"/>
      <c r="AF35">
        <f t="shared" si="54"/>
        <v>2.1999999999999999E-2</v>
      </c>
      <c r="AG35">
        <f t="shared" si="55"/>
        <v>1.0936398527523853E-2</v>
      </c>
      <c r="AI35">
        <f t="shared" si="42"/>
        <v>2.5069492157377058E-2</v>
      </c>
      <c r="AJ35" s="1"/>
      <c r="AK35">
        <f t="shared" si="56"/>
        <v>6.5458732035887701</v>
      </c>
      <c r="AL35">
        <f t="shared" si="57"/>
        <v>-0.1481858029264134</v>
      </c>
      <c r="AM35">
        <f t="shared" si="58"/>
        <v>0.85386956566460248</v>
      </c>
      <c r="AN35">
        <f t="shared" si="59"/>
        <v>0.13044395134272829</v>
      </c>
      <c r="AO35">
        <f t="shared" si="60"/>
        <v>0.72909323516825686</v>
      </c>
      <c r="AP35">
        <f t="shared" si="43"/>
        <v>0.35435586975081002</v>
      </c>
      <c r="AQ35">
        <f t="shared" si="44"/>
        <v>0.64564413024918998</v>
      </c>
      <c r="AR35" s="1"/>
      <c r="AS35">
        <f t="shared" si="45"/>
        <v>6.5458732035887701</v>
      </c>
      <c r="AT35">
        <f t="shared" si="46"/>
        <v>-0.12311631076903633</v>
      </c>
      <c r="AU35">
        <f t="shared" si="47"/>
        <v>0.85386956566460248</v>
      </c>
      <c r="AV35">
        <f t="shared" si="48"/>
        <v>0.13044395134272829</v>
      </c>
      <c r="AW35">
        <f t="shared" si="49"/>
        <v>0.72909323516825686</v>
      </c>
      <c r="AX35" s="1"/>
      <c r="AY35">
        <f t="shared" si="61"/>
        <v>0.16999962300020102</v>
      </c>
      <c r="AZ35">
        <f t="shared" si="62"/>
        <v>9.4050255911593383E-2</v>
      </c>
      <c r="BA35">
        <f t="shared" si="63"/>
        <v>9.4050255911593383E-2</v>
      </c>
      <c r="BB35">
        <f t="shared" si="64"/>
        <v>-2.0929726415911766E-2</v>
      </c>
      <c r="BC35">
        <f t="shared" si="65"/>
        <v>8.0306651165876958E-2</v>
      </c>
      <c r="BD35">
        <f t="shared" si="66"/>
        <v>1.2268287005903031E-2</v>
      </c>
      <c r="BE35">
        <f t="shared" si="67"/>
        <v>-0.6850166765218042</v>
      </c>
    </row>
    <row r="36" spans="6:58" x14ac:dyDescent="0.3">
      <c r="F36">
        <v>1</v>
      </c>
      <c r="H36">
        <v>25</v>
      </c>
      <c r="I36">
        <v>24.3</v>
      </c>
      <c r="J36">
        <f t="shared" si="33"/>
        <v>102100</v>
      </c>
      <c r="K36">
        <f t="shared" si="34"/>
        <v>1.1965998281865475</v>
      </c>
      <c r="L36">
        <f t="shared" si="35"/>
        <v>373.9374463082961</v>
      </c>
      <c r="M36">
        <f t="shared" si="50"/>
        <v>10.707746437131144</v>
      </c>
      <c r="N36">
        <f t="shared" si="51"/>
        <v>10</v>
      </c>
      <c r="O36">
        <v>9.1999999999999993</v>
      </c>
      <c r="P36" s="8">
        <v>9.9009</v>
      </c>
      <c r="Q36" s="8">
        <v>44.615699999999997</v>
      </c>
      <c r="R36" s="8">
        <v>4.7770999999999999</v>
      </c>
      <c r="S36" s="1"/>
      <c r="T36">
        <f t="shared" si="68"/>
        <v>-2.0342306611954726</v>
      </c>
      <c r="U36">
        <f t="shared" si="52"/>
        <v>43.655422187698541</v>
      </c>
      <c r="V36">
        <f t="shared" si="53"/>
        <v>3.8156508342800386</v>
      </c>
      <c r="W36" s="1"/>
      <c r="X36">
        <f t="shared" si="36"/>
        <v>-0.92209990389936414</v>
      </c>
      <c r="Y36">
        <f t="shared" si="37"/>
        <v>40.81394048533825</v>
      </c>
      <c r="Z36">
        <f t="shared" si="38"/>
        <v>4.6733208178861716</v>
      </c>
      <c r="AA36" s="1"/>
      <c r="AB36">
        <f t="shared" si="39"/>
        <v>-0.12193038983591981</v>
      </c>
      <c r="AC36">
        <f t="shared" si="40"/>
        <v>0.85270655076041502</v>
      </c>
      <c r="AD36">
        <f t="shared" si="41"/>
        <v>9.7637503946674684E-2</v>
      </c>
      <c r="AE36" s="1"/>
      <c r="AF36">
        <f t="shared" si="54"/>
        <v>2.1999999999999999E-2</v>
      </c>
      <c r="AG36">
        <f t="shared" si="55"/>
        <v>1.0906626925645863E-2</v>
      </c>
      <c r="AI36">
        <f t="shared" si="42"/>
        <v>2.5035346200907995E-2</v>
      </c>
      <c r="AJ36" s="1"/>
      <c r="AK36">
        <f t="shared" si="56"/>
        <v>6.5319409234445756</v>
      </c>
      <c r="AL36">
        <f t="shared" si="57"/>
        <v>-0.1469657360368278</v>
      </c>
      <c r="AM36">
        <f t="shared" si="58"/>
        <v>0.85270655076041502</v>
      </c>
      <c r="AN36">
        <f t="shared" si="59"/>
        <v>0.13054413087232056</v>
      </c>
      <c r="AO36">
        <f t="shared" si="60"/>
        <v>0.72710846170972421</v>
      </c>
      <c r="AP36">
        <f t="shared" si="43"/>
        <v>0.35387321856557219</v>
      </c>
      <c r="AQ36">
        <f t="shared" si="44"/>
        <v>0.64612678143442781</v>
      </c>
      <c r="AR36" s="1"/>
      <c r="AS36">
        <f t="shared" si="45"/>
        <v>6.5319409234445756</v>
      </c>
      <c r="AT36">
        <f t="shared" si="46"/>
        <v>-0.12193038983591981</v>
      </c>
      <c r="AU36">
        <f t="shared" si="47"/>
        <v>0.85270655076041502</v>
      </c>
      <c r="AV36">
        <f t="shared" si="48"/>
        <v>0.13054413087232056</v>
      </c>
      <c r="AW36">
        <f t="shared" si="49"/>
        <v>0.72710846170972421</v>
      </c>
      <c r="AX36" s="1"/>
      <c r="AY36">
        <f t="shared" si="61"/>
        <v>0.16999945257997442</v>
      </c>
      <c r="AZ36">
        <f t="shared" si="62"/>
        <v>9.40500854913668E-2</v>
      </c>
      <c r="BA36">
        <f t="shared" si="63"/>
        <v>9.40500854913668E-2</v>
      </c>
      <c r="BB36">
        <f t="shared" si="64"/>
        <v>-2.0728099524969245E-2</v>
      </c>
      <c r="BC36">
        <f t="shared" si="65"/>
        <v>8.0197123998065542E-2</v>
      </c>
      <c r="BD36">
        <f t="shared" si="66"/>
        <v>1.2277686668937924E-2</v>
      </c>
      <c r="BE36">
        <f t="shared" si="67"/>
        <v>-0.6769736077618933</v>
      </c>
    </row>
    <row r="37" spans="6:58" x14ac:dyDescent="0.3">
      <c r="F37">
        <v>1</v>
      </c>
      <c r="H37">
        <v>25</v>
      </c>
      <c r="I37">
        <v>24.3</v>
      </c>
      <c r="J37">
        <f t="shared" si="33"/>
        <v>102100</v>
      </c>
      <c r="K37">
        <f t="shared" si="34"/>
        <v>1.1965998281865475</v>
      </c>
      <c r="L37">
        <f t="shared" si="35"/>
        <v>373.9374463082961</v>
      </c>
      <c r="M37">
        <f t="shared" si="50"/>
        <v>12.782879792211608</v>
      </c>
      <c r="N37">
        <f t="shared" si="51"/>
        <v>12</v>
      </c>
      <c r="O37">
        <v>11.2</v>
      </c>
      <c r="P37" s="8">
        <v>11.072699999999999</v>
      </c>
      <c r="Q37" s="8">
        <v>49.704000000000001</v>
      </c>
      <c r="R37" s="8">
        <v>5.2587000000000002</v>
      </c>
      <c r="S37" s="1"/>
      <c r="T37">
        <f t="shared" si="68"/>
        <v>-3.4268943185709091</v>
      </c>
      <c r="U37">
        <f t="shared" si="52"/>
        <v>48.282302346817147</v>
      </c>
      <c r="V37">
        <f t="shared" si="53"/>
        <v>4.0771731476396669</v>
      </c>
      <c r="W37" s="1"/>
      <c r="X37">
        <f t="shared" si="36"/>
        <v>-1.0324332523694149</v>
      </c>
      <c r="Y37">
        <f t="shared" si="37"/>
        <v>45.146690354271328</v>
      </c>
      <c r="Z37">
        <f t="shared" si="38"/>
        <v>5.655464901715475</v>
      </c>
      <c r="AA37" s="1"/>
      <c r="AB37">
        <f t="shared" si="39"/>
        <v>-0.13651990246244308</v>
      </c>
      <c r="AC37">
        <f t="shared" si="40"/>
        <v>0.94322866531519023</v>
      </c>
      <c r="AD37">
        <f t="shared" si="41"/>
        <v>0.11815698048123485</v>
      </c>
      <c r="AE37" s="1"/>
      <c r="AF37">
        <f t="shared" si="54"/>
        <v>2.1999999999999999E-2</v>
      </c>
      <c r="AG37">
        <f t="shared" si="55"/>
        <v>1.3345204726084128E-2</v>
      </c>
      <c r="AI37">
        <f t="shared" si="42"/>
        <v>2.7693062943785228E-2</v>
      </c>
      <c r="AJ37" s="1"/>
      <c r="AK37">
        <f t="shared" si="56"/>
        <v>6.1447246763378134</v>
      </c>
      <c r="AL37">
        <f t="shared" si="57"/>
        <v>-0.16421296540622832</v>
      </c>
      <c r="AM37">
        <f t="shared" si="58"/>
        <v>0.94322866531519023</v>
      </c>
      <c r="AN37">
        <f t="shared" si="59"/>
        <v>0.15350218520731898</v>
      </c>
      <c r="AO37">
        <f t="shared" si="60"/>
        <v>0.88968031507227519</v>
      </c>
      <c r="AP37">
        <f t="shared" si="43"/>
        <v>0.39143989610580393</v>
      </c>
      <c r="AQ37">
        <f t="shared" si="44"/>
        <v>0.60856010389419612</v>
      </c>
      <c r="AR37" s="1"/>
      <c r="AS37">
        <f t="shared" si="45"/>
        <v>6.1447246763378134</v>
      </c>
      <c r="AT37">
        <f t="shared" si="46"/>
        <v>-0.13651990246244308</v>
      </c>
      <c r="AU37">
        <f t="shared" si="47"/>
        <v>0.94322866531519023</v>
      </c>
      <c r="AV37">
        <f t="shared" si="48"/>
        <v>0.15350218520731898</v>
      </c>
      <c r="AW37">
        <f t="shared" si="49"/>
        <v>0.88968031507227519</v>
      </c>
      <c r="AX37" s="1"/>
      <c r="AY37">
        <f t="shared" si="61"/>
        <v>0.16998337548274597</v>
      </c>
      <c r="AZ37">
        <f t="shared" si="62"/>
        <v>9.4034008394138363E-2</v>
      </c>
      <c r="BA37">
        <f t="shared" si="63"/>
        <v>9.4034008394138363E-2</v>
      </c>
      <c r="BB37">
        <f t="shared" si="64"/>
        <v>-2.320611384114132E-2</v>
      </c>
      <c r="BC37">
        <f t="shared" si="65"/>
        <v>8.8695572231840519E-2</v>
      </c>
      <c r="BD37">
        <f t="shared" si="66"/>
        <v>1.4434425772303614E-2</v>
      </c>
      <c r="BE37">
        <f t="shared" si="67"/>
        <v>-0.71297590180782766</v>
      </c>
    </row>
    <row r="38" spans="6:58" x14ac:dyDescent="0.3">
      <c r="F38">
        <v>1</v>
      </c>
      <c r="H38">
        <v>25</v>
      </c>
      <c r="I38">
        <v>24.3</v>
      </c>
      <c r="J38">
        <f t="shared" si="33"/>
        <v>102100</v>
      </c>
      <c r="K38">
        <f t="shared" si="34"/>
        <v>1.1965998281865475</v>
      </c>
      <c r="L38">
        <f t="shared" si="35"/>
        <v>373.9374463082961</v>
      </c>
      <c r="M38">
        <f t="shared" si="50"/>
        <v>12.782964438817853</v>
      </c>
      <c r="N38">
        <f t="shared" si="51"/>
        <v>12</v>
      </c>
      <c r="O38">
        <v>11.2</v>
      </c>
      <c r="P38" s="8">
        <v>11.1197</v>
      </c>
      <c r="Q38" s="8">
        <v>49.718600000000002</v>
      </c>
      <c r="R38" s="8">
        <v>5.2567000000000004</v>
      </c>
      <c r="S38" s="1"/>
      <c r="T38">
        <f t="shared" si="68"/>
        <v>-3.3798943185709085</v>
      </c>
      <c r="U38">
        <f t="shared" si="52"/>
        <v>48.296902346817149</v>
      </c>
      <c r="V38">
        <f t="shared" si="53"/>
        <v>4.0751731476396671</v>
      </c>
      <c r="W38" s="1"/>
      <c r="X38">
        <f t="shared" si="36"/>
        <v>-1.040751312369415</v>
      </c>
      <c r="Y38">
        <f t="shared" si="37"/>
        <v>45.151571709186449</v>
      </c>
      <c r="Z38">
        <f t="shared" si="38"/>
        <v>5.7014691727149467</v>
      </c>
      <c r="AA38" s="1"/>
      <c r="AB38">
        <f t="shared" si="39"/>
        <v>-0.13761980963539652</v>
      </c>
      <c r="AC38">
        <f t="shared" si="40"/>
        <v>0.94333064917813536</v>
      </c>
      <c r="AD38">
        <f t="shared" si="41"/>
        <v>0.119118126177478</v>
      </c>
      <c r="AE38" s="1"/>
      <c r="AF38">
        <f t="shared" si="54"/>
        <v>2.1999999999999999E-2</v>
      </c>
      <c r="AG38">
        <f t="shared" si="55"/>
        <v>1.3348090705182633E-2</v>
      </c>
      <c r="AI38">
        <f t="shared" si="42"/>
        <v>2.7696057175872996E-2</v>
      </c>
      <c r="AJ38" s="1"/>
      <c r="AK38">
        <f t="shared" si="56"/>
        <v>6.1070353648573592</v>
      </c>
      <c r="AL38">
        <f t="shared" si="57"/>
        <v>-0.16531586681126953</v>
      </c>
      <c r="AM38">
        <f t="shared" si="58"/>
        <v>0.94333064917813536</v>
      </c>
      <c r="AN38">
        <f t="shared" si="59"/>
        <v>0.15446621688266063</v>
      </c>
      <c r="AO38">
        <f t="shared" si="60"/>
        <v>0.88987271367884224</v>
      </c>
      <c r="AP38">
        <f t="shared" si="43"/>
        <v>0.39148221940892614</v>
      </c>
      <c r="AQ38">
        <f t="shared" si="44"/>
        <v>0.60851778059107386</v>
      </c>
      <c r="AR38" s="1"/>
      <c r="AS38">
        <f t="shared" si="45"/>
        <v>6.1070353648573592</v>
      </c>
      <c r="AT38">
        <f t="shared" si="46"/>
        <v>-0.13761980963539652</v>
      </c>
      <c r="AU38">
        <f t="shared" si="47"/>
        <v>0.94333064917813536</v>
      </c>
      <c r="AV38">
        <f t="shared" si="48"/>
        <v>0.15446621688266063</v>
      </c>
      <c r="AW38">
        <f t="shared" si="49"/>
        <v>0.88987271367884224</v>
      </c>
      <c r="AX38" s="1"/>
      <c r="AY38">
        <f t="shared" si="61"/>
        <v>0.16998321784093504</v>
      </c>
      <c r="AZ38">
        <f t="shared" si="62"/>
        <v>9.4033850752327397E-2</v>
      </c>
      <c r="BA38">
        <f t="shared" si="63"/>
        <v>9.4033850752327397E-2</v>
      </c>
      <c r="BB38">
        <f t="shared" si="64"/>
        <v>-2.3393058080481619E-2</v>
      </c>
      <c r="BC38">
        <f t="shared" si="65"/>
        <v>8.87050134749129E-2</v>
      </c>
      <c r="BD38">
        <f t="shared" si="66"/>
        <v>1.4525053184620744E-2</v>
      </c>
      <c r="BE38">
        <f t="shared" si="67"/>
        <v>-0.71431116494831737</v>
      </c>
    </row>
    <row r="39" spans="6:58" x14ac:dyDescent="0.3">
      <c r="F39" s="37" t="s">
        <v>120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24"/>
    </row>
    <row r="40" spans="6:58" x14ac:dyDescent="0.3">
      <c r="F40" s="38" t="s">
        <v>56</v>
      </c>
      <c r="G40" s="38"/>
      <c r="H40" s="38"/>
      <c r="I40" s="38"/>
      <c r="J40" s="38"/>
      <c r="K40" s="38"/>
      <c r="L40" s="38"/>
      <c r="M40" s="38"/>
      <c r="N40" s="38" t="s">
        <v>57</v>
      </c>
      <c r="O40" s="38"/>
      <c r="P40" s="38"/>
      <c r="Q40" s="38"/>
      <c r="R40" s="38"/>
      <c r="S40" s="1"/>
      <c r="T40" s="38" t="s">
        <v>58</v>
      </c>
      <c r="U40" s="38"/>
      <c r="V40" s="38"/>
      <c r="W40" s="1"/>
      <c r="X40" s="38" t="s">
        <v>59</v>
      </c>
      <c r="Y40" s="38"/>
      <c r="Z40" s="38"/>
      <c r="AA40" s="1"/>
      <c r="AB40" s="38" t="s">
        <v>60</v>
      </c>
      <c r="AC40" s="38"/>
      <c r="AD40" s="38"/>
      <c r="AE40" s="1"/>
      <c r="AF40" s="38" t="s">
        <v>61</v>
      </c>
      <c r="AG40" s="38"/>
      <c r="AH40" s="38"/>
      <c r="AI40" s="38"/>
      <c r="AJ40" s="1"/>
      <c r="AK40" s="1"/>
      <c r="AL40" s="38" t="s">
        <v>62</v>
      </c>
      <c r="AM40" s="38"/>
      <c r="AN40" s="38"/>
      <c r="AO40" s="5"/>
      <c r="AP40" s="5"/>
      <c r="AQ40" s="5"/>
      <c r="AR40" s="1"/>
      <c r="AS40" s="38" t="s">
        <v>133</v>
      </c>
      <c r="AT40" s="38"/>
      <c r="AU40" s="38"/>
      <c r="AV40" s="38"/>
      <c r="AW40" s="38"/>
      <c r="AX40" s="5"/>
      <c r="AY40" s="38" t="s">
        <v>136</v>
      </c>
      <c r="AZ40" s="38"/>
      <c r="BA40" s="38"/>
      <c r="BB40" s="38"/>
      <c r="BC40" s="38"/>
      <c r="BD40" s="38"/>
      <c r="BE40" s="38"/>
      <c r="BF40" s="24"/>
    </row>
    <row r="41" spans="6:58" x14ac:dyDescent="0.3">
      <c r="F41" s="10" t="s">
        <v>123</v>
      </c>
      <c r="G41" s="10" t="s">
        <v>65</v>
      </c>
      <c r="H41" s="10" t="s">
        <v>66</v>
      </c>
      <c r="I41" s="10" t="s">
        <v>67</v>
      </c>
      <c r="J41" s="11" t="s">
        <v>68</v>
      </c>
      <c r="K41" s="1" t="s">
        <v>69</v>
      </c>
      <c r="L41" s="11" t="s">
        <v>70</v>
      </c>
      <c r="M41" s="7" t="s">
        <v>71</v>
      </c>
      <c r="N41" s="2" t="s">
        <v>72</v>
      </c>
      <c r="O41" s="2" t="s">
        <v>73</v>
      </c>
      <c r="P41" s="2" t="s">
        <v>74</v>
      </c>
      <c r="Q41" s="2" t="s">
        <v>75</v>
      </c>
      <c r="R41" s="2" t="s">
        <v>76</v>
      </c>
      <c r="S41" s="1"/>
      <c r="T41" s="1" t="s">
        <v>77</v>
      </c>
      <c r="U41" s="1" t="s">
        <v>78</v>
      </c>
      <c r="V41" s="1" t="s">
        <v>79</v>
      </c>
      <c r="W41" s="1"/>
      <c r="X41" s="1" t="s">
        <v>80</v>
      </c>
      <c r="Y41" s="1" t="s">
        <v>81</v>
      </c>
      <c r="Z41" s="1" t="s">
        <v>82</v>
      </c>
      <c r="AA41" s="1"/>
      <c r="AB41" s="1" t="s">
        <v>83</v>
      </c>
      <c r="AC41" s="1" t="s">
        <v>84</v>
      </c>
      <c r="AD41" s="1" t="s">
        <v>85</v>
      </c>
      <c r="AE41" s="1"/>
      <c r="AF41" s="1" t="s">
        <v>86</v>
      </c>
      <c r="AG41" s="1" t="s">
        <v>87</v>
      </c>
      <c r="AH41" s="1" t="s">
        <v>88</v>
      </c>
      <c r="AI41" s="1" t="s">
        <v>89</v>
      </c>
      <c r="AJ41" s="1"/>
      <c r="AK41" s="1" t="s">
        <v>151</v>
      </c>
      <c r="AL41" s="1" t="s">
        <v>90</v>
      </c>
      <c r="AM41" s="1" t="s">
        <v>91</v>
      </c>
      <c r="AN41" s="1" t="s">
        <v>92</v>
      </c>
      <c r="AO41" s="1" t="s">
        <v>93</v>
      </c>
      <c r="AP41" s="1" t="s">
        <v>124</v>
      </c>
      <c r="AQ41" s="1" t="s">
        <v>125</v>
      </c>
      <c r="AR41" s="1"/>
      <c r="AS41" s="1" t="s">
        <v>127</v>
      </c>
      <c r="AT41" s="1" t="s">
        <v>90</v>
      </c>
      <c r="AU41" s="1" t="s">
        <v>91</v>
      </c>
      <c r="AV41" s="1" t="s">
        <v>92</v>
      </c>
      <c r="AW41" s="1" t="s">
        <v>93</v>
      </c>
      <c r="AX41" s="1"/>
      <c r="AY41" s="1" t="s">
        <v>137</v>
      </c>
      <c r="AZ41" s="1" t="s">
        <v>138</v>
      </c>
      <c r="BA41" s="1" t="s">
        <v>139</v>
      </c>
      <c r="BB41" s="1" t="s">
        <v>140</v>
      </c>
      <c r="BC41" s="1" t="s">
        <v>141</v>
      </c>
      <c r="BD41" s="1" t="s">
        <v>142</v>
      </c>
      <c r="BE41" s="1" t="s">
        <v>143</v>
      </c>
    </row>
    <row r="42" spans="6:58" x14ac:dyDescent="0.3">
      <c r="F42">
        <v>-2</v>
      </c>
      <c r="H42">
        <v>25</v>
      </c>
      <c r="I42">
        <v>24.1</v>
      </c>
      <c r="J42">
        <f t="shared" ref="J42:J71" si="69">102.1*10^3</f>
        <v>102100</v>
      </c>
      <c r="K42">
        <f t="shared" ref="K42:K71" si="70">J42/(287*(I42+273))</f>
        <v>1.1974053480978142</v>
      </c>
      <c r="L42">
        <f t="shared" ref="L42:L71" si="71">0.5*(H42^2)*K42</f>
        <v>374.18917128056694</v>
      </c>
      <c r="M42">
        <f>N42+0.83*(AM42)</f>
        <v>-2.0694002273147172</v>
      </c>
      <c r="N42">
        <f>O42+0.8</f>
        <v>-1.9999999999999998</v>
      </c>
      <c r="O42">
        <v>-2.8</v>
      </c>
      <c r="P42" s="8">
        <v>-1.0831999999999999</v>
      </c>
      <c r="Q42" s="8">
        <v>-4.3018000000000001</v>
      </c>
      <c r="R42" s="8">
        <v>0.67759999999999998</v>
      </c>
      <c r="S42" s="1"/>
      <c r="T42">
        <f>P42-$B$23*SIN(RADIANS(O42))</f>
        <v>2.56343531524253</v>
      </c>
      <c r="U42">
        <f>Q42+$B$23*(COS(RADIANS(O42))-1)</f>
        <v>-4.3909218474619456</v>
      </c>
      <c r="V42">
        <f>R42-$B$23*($D$23*SIN(RADIANS(O42))+$C$23*(COS(RADIANS(O42))-1))</f>
        <v>0.95112372882226814</v>
      </c>
      <c r="W42" s="1"/>
      <c r="X42">
        <f t="shared" ref="X42:X71" si="72">(V42-0.115*U42-0.11*T42)*0.94</f>
        <v>1.1036557452074907</v>
      </c>
      <c r="Y42">
        <f t="shared" ref="Y42:Y71" si="73">(U42*COS(RADIANS(O42))-T42*SIN(RADIANS(O42)))*0.94</f>
        <v>-4.0048290769082735</v>
      </c>
      <c r="Z42">
        <f t="shared" ref="Z42:Z71" si="74">(T42*COS(RADIANS(O42))+U42*SIN(RADIANS(O42)))*0.94</f>
        <v>2.6083782201621939</v>
      </c>
      <c r="AA42" s="1"/>
      <c r="AB42">
        <f t="shared" ref="AB42:AB71" si="75">X42/(L42*($C$8)*($C$10))</f>
        <v>0.14583956375858359</v>
      </c>
      <c r="AC42">
        <f t="shared" ref="AC42:AC71" si="76">Y42/(L42*($C$10))</f>
        <v>-8.3614731704478848E-2</v>
      </c>
      <c r="AD42">
        <f t="shared" ref="AD42:AD71" si="77">Z42/(L42*($C$10))</f>
        <v>5.445896463352691E-2</v>
      </c>
      <c r="AE42" s="1"/>
      <c r="AF42">
        <f>0.022</f>
        <v>2.1999999999999999E-2</v>
      </c>
      <c r="AG42">
        <f xml:space="preserve"> 0.015*(AC42^2)</f>
        <v>1.0487135037017971E-4</v>
      </c>
      <c r="AI42">
        <f t="shared" ref="AI42:AI71" si="78">-0.415*AM42*(-0.0707466541333333)</f>
        <v>-2.4549169393045123E-3</v>
      </c>
      <c r="AJ42" s="1"/>
      <c r="AK42">
        <f>AM42/AN42</f>
        <v>-1.0920917248982234</v>
      </c>
      <c r="AL42">
        <f>AB42-AI42</f>
        <v>0.14829448069788811</v>
      </c>
      <c r="AM42">
        <f>AC42</f>
        <v>-8.3614731704478848E-2</v>
      </c>
      <c r="AN42">
        <f>(AD42+AF42+AG42)</f>
        <v>7.6563835983897099E-2</v>
      </c>
      <c r="AO42">
        <f>AM42^2</f>
        <v>6.9914233580119804E-3</v>
      </c>
      <c r="AP42">
        <f t="shared" ref="AP42:AP71" si="79">0.415*AM42</f>
        <v>-3.4700113657358721E-2</v>
      </c>
      <c r="AQ42">
        <f t="shared" ref="AQ42:AQ71" si="80">F42-AP42</f>
        <v>-1.9652998863426412</v>
      </c>
      <c r="AR42" s="1"/>
      <c r="AS42">
        <f t="shared" ref="AS42:AS71" si="81">AM42/AN42</f>
        <v>-1.0920917248982234</v>
      </c>
      <c r="AT42">
        <f t="shared" ref="AT42:AT71" si="82">AB42</f>
        <v>0.14583956375858359</v>
      </c>
      <c r="AU42">
        <f t="shared" ref="AU42:AU71" si="83">AC42</f>
        <v>-8.3614731704478848E-2</v>
      </c>
      <c r="AV42">
        <f t="shared" ref="AV42:AV71" si="84">(AD42+AF42+AG42)</f>
        <v>7.6563835983897099E-2</v>
      </c>
      <c r="AW42">
        <f t="shared" ref="AW42:AW71" si="85">AM42^2</f>
        <v>6.9914233580119804E-3</v>
      </c>
      <c r="AX42" s="1"/>
      <c r="AY42">
        <f>(0.0005*24/$C$10)+(0.0005*24/$C$8)+(0.0005/P42)+(0.0005/Q42)+(0.0005/R42)+(0.05/L42)</f>
        <v>0.16999306211803281</v>
      </c>
      <c r="AZ42">
        <f>(0.0005*24/$C$10)+(0.0005/P42)+(0.0005/Q42)+(0.0005/R42)+(0.05/L42)</f>
        <v>9.4043695029425181E-2</v>
      </c>
      <c r="BA42">
        <f>(0.0005*24/$C$10)+(0.0005/P42)+(0.0005/Q42)+(0.0005/R42)+(0.05/L42)</f>
        <v>9.4043695029425181E-2</v>
      </c>
      <c r="BB42">
        <f>AY42*AT42</f>
        <v>2.4791714021279707E-2</v>
      </c>
      <c r="BC42">
        <f>AZ42*AU42</f>
        <v>-7.8634383283832168E-3</v>
      </c>
      <c r="BD42">
        <f>BA42*AV42</f>
        <v>7.2003460415525486E-3</v>
      </c>
      <c r="BE42">
        <f>BB42*AK42*5</f>
        <v>-0.13537412864341411</v>
      </c>
    </row>
    <row r="43" spans="6:58" x14ac:dyDescent="0.3">
      <c r="F43">
        <v>-2</v>
      </c>
      <c r="H43">
        <v>25</v>
      </c>
      <c r="I43">
        <v>24.1</v>
      </c>
      <c r="J43">
        <f t="shared" si="69"/>
        <v>102100</v>
      </c>
      <c r="K43">
        <f t="shared" si="70"/>
        <v>1.1974053480978142</v>
      </c>
      <c r="L43">
        <f t="shared" si="71"/>
        <v>374.18917128056694</v>
      </c>
      <c r="M43">
        <f t="shared" ref="M43:M56" si="86">N43+0.83*(AM43)</f>
        <v>-2.0671459905496627</v>
      </c>
      <c r="N43">
        <f t="shared" ref="N43:N71" si="87">O43+0.8</f>
        <v>-1.9999999999999998</v>
      </c>
      <c r="O43">
        <v>-2.8</v>
      </c>
      <c r="P43" s="8">
        <v>-1.2089000000000001</v>
      </c>
      <c r="Q43" s="8">
        <v>-4.1570999999999998</v>
      </c>
      <c r="R43" s="8">
        <v>0.6573</v>
      </c>
      <c r="S43" s="1"/>
      <c r="T43">
        <f t="shared" ref="T43:T71" si="88">P43-$B$23*SIN(RADIANS(O43))</f>
        <v>2.4377353152425298</v>
      </c>
      <c r="U43">
        <f t="shared" ref="U43:U71" si="89">Q43+$B$23*(COS(RADIANS(O43))-1)</f>
        <v>-4.2462218474619453</v>
      </c>
      <c r="V43">
        <f t="shared" ref="V43:V71" si="90">R43-$B$23*($D$23*SIN(RADIANS(O43))+$C$23*(COS(RADIANS(O43))-1))</f>
        <v>0.93082372882226816</v>
      </c>
      <c r="W43" s="1"/>
      <c r="X43">
        <f t="shared" si="72"/>
        <v>1.0819290552074907</v>
      </c>
      <c r="Y43">
        <f t="shared" si="73"/>
        <v>-3.8747454548188767</v>
      </c>
      <c r="Z43">
        <f t="shared" si="74"/>
        <v>2.4837168365981448</v>
      </c>
      <c r="AA43" s="1"/>
      <c r="AB43">
        <f t="shared" si="75"/>
        <v>0.14296854985295465</v>
      </c>
      <c r="AC43">
        <f t="shared" si="76"/>
        <v>-8.0898783794774623E-2</v>
      </c>
      <c r="AD43">
        <f t="shared" si="77"/>
        <v>5.1856224806072389E-2</v>
      </c>
      <c r="AE43" s="1"/>
      <c r="AF43">
        <f t="shared" ref="AF43:AF71" si="91">0.022</f>
        <v>2.1999999999999999E-2</v>
      </c>
      <c r="AG43">
        <f t="shared" ref="AG43:AG71" si="92" xml:space="preserve"> 0.015*(AC43^2)</f>
        <v>9.8169198292105339E-5</v>
      </c>
      <c r="AI43">
        <f t="shared" si="78"/>
        <v>-2.3751770849285347E-3</v>
      </c>
      <c r="AJ43" s="1"/>
      <c r="AK43">
        <f t="shared" ref="AK43:AK55" si="93">AM43/AN43</f>
        <v>-1.0939009761881127</v>
      </c>
      <c r="AL43">
        <f t="shared" ref="AL43:AL71" si="94">AB43-AI43</f>
        <v>0.14534372693788319</v>
      </c>
      <c r="AM43">
        <f t="shared" ref="AM43:AM71" si="95">AC43</f>
        <v>-8.0898783794774623E-2</v>
      </c>
      <c r="AN43">
        <f t="shared" ref="AN43:AN57" si="96">(AD43+AF43+AG43)</f>
        <v>7.3954394004364488E-2</v>
      </c>
      <c r="AO43">
        <f t="shared" ref="AO43:AO71" si="97">AM43^2</f>
        <v>6.5446132194736896E-3</v>
      </c>
      <c r="AP43">
        <f t="shared" si="79"/>
        <v>-3.3572995274831464E-2</v>
      </c>
      <c r="AQ43">
        <f t="shared" si="80"/>
        <v>-1.9664270047251686</v>
      </c>
      <c r="AR43" s="1"/>
      <c r="AS43">
        <f t="shared" si="81"/>
        <v>-1.0939009761881127</v>
      </c>
      <c r="AT43">
        <f t="shared" si="82"/>
        <v>0.14296854985295465</v>
      </c>
      <c r="AU43">
        <f t="shared" si="83"/>
        <v>-8.0898783794774623E-2</v>
      </c>
      <c r="AV43">
        <f t="shared" si="84"/>
        <v>7.3954394004364488E-2</v>
      </c>
      <c r="AW43">
        <f t="shared" si="85"/>
        <v>6.5446132194736896E-3</v>
      </c>
      <c r="AX43" s="1"/>
      <c r="AY43">
        <f t="shared" ref="AY43:AY55" si="98">(0.0005*24/$C$10)+(0.0005*24/$C$8)+(0.0005/P43)+(0.0005/Q43)+(0.0005/R43)+(0.05/L43)</f>
        <v>0.17005980170918372</v>
      </c>
      <c r="AZ43">
        <f t="shared" ref="AZ43:AZ55" si="99">(0.0005*24/$C$10)+(0.0005/P43)+(0.0005/Q43)+(0.0005/R43)+(0.05/L43)</f>
        <v>9.4110434620576083E-2</v>
      </c>
      <c r="BA43">
        <f t="shared" ref="BA43:BA55" si="100">(0.0005*24/$C$10)+(0.0005/P43)+(0.0005/Q43)+(0.0005/R43)+(0.05/L43)</f>
        <v>9.4110434620576083E-2</v>
      </c>
      <c r="BB43">
        <f t="shared" ref="BB43:BB55" si="101">AY43*AT43</f>
        <v>2.4313203238643017E-2</v>
      </c>
      <c r="BC43">
        <f t="shared" ref="BC43:BC55" si="102">AZ43*AU43</f>
        <v>-7.6134197032022575E-3</v>
      </c>
      <c r="BD43">
        <f t="shared" ref="BD43:BD55" si="103">BA43*AV43</f>
        <v>6.9598801618520681E-3</v>
      </c>
      <c r="BE43">
        <f t="shared" ref="BE43:BE55" si="104">BB43*AK43*5</f>
        <v>-0.13298118378505788</v>
      </c>
    </row>
    <row r="44" spans="6:58" x14ac:dyDescent="0.3">
      <c r="F44">
        <v>-2</v>
      </c>
      <c r="H44">
        <v>25</v>
      </c>
      <c r="I44">
        <v>24.1</v>
      </c>
      <c r="J44">
        <f t="shared" si="69"/>
        <v>102100</v>
      </c>
      <c r="K44">
        <f t="shared" si="70"/>
        <v>1.1974053480978142</v>
      </c>
      <c r="L44">
        <f t="shared" si="71"/>
        <v>374.18917128056694</v>
      </c>
      <c r="M44">
        <f t="shared" si="86"/>
        <v>6.752091268495844E-2</v>
      </c>
      <c r="N44">
        <f t="shared" si="87"/>
        <v>0</v>
      </c>
      <c r="O44">
        <v>-0.8</v>
      </c>
      <c r="P44" s="8">
        <v>1.5478000000000001</v>
      </c>
      <c r="Q44" s="8">
        <v>4.1166</v>
      </c>
      <c r="R44" s="8">
        <v>1.5358000000000001</v>
      </c>
      <c r="S44" s="1"/>
      <c r="T44">
        <f t="shared" si="88"/>
        <v>2.590076762317195</v>
      </c>
      <c r="U44">
        <f t="shared" si="89"/>
        <v>4.1093234172945614</v>
      </c>
      <c r="V44">
        <f t="shared" si="90"/>
        <v>1.6149407857396842</v>
      </c>
      <c r="W44" s="1"/>
      <c r="X44">
        <f t="shared" si="72"/>
        <v>0.80601253996216304</v>
      </c>
      <c r="Y44">
        <f t="shared" si="73"/>
        <v>3.8963808172248089</v>
      </c>
      <c r="Z44">
        <f t="shared" si="74"/>
        <v>2.3805022267509903</v>
      </c>
      <c r="AA44" s="1"/>
      <c r="AB44">
        <f t="shared" si="75"/>
        <v>0.10650831812589377</v>
      </c>
      <c r="AC44">
        <f t="shared" si="76"/>
        <v>8.1350497210793307E-2</v>
      </c>
      <c r="AD44">
        <f t="shared" si="77"/>
        <v>4.970126095003316E-2</v>
      </c>
      <c r="AE44" s="1"/>
      <c r="AF44">
        <f t="shared" si="91"/>
        <v>2.1999999999999999E-2</v>
      </c>
      <c r="AG44">
        <f t="shared" si="92"/>
        <v>9.9268550946649331E-5</v>
      </c>
      <c r="AI44">
        <f t="shared" si="78"/>
        <v>2.3884393282448757E-3</v>
      </c>
      <c r="AJ44" s="1"/>
      <c r="AK44">
        <f t="shared" si="93"/>
        <v>1.1330069259403328</v>
      </c>
      <c r="AL44">
        <f t="shared" si="94"/>
        <v>0.10411987879764889</v>
      </c>
      <c r="AM44">
        <f t="shared" si="95"/>
        <v>8.1350497210793307E-2</v>
      </c>
      <c r="AN44">
        <f t="shared" si="96"/>
        <v>7.1800529500979801E-2</v>
      </c>
      <c r="AO44">
        <f t="shared" si="97"/>
        <v>6.6179033964432893E-3</v>
      </c>
      <c r="AP44">
        <f t="shared" si="79"/>
        <v>3.376045634247922E-2</v>
      </c>
      <c r="AQ44">
        <f t="shared" si="80"/>
        <v>-2.0337604563424794</v>
      </c>
      <c r="AR44" s="1"/>
      <c r="AS44">
        <f t="shared" si="81"/>
        <v>1.1330069259403328</v>
      </c>
      <c r="AT44">
        <f t="shared" si="82"/>
        <v>0.10650831812589377</v>
      </c>
      <c r="AU44">
        <f t="shared" si="83"/>
        <v>8.1350497210793307E-2</v>
      </c>
      <c r="AV44">
        <f t="shared" si="84"/>
        <v>7.1800529500979801E-2</v>
      </c>
      <c r="AW44">
        <f t="shared" si="85"/>
        <v>6.6179033964432893E-3</v>
      </c>
      <c r="AX44" s="1"/>
      <c r="AY44">
        <f t="shared" si="98"/>
        <v>0.17060305117485783</v>
      </c>
      <c r="AZ44">
        <f t="shared" si="99"/>
        <v>9.4653684086250175E-2</v>
      </c>
      <c r="BA44">
        <f t="shared" si="100"/>
        <v>9.4653684086250175E-2</v>
      </c>
      <c r="BB44">
        <f t="shared" si="101"/>
        <v>1.8170644047779894E-2</v>
      </c>
      <c r="BC44">
        <f t="shared" si="102"/>
        <v>7.7001242632498057E-3</v>
      </c>
      <c r="BD44">
        <f t="shared" si="103"/>
        <v>6.7961846366112284E-3</v>
      </c>
      <c r="BE44">
        <f t="shared" si="104"/>
        <v>0.10293732777465552</v>
      </c>
    </row>
    <row r="45" spans="6:58" x14ac:dyDescent="0.3">
      <c r="F45">
        <v>-2</v>
      </c>
      <c r="H45">
        <v>25</v>
      </c>
      <c r="I45">
        <v>24.1</v>
      </c>
      <c r="J45">
        <f t="shared" si="69"/>
        <v>102100</v>
      </c>
      <c r="K45">
        <f t="shared" si="70"/>
        <v>1.1974053480978142</v>
      </c>
      <c r="L45">
        <f t="shared" si="71"/>
        <v>374.18917128056694</v>
      </c>
      <c r="M45">
        <f t="shared" si="86"/>
        <v>6.9851154528830728E-2</v>
      </c>
      <c r="N45">
        <f t="shared" si="87"/>
        <v>0</v>
      </c>
      <c r="O45">
        <v>-0.8</v>
      </c>
      <c r="P45" s="8">
        <v>1.5669</v>
      </c>
      <c r="Q45" s="8">
        <v>4.2594000000000003</v>
      </c>
      <c r="R45" s="8">
        <v>1.5838000000000001</v>
      </c>
      <c r="S45" s="1"/>
      <c r="T45">
        <f t="shared" si="88"/>
        <v>2.6091767623171949</v>
      </c>
      <c r="U45">
        <f t="shared" si="89"/>
        <v>4.2521234172945617</v>
      </c>
      <c r="V45">
        <f t="shared" si="90"/>
        <v>1.6629407857396843</v>
      </c>
      <c r="W45" s="1"/>
      <c r="X45">
        <f t="shared" si="72"/>
        <v>0.83372091996216324</v>
      </c>
      <c r="Y45">
        <f t="shared" si="73"/>
        <v>4.0308504098134348</v>
      </c>
      <c r="Z45">
        <f t="shared" si="74"/>
        <v>2.3965803052757693</v>
      </c>
      <c r="AA45" s="1"/>
      <c r="AB45">
        <f t="shared" si="75"/>
        <v>0.11016976606308308</v>
      </c>
      <c r="AC45">
        <f t="shared" si="76"/>
        <v>8.4158017504615337E-2</v>
      </c>
      <c r="AD45">
        <f t="shared" si="77"/>
        <v>5.0036946742449247E-2</v>
      </c>
      <c r="AE45" s="1"/>
      <c r="AF45">
        <f t="shared" si="91"/>
        <v>2.1999999999999999E-2</v>
      </c>
      <c r="AG45">
        <f t="shared" si="92"/>
        <v>1.0623857865460712E-4</v>
      </c>
      <c r="AI45">
        <f t="shared" si="78"/>
        <v>2.4708677351326027E-3</v>
      </c>
      <c r="AJ45" s="1"/>
      <c r="AK45">
        <f t="shared" si="93"/>
        <v>1.1665414706882484</v>
      </c>
      <c r="AL45">
        <f t="shared" si="94"/>
        <v>0.10769889832795047</v>
      </c>
      <c r="AM45">
        <f t="shared" si="95"/>
        <v>8.4158017504615337E-2</v>
      </c>
      <c r="AN45">
        <f t="shared" si="96"/>
        <v>7.214318532110385E-2</v>
      </c>
      <c r="AO45">
        <f t="shared" si="97"/>
        <v>7.0825719103071415E-3</v>
      </c>
      <c r="AP45">
        <f t="shared" si="79"/>
        <v>3.4925577264415364E-2</v>
      </c>
      <c r="AQ45">
        <f t="shared" si="80"/>
        <v>-2.0349255772644153</v>
      </c>
      <c r="AR45" s="1"/>
      <c r="AS45">
        <f t="shared" si="81"/>
        <v>1.1665414706882484</v>
      </c>
      <c r="AT45">
        <f t="shared" si="82"/>
        <v>0.11016976606308308</v>
      </c>
      <c r="AU45">
        <f t="shared" si="83"/>
        <v>8.4158017504615337E-2</v>
      </c>
      <c r="AV45">
        <f t="shared" si="84"/>
        <v>7.214318532110385E-2</v>
      </c>
      <c r="AW45">
        <f t="shared" si="85"/>
        <v>7.0825719103071415E-3</v>
      </c>
      <c r="AX45" s="1"/>
      <c r="AY45">
        <f t="shared" si="98"/>
        <v>0.17058517460350475</v>
      </c>
      <c r="AZ45">
        <f t="shared" si="99"/>
        <v>9.4635807514897113E-2</v>
      </c>
      <c r="BA45">
        <f t="shared" si="100"/>
        <v>9.4635807514897113E-2</v>
      </c>
      <c r="BB45">
        <f t="shared" si="101"/>
        <v>1.87933287798983E-2</v>
      </c>
      <c r="BC45">
        <f t="shared" si="102"/>
        <v>7.9643619454021191E-3</v>
      </c>
      <c r="BD45">
        <f t="shared" si="103"/>
        <v>6.8273285995595345E-3</v>
      </c>
      <c r="BE45">
        <f t="shared" si="104"/>
        <v>0.10961598697015174</v>
      </c>
    </row>
    <row r="46" spans="6:58" x14ac:dyDescent="0.3">
      <c r="F46">
        <v>-2</v>
      </c>
      <c r="H46">
        <v>25</v>
      </c>
      <c r="I46">
        <v>24.2</v>
      </c>
      <c r="J46">
        <f t="shared" si="69"/>
        <v>102100</v>
      </c>
      <c r="K46">
        <f t="shared" si="70"/>
        <v>1.1970024526240264</v>
      </c>
      <c r="L46">
        <f t="shared" si="71"/>
        <v>374.06326644500825</v>
      </c>
      <c r="M46">
        <f t="shared" si="86"/>
        <v>2.2040873136141244</v>
      </c>
      <c r="N46">
        <f t="shared" si="87"/>
        <v>2</v>
      </c>
      <c r="O46">
        <v>1.2</v>
      </c>
      <c r="P46" s="8">
        <v>3.8570000000000002</v>
      </c>
      <c r="Q46" s="8">
        <v>12.591799999999999</v>
      </c>
      <c r="R46" s="8">
        <v>2.4525999999999999</v>
      </c>
      <c r="S46" s="1"/>
      <c r="T46">
        <f t="shared" si="88"/>
        <v>2.2936483557074032</v>
      </c>
      <c r="U46">
        <f t="shared" si="89"/>
        <v>12.575428021397215</v>
      </c>
      <c r="V46">
        <f t="shared" si="90"/>
        <v>2.3324501918723874</v>
      </c>
      <c r="W46" s="1"/>
      <c r="X46">
        <f t="shared" si="72"/>
        <v>0.59593617126685983</v>
      </c>
      <c r="Y46">
        <f t="shared" si="73"/>
        <v>11.773157346773761</v>
      </c>
      <c r="Z46">
        <f t="shared" si="74"/>
        <v>2.4031149016837081</v>
      </c>
      <c r="AA46" s="1"/>
      <c r="AB46">
        <f t="shared" si="75"/>
        <v>7.8774857794614642E-2</v>
      </c>
      <c r="AC46">
        <f t="shared" si="76"/>
        <v>0.24588832965557134</v>
      </c>
      <c r="AD46">
        <f t="shared" si="77"/>
        <v>5.0190266870708676E-2</v>
      </c>
      <c r="AE46" s="1"/>
      <c r="AF46">
        <f t="shared" si="91"/>
        <v>2.1999999999999999E-2</v>
      </c>
      <c r="AG46">
        <f t="shared" si="92"/>
        <v>9.0691605991210383E-4</v>
      </c>
      <c r="AI46">
        <f t="shared" si="78"/>
        <v>7.2192472946297839E-3</v>
      </c>
      <c r="AJ46" s="1"/>
      <c r="AK46">
        <f t="shared" si="93"/>
        <v>3.3638550734431578</v>
      </c>
      <c r="AL46">
        <f t="shared" si="94"/>
        <v>7.1555610499984851E-2</v>
      </c>
      <c r="AM46">
        <f t="shared" si="95"/>
        <v>0.24588832965557134</v>
      </c>
      <c r="AN46">
        <f t="shared" si="96"/>
        <v>7.3097182930620785E-2</v>
      </c>
      <c r="AO46">
        <f t="shared" si="97"/>
        <v>6.0461070660806922E-2</v>
      </c>
      <c r="AP46">
        <f t="shared" si="79"/>
        <v>0.10204365680706209</v>
      </c>
      <c r="AQ46">
        <f t="shared" si="80"/>
        <v>-2.1020436568070622</v>
      </c>
      <c r="AR46" s="1"/>
      <c r="AS46">
        <f t="shared" si="81"/>
        <v>3.3638550734431578</v>
      </c>
      <c r="AT46">
        <f t="shared" si="82"/>
        <v>7.8774857794614642E-2</v>
      </c>
      <c r="AU46">
        <f t="shared" si="83"/>
        <v>0.24588832965557134</v>
      </c>
      <c r="AV46">
        <f t="shared" si="84"/>
        <v>7.3097182930620785E-2</v>
      </c>
      <c r="AW46">
        <f t="shared" si="85"/>
        <v>6.0461070660806922E-2</v>
      </c>
      <c r="AX46" s="1"/>
      <c r="AY46">
        <f t="shared" si="98"/>
        <v>0.17020624241518445</v>
      </c>
      <c r="AZ46">
        <f t="shared" si="99"/>
        <v>9.4256875326576811E-2</v>
      </c>
      <c r="BA46">
        <f t="shared" si="100"/>
        <v>9.4256875326576811E-2</v>
      </c>
      <c r="BB46">
        <f t="shared" si="101"/>
        <v>1.3407972542011861E-2</v>
      </c>
      <c r="BC46">
        <f t="shared" si="102"/>
        <v>2.3176665632605408E-2</v>
      </c>
      <c r="BD46">
        <f t="shared" si="103"/>
        <v>6.8899120582155016E-3</v>
      </c>
      <c r="BE46">
        <f t="shared" si="104"/>
        <v>0.22551238230016576</v>
      </c>
    </row>
    <row r="47" spans="6:58" x14ac:dyDescent="0.3">
      <c r="F47">
        <v>-2</v>
      </c>
      <c r="H47">
        <v>25</v>
      </c>
      <c r="I47">
        <v>24.2</v>
      </c>
      <c r="J47">
        <f t="shared" si="69"/>
        <v>102100</v>
      </c>
      <c r="K47">
        <f t="shared" si="70"/>
        <v>1.1970024526240264</v>
      </c>
      <c r="L47">
        <f t="shared" si="71"/>
        <v>374.06326644500825</v>
      </c>
      <c r="M47">
        <f t="shared" si="86"/>
        <v>2.2048660571048533</v>
      </c>
      <c r="N47">
        <f t="shared" si="87"/>
        <v>2</v>
      </c>
      <c r="O47">
        <v>1.2</v>
      </c>
      <c r="P47" s="8">
        <v>3.9380999999999999</v>
      </c>
      <c r="Q47" s="8">
        <v>12.641299999999999</v>
      </c>
      <c r="R47" s="8">
        <v>2.4634999999999998</v>
      </c>
      <c r="S47" s="1"/>
      <c r="T47">
        <f t="shared" si="88"/>
        <v>2.3747483557074029</v>
      </c>
      <c r="U47">
        <f t="shared" si="89"/>
        <v>12.624928021397215</v>
      </c>
      <c r="V47">
        <f t="shared" si="90"/>
        <v>2.3433501918723874</v>
      </c>
      <c r="W47" s="1"/>
      <c r="X47">
        <f t="shared" si="72"/>
        <v>0.59244548126685959</v>
      </c>
      <c r="Y47">
        <f t="shared" si="73"/>
        <v>11.818080617538458</v>
      </c>
      <c r="Z47">
        <f t="shared" si="74"/>
        <v>2.4803066331049024</v>
      </c>
      <c r="AA47" s="1"/>
      <c r="AB47">
        <f t="shared" si="75"/>
        <v>7.83134348744879E-2</v>
      </c>
      <c r="AC47">
        <f t="shared" si="76"/>
        <v>0.24682657482512421</v>
      </c>
      <c r="AD47">
        <f t="shared" si="77"/>
        <v>5.1802455117524238E-2</v>
      </c>
      <c r="AE47" s="1"/>
      <c r="AF47">
        <f t="shared" si="91"/>
        <v>2.1999999999999999E-2</v>
      </c>
      <c r="AG47">
        <f t="shared" si="92"/>
        <v>9.1385037059853961E-4</v>
      </c>
      <c r="AI47">
        <f t="shared" si="78"/>
        <v>7.2467940428283745E-3</v>
      </c>
      <c r="AJ47" s="1"/>
      <c r="AK47">
        <f t="shared" si="93"/>
        <v>3.3035168590390329</v>
      </c>
      <c r="AL47">
        <f t="shared" si="94"/>
        <v>7.1066640831659519E-2</v>
      </c>
      <c r="AM47">
        <f t="shared" si="95"/>
        <v>0.24682657482512421</v>
      </c>
      <c r="AN47">
        <f t="shared" si="96"/>
        <v>7.4716305488122775E-2</v>
      </c>
      <c r="AO47">
        <f t="shared" si="97"/>
        <v>6.0923358039902641E-2</v>
      </c>
      <c r="AP47">
        <f t="shared" si="79"/>
        <v>0.10243302855242654</v>
      </c>
      <c r="AQ47">
        <f t="shared" si="80"/>
        <v>-2.1024330285524266</v>
      </c>
      <c r="AR47" s="1"/>
      <c r="AS47">
        <f t="shared" si="81"/>
        <v>3.3035168590390329</v>
      </c>
      <c r="AT47">
        <f t="shared" si="82"/>
        <v>7.83134348744879E-2</v>
      </c>
      <c r="AU47">
        <f t="shared" si="83"/>
        <v>0.24682657482512421</v>
      </c>
      <c r="AV47">
        <f t="shared" si="84"/>
        <v>7.4716305488122775E-2</v>
      </c>
      <c r="AW47">
        <f t="shared" si="85"/>
        <v>6.0923358039902641E-2</v>
      </c>
      <c r="AX47" s="1"/>
      <c r="AY47">
        <f t="shared" si="98"/>
        <v>0.17020251525451982</v>
      </c>
      <c r="AZ47">
        <f t="shared" si="99"/>
        <v>9.4253148165912223E-2</v>
      </c>
      <c r="BA47">
        <f t="shared" si="100"/>
        <v>9.4253148165912223E-2</v>
      </c>
      <c r="BB47">
        <f t="shared" si="101"/>
        <v>1.3329143593858872E-2</v>
      </c>
      <c r="BC47">
        <f t="shared" si="102"/>
        <v>2.3264181728277052E-2</v>
      </c>
      <c r="BD47">
        <f t="shared" si="103"/>
        <v>7.0422470115815965E-3</v>
      </c>
      <c r="BE47">
        <f t="shared" si="104"/>
        <v>0.22016525289432454</v>
      </c>
    </row>
    <row r="48" spans="6:58" x14ac:dyDescent="0.3">
      <c r="F48">
        <v>-2</v>
      </c>
      <c r="H48">
        <v>25</v>
      </c>
      <c r="I48">
        <v>24.2</v>
      </c>
      <c r="J48">
        <f t="shared" si="69"/>
        <v>102100</v>
      </c>
      <c r="K48">
        <f t="shared" si="70"/>
        <v>1.1970024526240264</v>
      </c>
      <c r="L48">
        <f t="shared" si="71"/>
        <v>374.06326644500825</v>
      </c>
      <c r="M48">
        <f t="shared" si="86"/>
        <v>4.3382558147972778</v>
      </c>
      <c r="N48">
        <f t="shared" si="87"/>
        <v>4</v>
      </c>
      <c r="O48">
        <v>3.2</v>
      </c>
      <c r="P48" s="8">
        <v>5.7869000000000002</v>
      </c>
      <c r="Q48" s="8">
        <v>20.997800000000002</v>
      </c>
      <c r="R48" s="8">
        <v>3.3393999999999999</v>
      </c>
      <c r="S48" s="1"/>
      <c r="T48">
        <f t="shared" si="88"/>
        <v>1.6198246522603217</v>
      </c>
      <c r="U48">
        <f t="shared" si="89"/>
        <v>20.881403046184886</v>
      </c>
      <c r="V48">
        <f t="shared" si="90"/>
        <v>3.0152947521106426</v>
      </c>
      <c r="W48" s="1"/>
      <c r="X48">
        <f t="shared" si="72"/>
        <v>0.40960752864770061</v>
      </c>
      <c r="Y48">
        <f t="shared" si="73"/>
        <v>19.51291758682795</v>
      </c>
      <c r="Z48">
        <f t="shared" si="74"/>
        <v>2.6159544895674531</v>
      </c>
      <c r="AA48" s="1"/>
      <c r="AB48">
        <f t="shared" si="75"/>
        <v>5.4144682562618132E-2</v>
      </c>
      <c r="AC48">
        <f t="shared" si="76"/>
        <v>0.40753712626178046</v>
      </c>
      <c r="AD48">
        <f t="shared" si="77"/>
        <v>5.4635529021533125E-2</v>
      </c>
      <c r="AE48" s="1"/>
      <c r="AF48">
        <f t="shared" si="91"/>
        <v>2.1999999999999999E-2</v>
      </c>
      <c r="AG48">
        <f t="shared" si="92"/>
        <v>2.4912976392256559E-3</v>
      </c>
      <c r="AI48">
        <f t="shared" si="78"/>
        <v>1.1965233569025928E-2</v>
      </c>
      <c r="AJ48" s="1"/>
      <c r="AK48">
        <f t="shared" si="93"/>
        <v>5.1504292976264345</v>
      </c>
      <c r="AL48">
        <f t="shared" si="94"/>
        <v>4.2179448993592203E-2</v>
      </c>
      <c r="AM48">
        <f t="shared" si="95"/>
        <v>0.40753712626178046</v>
      </c>
      <c r="AN48">
        <f t="shared" si="96"/>
        <v>7.9126826660758778E-2</v>
      </c>
      <c r="AO48">
        <f t="shared" si="97"/>
        <v>0.1660865092817104</v>
      </c>
      <c r="AP48">
        <f t="shared" si="79"/>
        <v>0.16912790739863889</v>
      </c>
      <c r="AQ48">
        <f t="shared" si="80"/>
        <v>-2.1691279073986389</v>
      </c>
      <c r="AR48" s="1"/>
      <c r="AS48">
        <f t="shared" si="81"/>
        <v>5.1504292976264345</v>
      </c>
      <c r="AT48">
        <f t="shared" si="82"/>
        <v>5.4144682562618132E-2</v>
      </c>
      <c r="AU48">
        <f t="shared" si="83"/>
        <v>0.40753712626178046</v>
      </c>
      <c r="AV48">
        <f t="shared" si="84"/>
        <v>7.9126826660758778E-2</v>
      </c>
      <c r="AW48">
        <f t="shared" si="85"/>
        <v>0.1660865092817104</v>
      </c>
      <c r="AX48" s="1"/>
      <c r="AY48">
        <f t="shared" si="98"/>
        <v>0.17009297587717498</v>
      </c>
      <c r="AZ48">
        <f t="shared" si="99"/>
        <v>9.4143608788567382E-2</v>
      </c>
      <c r="BA48">
        <f t="shared" si="100"/>
        <v>9.4143608788567382E-2</v>
      </c>
      <c r="BB48">
        <f t="shared" si="101"/>
        <v>9.2096301850007022E-3</v>
      </c>
      <c r="BC48">
        <f t="shared" si="102"/>
        <v>3.8367015781606048E-2</v>
      </c>
      <c r="BD48">
        <f t="shared" si="103"/>
        <v>7.4492850138312581E-3</v>
      </c>
      <c r="BE48">
        <f t="shared" si="104"/>
        <v>0.23716774562566187</v>
      </c>
    </row>
    <row r="49" spans="6:57" x14ac:dyDescent="0.3">
      <c r="F49">
        <v>-2</v>
      </c>
      <c r="H49">
        <v>25</v>
      </c>
      <c r="I49">
        <v>24.2</v>
      </c>
      <c r="J49">
        <f t="shared" si="69"/>
        <v>102100</v>
      </c>
      <c r="K49">
        <f t="shared" si="70"/>
        <v>1.1970024526240264</v>
      </c>
      <c r="L49">
        <f t="shared" si="71"/>
        <v>374.06326644500825</v>
      </c>
      <c r="M49">
        <f t="shared" si="86"/>
        <v>4.3414033955608682</v>
      </c>
      <c r="N49">
        <f t="shared" si="87"/>
        <v>4</v>
      </c>
      <c r="O49">
        <v>3.2</v>
      </c>
      <c r="P49" s="8">
        <v>5.8215000000000003</v>
      </c>
      <c r="Q49" s="8">
        <v>21.193200000000001</v>
      </c>
      <c r="R49" s="8">
        <v>3.3542000000000001</v>
      </c>
      <c r="S49" s="1"/>
      <c r="T49">
        <f t="shared" si="88"/>
        <v>1.6544246522603219</v>
      </c>
      <c r="U49">
        <f t="shared" si="89"/>
        <v>21.076803046184885</v>
      </c>
      <c r="V49">
        <f t="shared" si="90"/>
        <v>3.0300947521106427</v>
      </c>
      <c r="W49" s="1"/>
      <c r="X49">
        <f t="shared" si="72"/>
        <v>0.39881914864770079</v>
      </c>
      <c r="Y49">
        <f t="shared" si="73"/>
        <v>19.694491654001439</v>
      </c>
      <c r="Z49">
        <f t="shared" si="74"/>
        <v>2.6586808477328328</v>
      </c>
      <c r="AA49" s="1"/>
      <c r="AB49">
        <f t="shared" si="75"/>
        <v>5.2718601815534755E-2</v>
      </c>
      <c r="AC49">
        <f t="shared" si="76"/>
        <v>0.41132939224200987</v>
      </c>
      <c r="AD49">
        <f t="shared" si="77"/>
        <v>5.552789056331018E-2</v>
      </c>
      <c r="AE49" s="1"/>
      <c r="AF49">
        <f t="shared" si="91"/>
        <v>2.1999999999999999E-2</v>
      </c>
      <c r="AG49">
        <f t="shared" si="92"/>
        <v>2.5378780338327182E-3</v>
      </c>
      <c r="AI49">
        <f t="shared" si="78"/>
        <v>1.2076573972845159E-2</v>
      </c>
      <c r="AJ49" s="1"/>
      <c r="AK49">
        <f t="shared" si="93"/>
        <v>5.1373939131421507</v>
      </c>
      <c r="AL49">
        <f t="shared" si="94"/>
        <v>4.0642027842689596E-2</v>
      </c>
      <c r="AM49">
        <f t="shared" si="95"/>
        <v>0.41132939224200987</v>
      </c>
      <c r="AN49">
        <f t="shared" si="96"/>
        <v>8.00657685971429E-2</v>
      </c>
      <c r="AO49">
        <f t="shared" si="97"/>
        <v>0.16919186892218122</v>
      </c>
      <c r="AP49">
        <f t="shared" si="79"/>
        <v>0.17070169778043409</v>
      </c>
      <c r="AQ49">
        <f t="shared" si="80"/>
        <v>-2.1707016977804341</v>
      </c>
      <c r="AR49" s="1"/>
      <c r="AS49">
        <f t="shared" si="81"/>
        <v>5.1373939131421507</v>
      </c>
      <c r="AT49">
        <f t="shared" si="82"/>
        <v>5.2718601815534755E-2</v>
      </c>
      <c r="AU49">
        <f t="shared" si="83"/>
        <v>0.41132939224200987</v>
      </c>
      <c r="AV49">
        <f t="shared" si="84"/>
        <v>8.00657685971429E-2</v>
      </c>
      <c r="AW49">
        <f t="shared" si="85"/>
        <v>0.16919186892218122</v>
      </c>
      <c r="AX49" s="1"/>
      <c r="AY49">
        <f t="shared" si="98"/>
        <v>0.17009158214814973</v>
      </c>
      <c r="AZ49">
        <f t="shared" si="99"/>
        <v>9.4142215059542109E-2</v>
      </c>
      <c r="BA49">
        <f t="shared" si="100"/>
        <v>9.4142215059542109E-2</v>
      </c>
      <c r="BB49">
        <f t="shared" si="101"/>
        <v>8.9669903914426259E-3</v>
      </c>
      <c r="BC49">
        <f t="shared" si="102"/>
        <v>3.8723460104758044E-2</v>
      </c>
      <c r="BD49">
        <f t="shared" si="103"/>
        <v>7.5375688061797598E-3</v>
      </c>
      <c r="BE49">
        <f t="shared" si="104"/>
        <v>0.23033480928100747</v>
      </c>
    </row>
    <row r="50" spans="6:57" x14ac:dyDescent="0.3">
      <c r="F50">
        <v>-2</v>
      </c>
      <c r="H50">
        <v>25</v>
      </c>
      <c r="I50">
        <v>24.2</v>
      </c>
      <c r="J50">
        <f t="shared" si="69"/>
        <v>102100</v>
      </c>
      <c r="K50">
        <f t="shared" si="70"/>
        <v>1.1970024526240264</v>
      </c>
      <c r="L50">
        <f t="shared" si="71"/>
        <v>374.06326644500825</v>
      </c>
      <c r="M50">
        <f t="shared" si="86"/>
        <v>6.4684911848407642</v>
      </c>
      <c r="N50">
        <f t="shared" si="87"/>
        <v>6</v>
      </c>
      <c r="O50">
        <v>5.2</v>
      </c>
      <c r="P50" s="8">
        <v>7.3230000000000004</v>
      </c>
      <c r="Q50" s="8">
        <v>29.227599999999999</v>
      </c>
      <c r="R50" s="8">
        <v>4.1985999999999999</v>
      </c>
      <c r="S50" s="1"/>
      <c r="T50">
        <f t="shared" si="88"/>
        <v>0.55727788823571078</v>
      </c>
      <c r="U50">
        <f t="shared" si="89"/>
        <v>28.920370356682184</v>
      </c>
      <c r="V50">
        <f t="shared" si="90"/>
        <v>3.6661229547408722</v>
      </c>
      <c r="W50" s="1"/>
      <c r="X50">
        <f t="shared" si="72"/>
        <v>0.26224100825550323</v>
      </c>
      <c r="Y50">
        <f t="shared" si="73"/>
        <v>27.02578782106654</v>
      </c>
      <c r="Z50">
        <f t="shared" si="74"/>
        <v>2.9855454118717546</v>
      </c>
      <c r="AA50" s="1"/>
      <c r="AB50">
        <f t="shared" si="75"/>
        <v>3.466478312489106E-2</v>
      </c>
      <c r="AC50">
        <f t="shared" si="76"/>
        <v>0.56444721065152303</v>
      </c>
      <c r="AD50">
        <f t="shared" si="77"/>
        <v>6.2354621858270794E-2</v>
      </c>
      <c r="AE50" s="1"/>
      <c r="AF50">
        <f t="shared" si="91"/>
        <v>2.1999999999999999E-2</v>
      </c>
      <c r="AG50">
        <f t="shared" si="92"/>
        <v>4.7790098041842729E-3</v>
      </c>
      <c r="AI50">
        <f t="shared" si="78"/>
        <v>1.6572091909222528E-2</v>
      </c>
      <c r="AJ50" s="1"/>
      <c r="AK50">
        <f t="shared" si="93"/>
        <v>6.3325952294758778</v>
      </c>
      <c r="AL50">
        <f t="shared" si="94"/>
        <v>1.8092691215668533E-2</v>
      </c>
      <c r="AM50">
        <f t="shared" si="95"/>
        <v>0.56444721065152303</v>
      </c>
      <c r="AN50">
        <f t="shared" si="96"/>
        <v>8.9133631662455068E-2</v>
      </c>
      <c r="AO50">
        <f t="shared" si="97"/>
        <v>0.31860065361228485</v>
      </c>
      <c r="AP50">
        <f t="shared" si="79"/>
        <v>0.23424559242038204</v>
      </c>
      <c r="AQ50">
        <f t="shared" si="80"/>
        <v>-2.2342455924203821</v>
      </c>
      <c r="AR50" s="1"/>
      <c r="AS50">
        <f t="shared" si="81"/>
        <v>6.3325952294758778</v>
      </c>
      <c r="AT50">
        <f t="shared" si="82"/>
        <v>3.466478312489106E-2</v>
      </c>
      <c r="AU50">
        <f t="shared" si="83"/>
        <v>0.56444721065152303</v>
      </c>
      <c r="AV50">
        <f t="shared" si="84"/>
        <v>8.9133631662455068E-2</v>
      </c>
      <c r="AW50">
        <f t="shared" si="85"/>
        <v>0.31860065361228485</v>
      </c>
      <c r="AX50" s="1"/>
      <c r="AY50">
        <f t="shared" si="98"/>
        <v>0.17003750677769466</v>
      </c>
      <c r="AZ50">
        <f t="shared" si="99"/>
        <v>9.4088139689087039E-2</v>
      </c>
      <c r="BA50">
        <f t="shared" si="100"/>
        <v>9.4088139689087039E-2</v>
      </c>
      <c r="BB50">
        <f t="shared" si="101"/>
        <v>5.8943132955459792E-3</v>
      </c>
      <c r="BC50">
        <f t="shared" si="102"/>
        <v>5.3107788002896034E-2</v>
      </c>
      <c r="BD50">
        <f t="shared" si="103"/>
        <v>8.3864175868527038E-3</v>
      </c>
      <c r="BE50">
        <f t="shared" si="104"/>
        <v>0.18663150128205352</v>
      </c>
    </row>
    <row r="51" spans="6:57" x14ac:dyDescent="0.3">
      <c r="F51">
        <v>-2</v>
      </c>
      <c r="H51">
        <v>25</v>
      </c>
      <c r="I51">
        <v>24.2</v>
      </c>
      <c r="J51">
        <f t="shared" si="69"/>
        <v>102100</v>
      </c>
      <c r="K51">
        <f t="shared" si="70"/>
        <v>1.1970024526240264</v>
      </c>
      <c r="L51">
        <f t="shared" si="71"/>
        <v>374.06326644500825</v>
      </c>
      <c r="M51">
        <f t="shared" si="86"/>
        <v>6.4682751296355097</v>
      </c>
      <c r="N51">
        <f t="shared" si="87"/>
        <v>6</v>
      </c>
      <c r="O51">
        <v>5.2</v>
      </c>
      <c r="P51" s="8">
        <v>7.2792000000000003</v>
      </c>
      <c r="Q51" s="8">
        <v>29.2103</v>
      </c>
      <c r="R51" s="8">
        <v>4.1750999999999996</v>
      </c>
      <c r="S51" s="1"/>
      <c r="T51">
        <f t="shared" si="88"/>
        <v>0.51347788823571072</v>
      </c>
      <c r="U51">
        <f t="shared" si="89"/>
        <v>28.903070356682186</v>
      </c>
      <c r="V51">
        <f t="shared" si="90"/>
        <v>3.6426229547408719</v>
      </c>
      <c r="W51" s="1"/>
      <c r="X51">
        <f t="shared" si="72"/>
        <v>0.24655005825550261</v>
      </c>
      <c r="Y51">
        <f t="shared" si="73"/>
        <v>27.013324273568152</v>
      </c>
      <c r="Z51">
        <f t="shared" si="74"/>
        <v>2.9430689923927615</v>
      </c>
      <c r="AA51" s="1"/>
      <c r="AB51">
        <f t="shared" si="75"/>
        <v>3.259064764778985E-2</v>
      </c>
      <c r="AC51">
        <f t="shared" si="76"/>
        <v>0.56418690317531306</v>
      </c>
      <c r="AD51">
        <f t="shared" si="77"/>
        <v>6.1467480412029853E-2</v>
      </c>
      <c r="AE51" s="1"/>
      <c r="AF51">
        <f t="shared" si="91"/>
        <v>2.1999999999999999E-2</v>
      </c>
      <c r="AG51">
        <f t="shared" si="92"/>
        <v>4.7746029257182514E-3</v>
      </c>
      <c r="AI51">
        <f t="shared" si="78"/>
        <v>1.6564449317782611E-2</v>
      </c>
      <c r="AJ51" s="1"/>
      <c r="AK51">
        <f t="shared" si="93"/>
        <v>6.3936262816447558</v>
      </c>
      <c r="AL51">
        <f t="shared" si="94"/>
        <v>1.6026198330007239E-2</v>
      </c>
      <c r="AM51">
        <f t="shared" si="95"/>
        <v>0.56418690317531306</v>
      </c>
      <c r="AN51">
        <f t="shared" si="96"/>
        <v>8.8242083337748106E-2</v>
      </c>
      <c r="AO51">
        <f t="shared" si="97"/>
        <v>0.31830686171455008</v>
      </c>
      <c r="AP51">
        <f t="shared" si="79"/>
        <v>0.23413756481775491</v>
      </c>
      <c r="AQ51">
        <f t="shared" si="80"/>
        <v>-2.2341375648177548</v>
      </c>
      <c r="AR51" s="1"/>
      <c r="AS51">
        <f t="shared" si="81"/>
        <v>6.3936262816447558</v>
      </c>
      <c r="AT51">
        <f t="shared" si="82"/>
        <v>3.259064764778985E-2</v>
      </c>
      <c r="AU51">
        <f t="shared" si="83"/>
        <v>0.56418690317531306</v>
      </c>
      <c r="AV51">
        <f t="shared" si="84"/>
        <v>8.8242083337748106E-2</v>
      </c>
      <c r="AW51">
        <f t="shared" si="85"/>
        <v>0.31830686171455008</v>
      </c>
      <c r="AX51" s="1"/>
      <c r="AY51">
        <f t="shared" si="98"/>
        <v>0.1700385980440571</v>
      </c>
      <c r="AZ51">
        <f t="shared" si="99"/>
        <v>9.4089230955449493E-2</v>
      </c>
      <c r="BA51">
        <f t="shared" si="100"/>
        <v>9.4089230955449493E-2</v>
      </c>
      <c r="BB51">
        <f t="shared" si="101"/>
        <v>5.5416680353780334E-3</v>
      </c>
      <c r="BC51">
        <f t="shared" si="102"/>
        <v>5.3083911834901853E-2</v>
      </c>
      <c r="BD51">
        <f t="shared" si="103"/>
        <v>8.3026297591554023E-3</v>
      </c>
      <c r="BE51">
        <f t="shared" si="104"/>
        <v>0.17715677197571827</v>
      </c>
    </row>
    <row r="52" spans="6:57" x14ac:dyDescent="0.3">
      <c r="F52">
        <v>-2</v>
      </c>
      <c r="H52">
        <v>25</v>
      </c>
      <c r="I52">
        <v>24.3</v>
      </c>
      <c r="J52">
        <f t="shared" si="69"/>
        <v>102100</v>
      </c>
      <c r="K52">
        <f t="shared" si="70"/>
        <v>1.1965998281865475</v>
      </c>
      <c r="L52">
        <f t="shared" si="71"/>
        <v>373.9374463082961</v>
      </c>
      <c r="M52">
        <f t="shared" si="86"/>
        <v>8.5762288816518009</v>
      </c>
      <c r="N52">
        <f t="shared" si="87"/>
        <v>8</v>
      </c>
      <c r="O52">
        <v>7.2</v>
      </c>
      <c r="P52" s="8">
        <v>8.6231000000000009</v>
      </c>
      <c r="Q52" s="8">
        <v>36.127699999999997</v>
      </c>
      <c r="R52" s="8">
        <v>4.8773999999999997</v>
      </c>
      <c r="S52" s="1"/>
      <c r="T52">
        <f t="shared" si="88"/>
        <v>-0.73302588557531223</v>
      </c>
      <c r="U52">
        <f t="shared" si="89"/>
        <v>35.539062453125773</v>
      </c>
      <c r="V52">
        <f t="shared" si="90"/>
        <v>4.1323886687009566</v>
      </c>
      <c r="W52" s="1"/>
      <c r="X52">
        <f t="shared" si="72"/>
        <v>0.11846757396449038</v>
      </c>
      <c r="Y52">
        <f t="shared" si="73"/>
        <v>33.229656905092646</v>
      </c>
      <c r="Z52">
        <f t="shared" si="74"/>
        <v>3.5033610661164363</v>
      </c>
      <c r="AA52" s="1"/>
      <c r="AB52">
        <f t="shared" si="75"/>
        <v>1.5665111139608629E-2</v>
      </c>
      <c r="AC52">
        <f t="shared" si="76"/>
        <v>0.69425166464072496</v>
      </c>
      <c r="AD52">
        <f t="shared" si="77"/>
        <v>7.3194082591207535E-2</v>
      </c>
      <c r="AE52" s="1"/>
      <c r="AF52">
        <f t="shared" si="91"/>
        <v>2.1999999999999999E-2</v>
      </c>
      <c r="AG52">
        <f t="shared" si="92"/>
        <v>7.2297806078462645E-3</v>
      </c>
      <c r="AI52">
        <f t="shared" si="78"/>
        <v>2.0383132695928726E-2</v>
      </c>
      <c r="AJ52" s="1"/>
      <c r="AK52">
        <f t="shared" si="93"/>
        <v>6.7782218221108703</v>
      </c>
      <c r="AL52">
        <f>AB52-AI52</f>
        <v>-4.718021556320097E-3</v>
      </c>
      <c r="AM52">
        <f t="shared" si="95"/>
        <v>0.69425166464072496</v>
      </c>
      <c r="AN52">
        <f t="shared" si="96"/>
        <v>0.10242386319905381</v>
      </c>
      <c r="AO52">
        <f t="shared" si="97"/>
        <v>0.48198537385641765</v>
      </c>
      <c r="AP52">
        <f t="shared" si="79"/>
        <v>0.28811444082590082</v>
      </c>
      <c r="AQ52">
        <f t="shared" si="80"/>
        <v>-2.2881144408259009</v>
      </c>
      <c r="AR52" s="1"/>
      <c r="AS52">
        <f t="shared" si="81"/>
        <v>6.7782218221108703</v>
      </c>
      <c r="AT52">
        <f t="shared" si="82"/>
        <v>1.5665111139608629E-2</v>
      </c>
      <c r="AU52">
        <f t="shared" si="83"/>
        <v>0.69425166464072496</v>
      </c>
      <c r="AV52">
        <f t="shared" si="84"/>
        <v>0.10242386319905381</v>
      </c>
      <c r="AW52">
        <f t="shared" si="85"/>
        <v>0.48198537385641765</v>
      </c>
      <c r="AX52" s="1"/>
      <c r="AY52">
        <f t="shared" si="98"/>
        <v>0.17000741651043252</v>
      </c>
      <c r="AZ52">
        <f t="shared" si="99"/>
        <v>9.4058049421824913E-2</v>
      </c>
      <c r="BA52">
        <f t="shared" si="100"/>
        <v>9.4058049421824913E-2</v>
      </c>
      <c r="BB52">
        <f t="shared" si="101"/>
        <v>2.6631850741936605E-3</v>
      </c>
      <c r="BC52">
        <f t="shared" si="102"/>
        <v>6.5299957383961521E-2</v>
      </c>
      <c r="BD52">
        <f t="shared" si="103"/>
        <v>9.6337887867508371E-3</v>
      </c>
      <c r="BE52">
        <f t="shared" si="104"/>
        <v>9.0258295931097132E-2</v>
      </c>
    </row>
    <row r="53" spans="6:57" x14ac:dyDescent="0.3">
      <c r="F53">
        <v>-2</v>
      </c>
      <c r="H53">
        <v>25</v>
      </c>
      <c r="I53">
        <v>24.3</v>
      </c>
      <c r="J53">
        <f t="shared" si="69"/>
        <v>102100</v>
      </c>
      <c r="K53">
        <f t="shared" si="70"/>
        <v>1.1965998281865475</v>
      </c>
      <c r="L53">
        <f t="shared" si="71"/>
        <v>373.9374463082961</v>
      </c>
      <c r="M53">
        <f t="shared" si="86"/>
        <v>8.5760495177048206</v>
      </c>
      <c r="N53">
        <f t="shared" si="87"/>
        <v>8</v>
      </c>
      <c r="O53">
        <v>7.2</v>
      </c>
      <c r="P53" s="8">
        <v>8.8232999999999997</v>
      </c>
      <c r="Q53" s="8">
        <v>36.1419</v>
      </c>
      <c r="R53" s="8">
        <v>4.8738000000000001</v>
      </c>
      <c r="S53" s="1"/>
      <c r="T53">
        <f t="shared" si="88"/>
        <v>-0.53282588557531341</v>
      </c>
      <c r="U53">
        <f t="shared" si="89"/>
        <v>35.553262453125775</v>
      </c>
      <c r="V53">
        <f t="shared" si="90"/>
        <v>4.128788668700957</v>
      </c>
      <c r="W53" s="1"/>
      <c r="X53">
        <f t="shared" si="72"/>
        <v>9.2847873964490873E-2</v>
      </c>
      <c r="Y53">
        <f t="shared" si="73"/>
        <v>33.219313441567792</v>
      </c>
      <c r="Z53">
        <f t="shared" si="74"/>
        <v>3.6917380955290198</v>
      </c>
      <c r="AA53" s="1"/>
      <c r="AB53">
        <f t="shared" si="75"/>
        <v>1.2277387103124855E-2</v>
      </c>
      <c r="AC53">
        <f t="shared" si="76"/>
        <v>0.69403556349978357</v>
      </c>
      <c r="AD53">
        <f t="shared" si="77"/>
        <v>7.7129755674540446E-2</v>
      </c>
      <c r="AE53" s="1"/>
      <c r="AF53">
        <f t="shared" si="91"/>
        <v>2.1999999999999999E-2</v>
      </c>
      <c r="AG53">
        <f t="shared" si="92"/>
        <v>7.2252804510369315E-3</v>
      </c>
      <c r="AI53">
        <f t="shared" si="78"/>
        <v>2.037678799636819E-2</v>
      </c>
      <c r="AJ53" s="1"/>
      <c r="AK53">
        <f t="shared" si="93"/>
        <v>6.5256483264253689</v>
      </c>
      <c r="AL53">
        <f t="shared" si="94"/>
        <v>-8.0994008932433349E-3</v>
      </c>
      <c r="AM53">
        <f t="shared" si="95"/>
        <v>0.69403556349978357</v>
      </c>
      <c r="AN53">
        <f t="shared" si="96"/>
        <v>0.10635503612557737</v>
      </c>
      <c r="AO53">
        <f t="shared" si="97"/>
        <v>0.4816853634024621</v>
      </c>
      <c r="AP53">
        <f t="shared" si="79"/>
        <v>0.28802475885241019</v>
      </c>
      <c r="AQ53">
        <f t="shared" si="80"/>
        <v>-2.2880247588524103</v>
      </c>
      <c r="AR53" s="1"/>
      <c r="AS53">
        <f t="shared" si="81"/>
        <v>6.5256483264253689</v>
      </c>
      <c r="AT53">
        <f t="shared" si="82"/>
        <v>1.2277387103124855E-2</v>
      </c>
      <c r="AU53">
        <f t="shared" si="83"/>
        <v>0.69403556349978357</v>
      </c>
      <c r="AV53">
        <f t="shared" si="84"/>
        <v>0.10635503612557737</v>
      </c>
      <c r="AW53">
        <f t="shared" si="85"/>
        <v>0.4816853634024621</v>
      </c>
      <c r="AX53" s="1"/>
      <c r="AY53">
        <f t="shared" si="98"/>
        <v>0.17000617114615557</v>
      </c>
      <c r="AZ53">
        <f t="shared" si="99"/>
        <v>9.4056804057547932E-2</v>
      </c>
      <c r="BA53">
        <f t="shared" si="100"/>
        <v>9.4056804057547932E-2</v>
      </c>
      <c r="BB53">
        <f t="shared" si="101"/>
        <v>2.087231573081447E-3</v>
      </c>
      <c r="BC53">
        <f t="shared" si="102"/>
        <v>6.5278767005069002E-2</v>
      </c>
      <c r="BD53">
        <f t="shared" si="103"/>
        <v>1.0003414793396863E-2</v>
      </c>
      <c r="BE53">
        <f t="shared" si="104"/>
        <v>6.8102696108705674E-2</v>
      </c>
    </row>
    <row r="54" spans="6:57" x14ac:dyDescent="0.3">
      <c r="F54">
        <v>-2</v>
      </c>
      <c r="H54">
        <v>25</v>
      </c>
      <c r="I54">
        <v>24.3</v>
      </c>
      <c r="J54">
        <f t="shared" si="69"/>
        <v>102100</v>
      </c>
      <c r="K54">
        <f t="shared" si="70"/>
        <v>1.1965998281865475</v>
      </c>
      <c r="L54">
        <f t="shared" si="71"/>
        <v>373.9374463082961</v>
      </c>
      <c r="M54">
        <f t="shared" si="86"/>
        <v>10.634848843435192</v>
      </c>
      <c r="N54">
        <f t="shared" si="87"/>
        <v>10</v>
      </c>
      <c r="O54">
        <v>9.1999999999999993</v>
      </c>
      <c r="P54" s="8">
        <v>9.5762999999999998</v>
      </c>
      <c r="Q54" s="8">
        <v>40.032699999999998</v>
      </c>
      <c r="R54" s="8">
        <v>5.2026000000000003</v>
      </c>
      <c r="S54" s="1"/>
      <c r="T54">
        <f t="shared" si="88"/>
        <v>-2.3588306611954728</v>
      </c>
      <c r="U54">
        <f t="shared" si="89"/>
        <v>39.072422187698542</v>
      </c>
      <c r="V54">
        <f t="shared" si="90"/>
        <v>4.241150834280039</v>
      </c>
      <c r="W54" s="1"/>
      <c r="X54">
        <f t="shared" si="72"/>
        <v>6.8560361006355939E-3</v>
      </c>
      <c r="Y54">
        <f t="shared" si="73"/>
        <v>36.6101213001918</v>
      </c>
      <c r="Z54">
        <f t="shared" si="74"/>
        <v>3.6833504979418632</v>
      </c>
      <c r="AA54" s="1"/>
      <c r="AB54">
        <f t="shared" si="75"/>
        <v>9.0658197766266355E-4</v>
      </c>
      <c r="AC54">
        <f t="shared" si="76"/>
        <v>0.76487812462071392</v>
      </c>
      <c r="AD54">
        <f t="shared" si="77"/>
        <v>7.6954517524960658E-2</v>
      </c>
      <c r="AE54" s="1"/>
      <c r="AF54">
        <f t="shared" si="91"/>
        <v>2.1999999999999999E-2</v>
      </c>
      <c r="AG54">
        <f t="shared" si="92"/>
        <v>8.7755781828495055E-3</v>
      </c>
      <c r="AI54">
        <f t="shared" si="78"/>
        <v>2.2456715776728114E-2</v>
      </c>
      <c r="AJ54" s="1"/>
      <c r="AK54">
        <f t="shared" si="93"/>
        <v>7.0999484368346497</v>
      </c>
      <c r="AL54">
        <f t="shared" si="94"/>
        <v>-2.1550133799065452E-2</v>
      </c>
      <c r="AM54">
        <f t="shared" si="95"/>
        <v>0.76487812462071392</v>
      </c>
      <c r="AN54">
        <f t="shared" si="96"/>
        <v>0.10773009570781016</v>
      </c>
      <c r="AO54">
        <f t="shared" si="97"/>
        <v>0.58503854552330037</v>
      </c>
      <c r="AP54">
        <f t="shared" si="79"/>
        <v>0.31742442171759627</v>
      </c>
      <c r="AQ54">
        <f t="shared" si="80"/>
        <v>-2.3174244217175963</v>
      </c>
      <c r="AR54" s="1"/>
      <c r="AS54">
        <f t="shared" si="81"/>
        <v>7.0999484368346497</v>
      </c>
      <c r="AT54">
        <f t="shared" si="82"/>
        <v>9.0658197766266355E-4</v>
      </c>
      <c r="AU54">
        <f t="shared" si="83"/>
        <v>0.76487812462071392</v>
      </c>
      <c r="AV54">
        <f t="shared" si="84"/>
        <v>0.10773009570781016</v>
      </c>
      <c r="AW54">
        <f t="shared" si="85"/>
        <v>0.58503854552330037</v>
      </c>
      <c r="AX54" s="1"/>
      <c r="AY54">
        <f t="shared" si="98"/>
        <v>0.16999388710746546</v>
      </c>
      <c r="AZ54">
        <f t="shared" si="99"/>
        <v>9.4044520018857838E-2</v>
      </c>
      <c r="BA54">
        <f t="shared" si="100"/>
        <v>9.4044520018857838E-2</v>
      </c>
      <c r="BB54">
        <f t="shared" si="101"/>
        <v>1.5411339436444962E-4</v>
      </c>
      <c r="BC54">
        <f t="shared" si="102"/>
        <v>7.1932596102879165E-2</v>
      </c>
      <c r="BD54">
        <f t="shared" si="103"/>
        <v>1.0131425142426624E-2</v>
      </c>
      <c r="BE54">
        <f t="shared" si="104"/>
        <v>5.4709857670657801E-3</v>
      </c>
    </row>
    <row r="55" spans="6:57" x14ac:dyDescent="0.3">
      <c r="F55">
        <v>-2</v>
      </c>
      <c r="H55">
        <v>25</v>
      </c>
      <c r="I55">
        <v>24.3</v>
      </c>
      <c r="J55">
        <f t="shared" si="69"/>
        <v>102100</v>
      </c>
      <c r="K55">
        <f t="shared" si="70"/>
        <v>1.1965998281865475</v>
      </c>
      <c r="L55">
        <f t="shared" si="71"/>
        <v>373.9374463082961</v>
      </c>
      <c r="M55">
        <f t="shared" si="86"/>
        <v>10.671915326171616</v>
      </c>
      <c r="N55">
        <f t="shared" si="87"/>
        <v>10</v>
      </c>
      <c r="O55">
        <v>9.1999999999999993</v>
      </c>
      <c r="P55" s="8">
        <v>10.0054</v>
      </c>
      <c r="Q55" s="8">
        <v>42.405799999999999</v>
      </c>
      <c r="R55" s="8">
        <v>5.3524000000000003</v>
      </c>
      <c r="S55" s="1"/>
      <c r="T55">
        <f t="shared" si="88"/>
        <v>-1.9297306611954728</v>
      </c>
      <c r="U55">
        <f t="shared" si="89"/>
        <v>41.445522187698543</v>
      </c>
      <c r="V55">
        <f t="shared" si="90"/>
        <v>4.390950834280039</v>
      </c>
      <c r="W55" s="1"/>
      <c r="X55">
        <f t="shared" si="72"/>
        <v>-0.15323301389936397</v>
      </c>
      <c r="Y55">
        <f t="shared" si="73"/>
        <v>38.74765127001757</v>
      </c>
      <c r="Z55">
        <f t="shared" si="74"/>
        <v>4.4381650627249165</v>
      </c>
      <c r="AA55" s="1"/>
      <c r="AB55">
        <f t="shared" si="75"/>
        <v>-2.0262187471740016E-2</v>
      </c>
      <c r="AC55">
        <f t="shared" si="76"/>
        <v>0.80953653755616461</v>
      </c>
      <c r="AD55">
        <f t="shared" si="77"/>
        <v>9.2724504846598874E-2</v>
      </c>
      <c r="AE55" s="1"/>
      <c r="AF55">
        <f t="shared" si="91"/>
        <v>2.1999999999999999E-2</v>
      </c>
      <c r="AG55">
        <f t="shared" si="92"/>
        <v>9.8302410845763511E-3</v>
      </c>
      <c r="AI55">
        <f t="shared" si="78"/>
        <v>2.3767880593774597E-2</v>
      </c>
      <c r="AJ55" s="1"/>
      <c r="AK55">
        <f t="shared" si="93"/>
        <v>6.4994435298634654</v>
      </c>
      <c r="AL55">
        <f t="shared" si="94"/>
        <v>-4.4030068065514613E-2</v>
      </c>
      <c r="AM55">
        <f t="shared" si="95"/>
        <v>0.80953653755616461</v>
      </c>
      <c r="AN55">
        <f t="shared" si="96"/>
        <v>0.12455474593117523</v>
      </c>
      <c r="AO55">
        <f t="shared" si="97"/>
        <v>0.65534940563842348</v>
      </c>
      <c r="AP55">
        <f t="shared" si="79"/>
        <v>0.33595766308580832</v>
      </c>
      <c r="AQ55">
        <f t="shared" si="80"/>
        <v>-2.3359576630858081</v>
      </c>
      <c r="AR55" s="1"/>
      <c r="AS55">
        <f t="shared" si="81"/>
        <v>6.4994435298634654</v>
      </c>
      <c r="AT55">
        <f t="shared" si="82"/>
        <v>-2.0262187471740016E-2</v>
      </c>
      <c r="AU55">
        <f t="shared" si="83"/>
        <v>0.80953653755616461</v>
      </c>
      <c r="AV55">
        <f t="shared" si="84"/>
        <v>0.12455474593117523</v>
      </c>
      <c r="AW55">
        <f t="shared" si="85"/>
        <v>0.65534940563842348</v>
      </c>
      <c r="AX55" s="1"/>
      <c r="AY55">
        <f t="shared" si="98"/>
        <v>0.16998825918449922</v>
      </c>
      <c r="AZ55">
        <f t="shared" si="99"/>
        <v>9.4038892095891585E-2</v>
      </c>
      <c r="BA55">
        <f t="shared" si="100"/>
        <v>9.4038892095891585E-2</v>
      </c>
      <c r="BB55">
        <f t="shared" si="101"/>
        <v>-3.4443339755910549E-3</v>
      </c>
      <c r="BC55">
        <f t="shared" si="102"/>
        <v>7.6127919102925851E-2</v>
      </c>
      <c r="BD55">
        <f t="shared" si="103"/>
        <v>1.1712990312652979E-2</v>
      </c>
      <c r="BE55">
        <f t="shared" si="104"/>
        <v>-0.11193127086172094</v>
      </c>
    </row>
    <row r="56" spans="6:57" x14ac:dyDescent="0.3">
      <c r="F56">
        <v>-2</v>
      </c>
      <c r="H56">
        <v>25</v>
      </c>
      <c r="I56">
        <v>24.3</v>
      </c>
      <c r="J56">
        <f t="shared" si="69"/>
        <v>102100</v>
      </c>
      <c r="K56">
        <f t="shared" si="70"/>
        <v>1.1965998281865475</v>
      </c>
      <c r="L56">
        <f t="shared" si="71"/>
        <v>373.9374463082961</v>
      </c>
      <c r="M56">
        <f t="shared" si="86"/>
        <v>11.703775958350874</v>
      </c>
      <c r="N56">
        <f t="shared" si="87"/>
        <v>11</v>
      </c>
      <c r="O56">
        <v>10.199999999999999</v>
      </c>
      <c r="P56" s="8">
        <v>10.4476</v>
      </c>
      <c r="Q56" s="8">
        <v>44.549900000000001</v>
      </c>
      <c r="R56" s="8">
        <v>5.5380000000000003</v>
      </c>
      <c r="S56" s="1"/>
      <c r="T56">
        <f t="shared" si="88"/>
        <v>-2.7717758648568935</v>
      </c>
      <c r="U56">
        <f t="shared" si="89"/>
        <v>43.37010213490391</v>
      </c>
      <c r="V56">
        <f t="shared" si="90"/>
        <v>4.4669503144478355</v>
      </c>
      <c r="W56" s="1"/>
      <c r="X56">
        <f t="shared" si="72"/>
        <v>-0.20277312077594439</v>
      </c>
      <c r="Y56">
        <f t="shared" si="73"/>
        <v>40.584973052746008</v>
      </c>
      <c r="Z56">
        <f t="shared" si="74"/>
        <v>4.6550808232224048</v>
      </c>
      <c r="AA56" s="1"/>
      <c r="AB56">
        <f t="shared" si="75"/>
        <v>-2.6812935951845945E-2</v>
      </c>
      <c r="AC56">
        <f t="shared" si="76"/>
        <v>0.84792284138659613</v>
      </c>
      <c r="AD56">
        <f t="shared" si="77"/>
        <v>9.7256424277554862E-2</v>
      </c>
      <c r="AE56" s="1"/>
      <c r="AF56">
        <f t="shared" si="91"/>
        <v>2.1999999999999999E-2</v>
      </c>
      <c r="AG56">
        <f t="shared" si="92"/>
        <v>1.0784597174176779E-2</v>
      </c>
      <c r="AI56">
        <f t="shared" si="78"/>
        <v>2.4894897156402255E-2</v>
      </c>
      <c r="AJ56" s="1"/>
      <c r="AK56">
        <f>AM56/AN56</f>
        <v>6.5204258773169226</v>
      </c>
      <c r="AL56">
        <f t="shared" si="94"/>
        <v>-5.1707833108248197E-2</v>
      </c>
      <c r="AM56">
        <f t="shared" si="95"/>
        <v>0.84792284138659613</v>
      </c>
      <c r="AN56">
        <f t="shared" si="96"/>
        <v>0.13004102145173166</v>
      </c>
      <c r="AO56">
        <f t="shared" si="97"/>
        <v>0.71897314494511866</v>
      </c>
      <c r="AP56">
        <f t="shared" si="79"/>
        <v>0.35188797917543735</v>
      </c>
      <c r="AQ56">
        <f t="shared" si="80"/>
        <v>-2.3518879791754372</v>
      </c>
      <c r="AR56" s="1"/>
      <c r="AS56">
        <f t="shared" si="81"/>
        <v>6.5204258773169226</v>
      </c>
      <c r="AT56">
        <f t="shared" si="82"/>
        <v>-2.6812935951845945E-2</v>
      </c>
      <c r="AU56">
        <f t="shared" si="83"/>
        <v>0.84792284138659613</v>
      </c>
      <c r="AV56">
        <f t="shared" si="84"/>
        <v>0.13004102145173166</v>
      </c>
      <c r="AW56">
        <f t="shared" si="85"/>
        <v>0.71897314494511866</v>
      </c>
      <c r="AX56" s="1"/>
      <c r="AY56">
        <f>(0.0005*24/$C$10)+(0.0005*24/$C$8)+(0.0005/P56)+(0.0005/Q56)+(0.0005/R56)+(0.05/L56)</f>
        <v>0.16998244584486769</v>
      </c>
      <c r="AZ56">
        <f>(0.0005*24/$C$10)+(0.0005/P56)+(0.0005/Q56)+(0.0005/R56)+(0.05/L56)</f>
        <v>9.4033078756260061E-2</v>
      </c>
      <c r="BA56">
        <f>(0.0005*24/$C$10)+(0.0005/P56)+(0.0005/Q56)+(0.0005/R56)+(0.05/L56)</f>
        <v>9.4033078756260061E-2</v>
      </c>
      <c r="BB56">
        <f>AY56*AT56</f>
        <v>-4.5577284333765591E-3</v>
      </c>
      <c r="BC56">
        <f>AZ56*AU56</f>
        <v>7.9732795323337602E-2</v>
      </c>
      <c r="BD56">
        <f>BA56*AV56</f>
        <v>1.2228157611715187E-2</v>
      </c>
      <c r="BE56">
        <f>BB56*AK56*5</f>
        <v>-0.14859165209385816</v>
      </c>
    </row>
    <row r="57" spans="6:57" x14ac:dyDescent="0.3">
      <c r="F57">
        <v>-2</v>
      </c>
      <c r="H57">
        <v>25</v>
      </c>
      <c r="I57">
        <v>24.3</v>
      </c>
      <c r="J57">
        <f t="shared" si="69"/>
        <v>102100</v>
      </c>
      <c r="K57">
        <f t="shared" si="70"/>
        <v>1.1965998281865475</v>
      </c>
      <c r="L57">
        <f t="shared" si="71"/>
        <v>373.9374463082961</v>
      </c>
      <c r="M57">
        <f>N57+0.83*(AM57)</f>
        <v>11.715208509964139</v>
      </c>
      <c r="N57">
        <f t="shared" si="87"/>
        <v>11</v>
      </c>
      <c r="O57">
        <v>10.199999999999999</v>
      </c>
      <c r="P57" s="8">
        <v>10.5458</v>
      </c>
      <c r="Q57" s="8">
        <v>45.280200000000001</v>
      </c>
      <c r="R57" s="8">
        <v>5.5922999999999998</v>
      </c>
      <c r="S57" s="1"/>
      <c r="T57">
        <f t="shared" si="88"/>
        <v>-2.6735758648568932</v>
      </c>
      <c r="U57">
        <f t="shared" si="89"/>
        <v>44.100402134903909</v>
      </c>
      <c r="V57">
        <f t="shared" si="90"/>
        <v>4.5212503144478351</v>
      </c>
      <c r="W57" s="1"/>
      <c r="X57">
        <f t="shared" si="72"/>
        <v>-0.24083043077594538</v>
      </c>
      <c r="Y57">
        <f t="shared" si="73"/>
        <v>41.244259283886535</v>
      </c>
      <c r="Z57">
        <f t="shared" si="74"/>
        <v>4.8674954381068982</v>
      </c>
      <c r="AA57" s="1"/>
      <c r="AB57">
        <f t="shared" si="75"/>
        <v>-3.1845300259426446E-2</v>
      </c>
      <c r="AC57">
        <f t="shared" si="76"/>
        <v>0.86169699995679416</v>
      </c>
      <c r="AD57">
        <f t="shared" si="77"/>
        <v>0.10169430338051297</v>
      </c>
      <c r="AE57" s="1"/>
      <c r="AF57">
        <f t="shared" si="91"/>
        <v>2.1999999999999999E-2</v>
      </c>
      <c r="AG57">
        <f t="shared" si="92"/>
        <v>1.1137825796018089E-2</v>
      </c>
      <c r="AI57">
        <f t="shared" si="78"/>
        <v>2.5299304543824803E-2</v>
      </c>
      <c r="AJ57" s="1"/>
      <c r="AK57">
        <f t="shared" ref="AK57:AK71" si="105">AM57/AN57</f>
        <v>6.3908877299460585</v>
      </c>
      <c r="AL57">
        <f t="shared" si="94"/>
        <v>-5.7144604803251245E-2</v>
      </c>
      <c r="AM57">
        <f t="shared" si="95"/>
        <v>0.86169699995679416</v>
      </c>
      <c r="AN57">
        <f t="shared" si="96"/>
        <v>0.13483212917653103</v>
      </c>
      <c r="AO57">
        <f t="shared" si="97"/>
        <v>0.74252171973453929</v>
      </c>
      <c r="AP57">
        <f t="shared" si="79"/>
        <v>0.35760425498206955</v>
      </c>
      <c r="AQ57">
        <f t="shared" si="80"/>
        <v>-2.3576042549820695</v>
      </c>
      <c r="AR57" s="1"/>
      <c r="AS57">
        <f t="shared" si="81"/>
        <v>6.3908877299460585</v>
      </c>
      <c r="AT57">
        <f t="shared" si="82"/>
        <v>-3.1845300259426446E-2</v>
      </c>
      <c r="AU57">
        <f t="shared" si="83"/>
        <v>0.86169699995679416</v>
      </c>
      <c r="AV57">
        <f t="shared" si="84"/>
        <v>0.13483212917653103</v>
      </c>
      <c r="AW57">
        <f t="shared" si="85"/>
        <v>0.74252171973453929</v>
      </c>
      <c r="AX57" s="1"/>
      <c r="AY57">
        <f t="shared" ref="AY57:AY71" si="106">(0.0005*24/$C$10)+(0.0005*24/$C$8)+(0.0005/P57)+(0.0005/Q57)+(0.0005/R57)+(0.05/L57)</f>
        <v>0.16998094253750765</v>
      </c>
      <c r="AZ57">
        <f t="shared" ref="AZ57:AZ71" si="107">(0.0005*24/$C$10)+(0.0005/P57)+(0.0005/Q57)+(0.0005/R57)+(0.05/L57)</f>
        <v>9.4031575448900007E-2</v>
      </c>
      <c r="BA57">
        <f t="shared" ref="BA57:BA71" si="108">(0.0005*24/$C$10)+(0.0005/P57)+(0.0005/Q57)+(0.0005/R57)+(0.05/L57)</f>
        <v>9.4031575448900007E-2</v>
      </c>
      <c r="BB57">
        <f t="shared" ref="BB57:BB71" si="109">AY57*AT57</f>
        <v>-5.413094153487244E-3</v>
      </c>
      <c r="BC57">
        <f t="shared" ref="BC57:BC71" si="110">AZ57*AU57</f>
        <v>8.1026726465528082E-2</v>
      </c>
      <c r="BD57">
        <f t="shared" ref="BD57:BD71" si="111">BA57*AV57</f>
        <v>1.2678477527598811E-2</v>
      </c>
      <c r="BE57">
        <f t="shared" ref="BE57:BE71" si="112">BB57*AK57*5</f>
        <v>-0.17297238503282186</v>
      </c>
    </row>
    <row r="58" spans="6:57" x14ac:dyDescent="0.3">
      <c r="F58">
        <v>-2</v>
      </c>
      <c r="H58">
        <v>25</v>
      </c>
      <c r="I58">
        <v>24.1</v>
      </c>
      <c r="J58">
        <f t="shared" si="69"/>
        <v>102100</v>
      </c>
      <c r="K58">
        <f t="shared" si="70"/>
        <v>1.1974053480978142</v>
      </c>
      <c r="L58">
        <f t="shared" si="71"/>
        <v>374.18917128056694</v>
      </c>
      <c r="M58">
        <f t="shared" ref="M58:M71" si="113">N58+0.83*(AM58)</f>
        <v>12.752214559475618</v>
      </c>
      <c r="N58">
        <f t="shared" si="87"/>
        <v>12</v>
      </c>
      <c r="O58">
        <v>11.2</v>
      </c>
      <c r="P58" s="8">
        <v>11.224299999999999</v>
      </c>
      <c r="Q58" s="8">
        <v>47.847900000000003</v>
      </c>
      <c r="R58" s="8">
        <v>5.7704000000000004</v>
      </c>
      <c r="S58" s="1"/>
      <c r="T58">
        <f t="shared" si="88"/>
        <v>-3.2752943185709089</v>
      </c>
      <c r="U58">
        <f t="shared" si="89"/>
        <v>46.426202346817149</v>
      </c>
      <c r="V58">
        <f t="shared" si="90"/>
        <v>4.5888731476396671</v>
      </c>
      <c r="W58" s="1"/>
      <c r="X58">
        <f t="shared" si="72"/>
        <v>-0.36646628236941503</v>
      </c>
      <c r="Y58">
        <f t="shared" si="73"/>
        <v>43.407505370272077</v>
      </c>
      <c r="Z58">
        <f t="shared" si="74"/>
        <v>5.4563676586319314</v>
      </c>
      <c r="AA58" s="1"/>
      <c r="AB58">
        <f t="shared" si="75"/>
        <v>-4.8425682541921186E-2</v>
      </c>
      <c r="AC58">
        <f t="shared" si="76"/>
        <v>0.90628260177785225</v>
      </c>
      <c r="AD58">
        <f t="shared" si="77"/>
        <v>0.11392064657344024</v>
      </c>
      <c r="AE58" s="1"/>
      <c r="AF58">
        <f t="shared" si="91"/>
        <v>2.1999999999999999E-2</v>
      </c>
      <c r="AG58">
        <f t="shared" si="92"/>
        <v>1.2320222314278496E-2</v>
      </c>
      <c r="AI58">
        <f t="shared" si="78"/>
        <v>2.6608331636639584E-2</v>
      </c>
      <c r="AJ58" s="1"/>
      <c r="AK58">
        <f t="shared" si="105"/>
        <v>6.1135812854975438</v>
      </c>
      <c r="AL58">
        <f t="shared" si="94"/>
        <v>-7.5034014178560773E-2</v>
      </c>
      <c r="AM58">
        <f t="shared" si="95"/>
        <v>0.90628260177785225</v>
      </c>
      <c r="AN58">
        <f>(AD58+AF58+AG58)</f>
        <v>0.14824086888771873</v>
      </c>
      <c r="AO58">
        <f t="shared" si="97"/>
        <v>0.82134815428523311</v>
      </c>
      <c r="AP58">
        <f t="shared" si="79"/>
        <v>0.37610727973780866</v>
      </c>
      <c r="AQ58">
        <f t="shared" si="80"/>
        <v>-2.3761072797378087</v>
      </c>
      <c r="AR58" s="1"/>
      <c r="AS58">
        <f t="shared" si="81"/>
        <v>6.1135812854975438</v>
      </c>
      <c r="AT58">
        <f t="shared" si="82"/>
        <v>-4.8425682541921186E-2</v>
      </c>
      <c r="AU58">
        <f t="shared" si="83"/>
        <v>0.90628260177785225</v>
      </c>
      <c r="AV58">
        <f t="shared" si="84"/>
        <v>0.14824086888771873</v>
      </c>
      <c r="AW58">
        <f t="shared" si="85"/>
        <v>0.82134815428523311</v>
      </c>
      <c r="AX58" s="1"/>
      <c r="AY58">
        <f t="shared" si="106"/>
        <v>0.16997463443426877</v>
      </c>
      <c r="AZ58">
        <f t="shared" si="107"/>
        <v>9.4025267345661148E-2</v>
      </c>
      <c r="BA58">
        <f t="shared" si="108"/>
        <v>9.4025267345661148E-2</v>
      </c>
      <c r="BB58">
        <f t="shared" si="109"/>
        <v>-8.231137687293005E-3</v>
      </c>
      <c r="BC58">
        <f t="shared" si="110"/>
        <v>8.5213463922883911E-2</v>
      </c>
      <c r="BD58">
        <f t="shared" si="111"/>
        <v>1.3938387328720856E-2</v>
      </c>
      <c r="BE58">
        <f t="shared" si="112"/>
        <v>-0.25160864661694027</v>
      </c>
    </row>
    <row r="59" spans="6:57" x14ac:dyDescent="0.3">
      <c r="F59">
        <v>-2</v>
      </c>
      <c r="H59">
        <v>25</v>
      </c>
      <c r="I59">
        <v>24.1</v>
      </c>
      <c r="J59">
        <f t="shared" si="69"/>
        <v>102100</v>
      </c>
      <c r="K59">
        <f t="shared" si="70"/>
        <v>1.1974053480978142</v>
      </c>
      <c r="L59">
        <f t="shared" si="71"/>
        <v>374.18917128056694</v>
      </c>
      <c r="M59">
        <f t="shared" si="113"/>
        <v>12.754010889369798</v>
      </c>
      <c r="N59">
        <f t="shared" si="87"/>
        <v>12</v>
      </c>
      <c r="O59">
        <v>11.2</v>
      </c>
      <c r="P59" s="8">
        <v>11.102499999999999</v>
      </c>
      <c r="Q59" s="8">
        <v>47.936199999999999</v>
      </c>
      <c r="R59" s="8">
        <v>5.7647000000000004</v>
      </c>
      <c r="S59" s="1"/>
      <c r="T59">
        <f t="shared" si="88"/>
        <v>-3.3970943185709093</v>
      </c>
      <c r="U59">
        <f t="shared" si="89"/>
        <v>46.514502346817146</v>
      </c>
      <c r="V59">
        <f t="shared" si="90"/>
        <v>4.5831731476396671</v>
      </c>
      <c r="W59" s="1"/>
      <c r="X59">
        <f t="shared" si="72"/>
        <v>-0.3687753923694147</v>
      </c>
      <c r="Y59">
        <f t="shared" si="73"/>
        <v>43.511164889416236</v>
      </c>
      <c r="Z59">
        <f t="shared" si="74"/>
        <v>5.3601779806056502</v>
      </c>
      <c r="AA59" s="1"/>
      <c r="AB59">
        <f t="shared" si="75"/>
        <v>-4.8730813554497238E-2</v>
      </c>
      <c r="AC59">
        <f t="shared" si="76"/>
        <v>0.90844685466240871</v>
      </c>
      <c r="AD59">
        <f t="shared" si="77"/>
        <v>0.11191235259473271</v>
      </c>
      <c r="AE59" s="1"/>
      <c r="AF59">
        <f t="shared" si="91"/>
        <v>2.1999999999999999E-2</v>
      </c>
      <c r="AG59">
        <f t="shared" si="92"/>
        <v>1.2379135316190353E-2</v>
      </c>
      <c r="AI59">
        <f t="shared" si="78"/>
        <v>2.667187380150611E-2</v>
      </c>
      <c r="AJ59" s="1"/>
      <c r="AK59">
        <f t="shared" si="105"/>
        <v>6.2098408296698864</v>
      </c>
      <c r="AL59">
        <f t="shared" si="94"/>
        <v>-7.5402687356003348E-2</v>
      </c>
      <c r="AM59">
        <f t="shared" si="95"/>
        <v>0.90844685466240871</v>
      </c>
      <c r="AN59">
        <f t="shared" ref="AN59:AN71" si="114">(AD59+AF59+AG59)</f>
        <v>0.14629148791092308</v>
      </c>
      <c r="AO59">
        <f t="shared" si="97"/>
        <v>0.82527568774602356</v>
      </c>
      <c r="AP59">
        <f t="shared" si="79"/>
        <v>0.3770054446848996</v>
      </c>
      <c r="AQ59">
        <f t="shared" si="80"/>
        <v>-2.3770054446848996</v>
      </c>
      <c r="AR59" s="1"/>
      <c r="AS59">
        <f t="shared" si="81"/>
        <v>6.2098408296698864</v>
      </c>
      <c r="AT59">
        <f t="shared" si="82"/>
        <v>-4.8730813554497238E-2</v>
      </c>
      <c r="AU59">
        <f t="shared" si="83"/>
        <v>0.90844685466240871</v>
      </c>
      <c r="AV59">
        <f t="shared" si="84"/>
        <v>0.14629148791092308</v>
      </c>
      <c r="AW59">
        <f t="shared" si="85"/>
        <v>0.82527568774602356</v>
      </c>
      <c r="AX59" s="1"/>
      <c r="AY59">
        <f t="shared" si="106"/>
        <v>0.16997518955631283</v>
      </c>
      <c r="AZ59">
        <f t="shared" si="107"/>
        <v>9.4025822467705175E-2</v>
      </c>
      <c r="BA59">
        <f t="shared" si="108"/>
        <v>9.4025822467705175E-2</v>
      </c>
      <c r="BB59">
        <f t="shared" si="109"/>
        <v>-8.2830292711590058E-3</v>
      </c>
      <c r="BC59">
        <f t="shared" si="110"/>
        <v>8.5417462677832803E-2</v>
      </c>
      <c r="BD59">
        <f t="shared" si="111"/>
        <v>1.3755177470848892E-2</v>
      </c>
      <c r="BE59">
        <f t="shared" si="112"/>
        <v>-0.25718146680696996</v>
      </c>
    </row>
    <row r="60" spans="6:57" x14ac:dyDescent="0.3">
      <c r="F60">
        <v>-2</v>
      </c>
      <c r="H60">
        <v>25</v>
      </c>
      <c r="I60">
        <v>24.1</v>
      </c>
      <c r="J60">
        <f t="shared" si="69"/>
        <v>102100</v>
      </c>
      <c r="K60">
        <f t="shared" si="70"/>
        <v>1.1974053480978142</v>
      </c>
      <c r="L60">
        <f t="shared" si="71"/>
        <v>374.18917128056694</v>
      </c>
      <c r="M60">
        <f t="shared" si="113"/>
        <v>13.774446303430645</v>
      </c>
      <c r="N60">
        <f t="shared" si="87"/>
        <v>13</v>
      </c>
      <c r="O60">
        <v>12.2</v>
      </c>
      <c r="P60" s="8">
        <v>11.5585</v>
      </c>
      <c r="Q60" s="8">
        <v>49.415700000000001</v>
      </c>
      <c r="R60" s="8">
        <v>5.8926999999999996</v>
      </c>
      <c r="S60" s="1"/>
      <c r="T60">
        <f t="shared" si="88"/>
        <v>-4.2168960553947645</v>
      </c>
      <c r="U60">
        <f t="shared" si="89"/>
        <v>47.729796508457056</v>
      </c>
      <c r="V60">
        <f t="shared" si="90"/>
        <v>4.5998529862707578</v>
      </c>
      <c r="W60" s="1"/>
      <c r="X60">
        <f t="shared" si="72"/>
        <v>-0.39970214334187681</v>
      </c>
      <c r="Y60">
        <f t="shared" si="73"/>
        <v>44.690416652647556</v>
      </c>
      <c r="Z60">
        <f t="shared" si="74"/>
        <v>5.606938604736925</v>
      </c>
      <c r="AA60" s="1"/>
      <c r="AB60">
        <f t="shared" si="75"/>
        <v>-5.2817544303537342E-2</v>
      </c>
      <c r="AC60">
        <f t="shared" si="76"/>
        <v>0.93306783545860827</v>
      </c>
      <c r="AD60">
        <f t="shared" si="77"/>
        <v>0.11706433860605453</v>
      </c>
      <c r="AE60" s="1"/>
      <c r="AF60">
        <f t="shared" si="91"/>
        <v>2.1999999999999999E-2</v>
      </c>
      <c r="AG60">
        <f t="shared" si="92"/>
        <v>1.3059233783511186E-2</v>
      </c>
      <c r="AI60">
        <f t="shared" si="78"/>
        <v>2.739474238682316E-2</v>
      </c>
      <c r="AJ60" s="1"/>
      <c r="AK60">
        <f t="shared" si="105"/>
        <v>6.1336176951535242</v>
      </c>
      <c r="AL60">
        <f t="shared" si="94"/>
        <v>-8.0212286690360499E-2</v>
      </c>
      <c r="AM60">
        <f t="shared" si="95"/>
        <v>0.93306783545860827</v>
      </c>
      <c r="AN60">
        <f t="shared" si="114"/>
        <v>0.1521235723895657</v>
      </c>
      <c r="AO60">
        <f t="shared" si="97"/>
        <v>0.87061558556741248</v>
      </c>
      <c r="AP60">
        <f t="shared" si="79"/>
        <v>0.3872231517153224</v>
      </c>
      <c r="AQ60">
        <f t="shared" si="80"/>
        <v>-2.3872231517153226</v>
      </c>
      <c r="AR60" s="1"/>
      <c r="AS60">
        <f t="shared" si="81"/>
        <v>6.1336176951535242</v>
      </c>
      <c r="AT60">
        <f t="shared" si="82"/>
        <v>-5.2817544303537342E-2</v>
      </c>
      <c r="AU60">
        <f t="shared" si="83"/>
        <v>0.93306783545860827</v>
      </c>
      <c r="AV60">
        <f t="shared" si="84"/>
        <v>0.1521235723895657</v>
      </c>
      <c r="AW60">
        <f t="shared" si="85"/>
        <v>0.87061558556741248</v>
      </c>
      <c r="AX60" s="1"/>
      <c r="AY60">
        <f t="shared" si="106"/>
        <v>0.16997121653885452</v>
      </c>
      <c r="AZ60">
        <f t="shared" si="107"/>
        <v>9.40218494502469E-2</v>
      </c>
      <c r="BA60">
        <f t="shared" si="108"/>
        <v>9.40218494502469E-2</v>
      </c>
      <c r="BB60">
        <f t="shared" si="109"/>
        <v>-8.9774622598670882E-3</v>
      </c>
      <c r="BC60">
        <f t="shared" si="110"/>
        <v>8.7728763552357009E-2</v>
      </c>
      <c r="BD60">
        <f t="shared" si="111"/>
        <v>1.4302939621045481E-2</v>
      </c>
      <c r="BE60">
        <f t="shared" si="112"/>
        <v>-0.27532160687346863</v>
      </c>
    </row>
    <row r="61" spans="6:57" x14ac:dyDescent="0.3">
      <c r="F61">
        <v>-2</v>
      </c>
      <c r="H61">
        <v>25</v>
      </c>
      <c r="I61">
        <v>24.1</v>
      </c>
      <c r="J61">
        <f t="shared" si="69"/>
        <v>102100</v>
      </c>
      <c r="K61">
        <f t="shared" si="70"/>
        <v>1.1974053480978142</v>
      </c>
      <c r="L61">
        <f t="shared" si="71"/>
        <v>374.18917128056694</v>
      </c>
      <c r="M61">
        <f t="shared" si="113"/>
        <v>13.781905148741441</v>
      </c>
      <c r="N61">
        <f t="shared" si="87"/>
        <v>13</v>
      </c>
      <c r="O61">
        <v>12.2</v>
      </c>
      <c r="P61" s="8">
        <v>11.923999999999999</v>
      </c>
      <c r="Q61" s="8">
        <v>49.963200000000001</v>
      </c>
      <c r="R61" s="8">
        <v>5.9329000000000001</v>
      </c>
      <c r="S61" s="1"/>
      <c r="T61">
        <f t="shared" si="88"/>
        <v>-3.8513960553947655</v>
      </c>
      <c r="U61">
        <f t="shared" si="89"/>
        <v>48.277296508457056</v>
      </c>
      <c r="V61">
        <f t="shared" si="90"/>
        <v>4.6400529862707582</v>
      </c>
      <c r="W61" s="1"/>
      <c r="X61">
        <f t="shared" si="72"/>
        <v>-0.45889159334187651</v>
      </c>
      <c r="Y61">
        <f t="shared" si="73"/>
        <v>45.12083888232371</v>
      </c>
      <c r="Z61">
        <f t="shared" si="74"/>
        <v>6.0515076900325653</v>
      </c>
      <c r="AA61" s="1"/>
      <c r="AB61">
        <f t="shared" si="75"/>
        <v>-6.0638971958487463E-2</v>
      </c>
      <c r="AC61">
        <f t="shared" si="76"/>
        <v>0.94205439607402386</v>
      </c>
      <c r="AD61">
        <f t="shared" si="77"/>
        <v>0.12634626402090837</v>
      </c>
      <c r="AE61" s="1"/>
      <c r="AF61">
        <f t="shared" si="91"/>
        <v>2.1999999999999999E-2</v>
      </c>
      <c r="AG61">
        <f t="shared" si="92"/>
        <v>1.3311997277435907E-2</v>
      </c>
      <c r="AI61">
        <f t="shared" si="78"/>
        <v>2.7658586561541583E-2</v>
      </c>
      <c r="AJ61" s="1"/>
      <c r="AK61">
        <f t="shared" si="105"/>
        <v>5.827443574538016</v>
      </c>
      <c r="AL61">
        <f t="shared" si="94"/>
        <v>-8.8297558520029046E-2</v>
      </c>
      <c r="AM61">
        <f t="shared" si="95"/>
        <v>0.94205439607402386</v>
      </c>
      <c r="AN61">
        <f t="shared" si="114"/>
        <v>0.16165826129834426</v>
      </c>
      <c r="AO61">
        <f t="shared" si="97"/>
        <v>0.88746648516239379</v>
      </c>
      <c r="AP61">
        <f t="shared" si="79"/>
        <v>0.3909525743707199</v>
      </c>
      <c r="AQ61">
        <f t="shared" si="80"/>
        <v>-2.3909525743707198</v>
      </c>
      <c r="AR61" s="1"/>
      <c r="AS61">
        <f t="shared" si="81"/>
        <v>5.827443574538016</v>
      </c>
      <c r="AT61">
        <f t="shared" si="82"/>
        <v>-6.0638971958487463E-2</v>
      </c>
      <c r="AU61">
        <f t="shared" si="83"/>
        <v>0.94205439607402386</v>
      </c>
      <c r="AV61">
        <f t="shared" si="84"/>
        <v>0.16165826129834426</v>
      </c>
      <c r="AW61">
        <f t="shared" si="85"/>
        <v>0.88746648516239379</v>
      </c>
      <c r="AX61" s="1"/>
      <c r="AY61">
        <f t="shared" si="106"/>
        <v>0.16996920476212302</v>
      </c>
      <c r="AZ61">
        <f t="shared" si="107"/>
        <v>9.4019837673515391E-2</v>
      </c>
      <c r="BA61">
        <f t="shared" si="108"/>
        <v>9.4019837673515391E-2</v>
      </c>
      <c r="BB61">
        <f t="shared" si="109"/>
        <v>-1.0306757841376791E-2</v>
      </c>
      <c r="BC61">
        <f t="shared" si="110"/>
        <v>8.8571801398501293E-2</v>
      </c>
      <c r="BD61">
        <f t="shared" si="111"/>
        <v>1.5199083485853063E-2</v>
      </c>
      <c r="BE61">
        <f t="shared" si="112"/>
        <v>-0.30031024878525248</v>
      </c>
    </row>
    <row r="62" spans="6:57" x14ac:dyDescent="0.3">
      <c r="F62">
        <v>-2</v>
      </c>
      <c r="H62">
        <v>25</v>
      </c>
      <c r="I62">
        <v>24.2</v>
      </c>
      <c r="J62">
        <f t="shared" si="69"/>
        <v>102100</v>
      </c>
      <c r="K62">
        <f t="shared" si="70"/>
        <v>1.1970024526240264</v>
      </c>
      <c r="L62">
        <f t="shared" si="71"/>
        <v>374.06326644500825</v>
      </c>
      <c r="M62">
        <f t="shared" si="113"/>
        <v>14.782065631010326</v>
      </c>
      <c r="N62">
        <f t="shared" si="87"/>
        <v>14</v>
      </c>
      <c r="O62">
        <v>13.2</v>
      </c>
      <c r="P62" s="8">
        <v>12.707800000000001</v>
      </c>
      <c r="Q62" s="8">
        <v>50.251800000000003</v>
      </c>
      <c r="R62" s="8">
        <v>5.9583000000000004</v>
      </c>
      <c r="S62" s="1"/>
      <c r="T62">
        <f t="shared" si="88"/>
        <v>-4.3385924537604499</v>
      </c>
      <c r="U62">
        <f t="shared" si="89"/>
        <v>48.279465099481421</v>
      </c>
      <c r="V62">
        <f t="shared" si="90"/>
        <v>4.5533237395406445</v>
      </c>
      <c r="W62" s="1"/>
      <c r="X62">
        <f t="shared" si="72"/>
        <v>-0.49027540236690553</v>
      </c>
      <c r="Y62">
        <f t="shared" si="73"/>
        <v>45.114914623244204</v>
      </c>
      <c r="Z62">
        <f t="shared" si="74"/>
        <v>6.3926540358298816</v>
      </c>
      <c r="AA62" s="1"/>
      <c r="AB62">
        <f t="shared" si="75"/>
        <v>-6.4807905550602715E-2</v>
      </c>
      <c r="AC62">
        <f t="shared" si="76"/>
        <v>0.94224774820521218</v>
      </c>
      <c r="AD62">
        <f t="shared" si="77"/>
        <v>0.13351380404058763</v>
      </c>
      <c r="AE62" s="1"/>
      <c r="AF62">
        <f t="shared" si="91"/>
        <v>2.1999999999999999E-2</v>
      </c>
      <c r="AG62">
        <f t="shared" si="92"/>
        <v>1.3317462284966894E-2</v>
      </c>
      <c r="AI62">
        <f t="shared" si="78"/>
        <v>2.7664263353327299E-2</v>
      </c>
      <c r="AJ62" s="1"/>
      <c r="AK62">
        <f t="shared" si="105"/>
        <v>5.5810026703720368</v>
      </c>
      <c r="AL62">
        <f t="shared" si="94"/>
        <v>-9.2472168903930008E-2</v>
      </c>
      <c r="AM62">
        <f t="shared" si="95"/>
        <v>0.94224774820521218</v>
      </c>
      <c r="AN62">
        <f t="shared" si="114"/>
        <v>0.16883126632555451</v>
      </c>
      <c r="AO62">
        <f t="shared" si="97"/>
        <v>0.88783081899779293</v>
      </c>
      <c r="AP62">
        <f t="shared" si="79"/>
        <v>0.39103281550516306</v>
      </c>
      <c r="AQ62">
        <f t="shared" si="80"/>
        <v>-2.391032815505163</v>
      </c>
      <c r="AR62" s="1"/>
      <c r="AS62">
        <f t="shared" si="81"/>
        <v>5.5810026703720368</v>
      </c>
      <c r="AT62">
        <f t="shared" si="82"/>
        <v>-6.4807905550602715E-2</v>
      </c>
      <c r="AU62">
        <f t="shared" si="83"/>
        <v>0.94224774820521218</v>
      </c>
      <c r="AV62">
        <f t="shared" si="84"/>
        <v>0.16883126632555451</v>
      </c>
      <c r="AW62">
        <f t="shared" si="85"/>
        <v>0.88783081899779293</v>
      </c>
      <c r="AX62" s="1"/>
      <c r="AY62">
        <f t="shared" si="106"/>
        <v>0.16996624667607016</v>
      </c>
      <c r="AZ62">
        <f t="shared" si="107"/>
        <v>9.4016879587462548E-2</v>
      </c>
      <c r="BA62">
        <f t="shared" si="108"/>
        <v>9.4016879587462548E-2</v>
      </c>
      <c r="BB62">
        <f t="shared" si="109"/>
        <v>-1.1015156461373198E-2</v>
      </c>
      <c r="BC62">
        <f t="shared" si="110"/>
        <v>8.8587193084567167E-2</v>
      </c>
      <c r="BD62">
        <f t="shared" si="111"/>
        <v>1.5872988836728479E-2</v>
      </c>
      <c r="BE62">
        <f t="shared" si="112"/>
        <v>-0.30737808812744805</v>
      </c>
    </row>
    <row r="63" spans="6:57" x14ac:dyDescent="0.3">
      <c r="F63">
        <v>-2</v>
      </c>
      <c r="H63">
        <v>25</v>
      </c>
      <c r="I63">
        <v>24.2</v>
      </c>
      <c r="J63">
        <f t="shared" si="69"/>
        <v>102100</v>
      </c>
      <c r="K63">
        <f t="shared" si="70"/>
        <v>1.1970024526240264</v>
      </c>
      <c r="L63">
        <f t="shared" si="71"/>
        <v>374.06326644500825</v>
      </c>
      <c r="M63" s="9">
        <f t="shared" si="113"/>
        <v>14.755064385640127</v>
      </c>
      <c r="N63">
        <f t="shared" si="87"/>
        <v>14</v>
      </c>
      <c r="O63">
        <v>13.2</v>
      </c>
      <c r="P63" s="8">
        <v>14.5646</v>
      </c>
      <c r="Q63" s="8">
        <v>48.985300000000002</v>
      </c>
      <c r="R63" s="8">
        <v>5.742</v>
      </c>
      <c r="S63" s="1"/>
      <c r="T63">
        <f t="shared" si="88"/>
        <v>-2.4817924537604501</v>
      </c>
      <c r="U63">
        <f t="shared" si="89"/>
        <v>47.01296509948142</v>
      </c>
      <c r="V63">
        <f t="shared" si="90"/>
        <v>4.3370237395406441</v>
      </c>
      <c r="W63" s="1"/>
      <c r="X63">
        <f t="shared" si="72"/>
        <v>-0.74868187236690598</v>
      </c>
      <c r="Y63">
        <f t="shared" si="73"/>
        <v>43.55729742170049</v>
      </c>
      <c r="Z63">
        <f t="shared" si="74"/>
        <v>7.8200768698980347</v>
      </c>
      <c r="AA63" s="1"/>
      <c r="AB63">
        <f t="shared" si="75"/>
        <v>-9.8965813576532918E-2</v>
      </c>
      <c r="AC63">
        <f t="shared" si="76"/>
        <v>0.90971612727726092</v>
      </c>
      <c r="AD63">
        <f t="shared" si="77"/>
        <v>0.16332624993280379</v>
      </c>
      <c r="AE63" s="1"/>
      <c r="AF63">
        <f t="shared" si="91"/>
        <v>2.1999999999999999E-2</v>
      </c>
      <c r="AG63">
        <f t="shared" si="92"/>
        <v>1.2413751483425065E-2</v>
      </c>
      <c r="AI63">
        <f t="shared" si="78"/>
        <v>2.6709139469639914E-2</v>
      </c>
      <c r="AJ63" s="1"/>
      <c r="AK63" s="9">
        <f t="shared" si="105"/>
        <v>4.6005670110337071</v>
      </c>
      <c r="AL63" s="9">
        <f t="shared" si="94"/>
        <v>-0.12567495304617282</v>
      </c>
      <c r="AM63" s="9">
        <f t="shared" si="95"/>
        <v>0.90971612727726092</v>
      </c>
      <c r="AN63" s="9">
        <f t="shared" si="114"/>
        <v>0.19774000141622883</v>
      </c>
      <c r="AO63" s="9">
        <f t="shared" si="97"/>
        <v>0.82758343222833763</v>
      </c>
      <c r="AP63" s="9">
        <f t="shared" si="79"/>
        <v>0.37753219282006328</v>
      </c>
      <c r="AQ63" s="9">
        <f t="shared" si="80"/>
        <v>-2.3775321928200635</v>
      </c>
      <c r="AR63" s="1"/>
      <c r="AS63" s="9">
        <f t="shared" si="81"/>
        <v>4.6005670110337071</v>
      </c>
      <c r="AT63" s="9">
        <f t="shared" si="82"/>
        <v>-9.8965813576532918E-2</v>
      </c>
      <c r="AU63" s="9">
        <f t="shared" si="83"/>
        <v>0.90971612727726092</v>
      </c>
      <c r="AV63" s="9">
        <f t="shared" si="84"/>
        <v>0.19774000141622883</v>
      </c>
      <c r="AW63" s="9">
        <f t="shared" si="85"/>
        <v>0.82758343222833763</v>
      </c>
      <c r="AX63" s="1"/>
      <c r="AY63" s="9">
        <f t="shared" si="106"/>
        <v>0.16996464894725874</v>
      </c>
      <c r="AZ63" s="9">
        <f t="shared" si="107"/>
        <v>9.4015281858651129E-2</v>
      </c>
      <c r="BA63" s="9">
        <f t="shared" si="108"/>
        <v>9.4015281858651129E-2</v>
      </c>
      <c r="BB63" s="9">
        <f t="shared" si="109"/>
        <v>-1.682068976231527E-2</v>
      </c>
      <c r="BC63" s="9">
        <f t="shared" si="110"/>
        <v>8.5527218117332229E-2</v>
      </c>
      <c r="BD63" s="9">
        <f t="shared" si="111"/>
        <v>1.8590581967876826E-2</v>
      </c>
      <c r="BE63" s="9">
        <f t="shared" si="112"/>
        <v>-0.38692355211670021</v>
      </c>
    </row>
    <row r="64" spans="6:57" x14ac:dyDescent="0.3">
      <c r="F64">
        <v>-2</v>
      </c>
      <c r="H64">
        <v>25</v>
      </c>
      <c r="I64">
        <v>24.2</v>
      </c>
      <c r="J64">
        <f t="shared" si="69"/>
        <v>102100</v>
      </c>
      <c r="K64">
        <f t="shared" si="70"/>
        <v>1.1970024526240264</v>
      </c>
      <c r="L64">
        <f t="shared" si="71"/>
        <v>374.06326644500825</v>
      </c>
      <c r="M64" s="9">
        <f t="shared" si="113"/>
        <v>15.764794220415554</v>
      </c>
      <c r="N64">
        <f t="shared" si="87"/>
        <v>15</v>
      </c>
      <c r="O64">
        <v>14.2</v>
      </c>
      <c r="P64" s="8">
        <v>15.8567</v>
      </c>
      <c r="Q64" s="8">
        <v>50.073500000000003</v>
      </c>
      <c r="R64" s="8">
        <v>5.9592999999999998</v>
      </c>
      <c r="S64" s="1"/>
      <c r="T64">
        <f t="shared" si="88"/>
        <v>-2.4554963558526133</v>
      </c>
      <c r="U64">
        <f t="shared" si="89"/>
        <v>47.792595369672121</v>
      </c>
      <c r="V64">
        <f t="shared" si="90"/>
        <v>4.4414195631041</v>
      </c>
      <c r="W64" s="1"/>
      <c r="X64">
        <f t="shared" si="72"/>
        <v>-0.73754684694854256</v>
      </c>
      <c r="Y64">
        <f t="shared" si="73"/>
        <v>44.118581088679448</v>
      </c>
      <c r="Z64">
        <f t="shared" si="74"/>
        <v>8.7828026839939426</v>
      </c>
      <c r="AA64" s="1"/>
      <c r="AB64">
        <f t="shared" si="75"/>
        <v>-9.7493910902784656E-2</v>
      </c>
      <c r="AC64">
        <f t="shared" si="76"/>
        <v>0.92143881977777609</v>
      </c>
      <c r="AD64">
        <f t="shared" si="77"/>
        <v>0.18343326416626368</v>
      </c>
      <c r="AE64" s="1"/>
      <c r="AF64">
        <f t="shared" si="91"/>
        <v>2.1999999999999999E-2</v>
      </c>
      <c r="AG64">
        <f t="shared" si="92"/>
        <v>1.2735742478901912E-2</v>
      </c>
      <c r="AI64">
        <f t="shared" si="78"/>
        <v>2.7053316097455739E-2</v>
      </c>
      <c r="AJ64" s="1"/>
      <c r="AK64" s="9">
        <f t="shared" si="105"/>
        <v>4.2235092598483641</v>
      </c>
      <c r="AL64" s="9">
        <f t="shared" si="94"/>
        <v>-0.1245472270002404</v>
      </c>
      <c r="AM64" s="9">
        <f t="shared" si="95"/>
        <v>0.92143881977777609</v>
      </c>
      <c r="AN64" s="9">
        <f t="shared" si="114"/>
        <v>0.21816900664516559</v>
      </c>
      <c r="AO64" s="9">
        <f t="shared" si="97"/>
        <v>0.84904949859346091</v>
      </c>
      <c r="AP64" s="9">
        <f t="shared" si="79"/>
        <v>0.38239711020777706</v>
      </c>
      <c r="AQ64" s="9">
        <f t="shared" si="80"/>
        <v>-2.3823971102077772</v>
      </c>
      <c r="AR64" s="1"/>
      <c r="AS64" s="9">
        <f t="shared" si="81"/>
        <v>4.2235092598483641</v>
      </c>
      <c r="AT64" s="9">
        <f t="shared" si="82"/>
        <v>-9.7493910902784656E-2</v>
      </c>
      <c r="AU64" s="9">
        <f t="shared" si="83"/>
        <v>0.92143881977777609</v>
      </c>
      <c r="AV64" s="9">
        <f t="shared" si="84"/>
        <v>0.21816900664516559</v>
      </c>
      <c r="AW64" s="9">
        <f t="shared" si="85"/>
        <v>0.84904949859346091</v>
      </c>
      <c r="AX64" s="1"/>
      <c r="AY64" s="9">
        <f t="shared" si="106"/>
        <v>0.16995845452232583</v>
      </c>
      <c r="AZ64" s="9">
        <f t="shared" si="107"/>
        <v>9.4009087433718205E-2</v>
      </c>
      <c r="BA64" s="9">
        <f t="shared" si="108"/>
        <v>9.4009087433718205E-2</v>
      </c>
      <c r="BB64" s="9">
        <f t="shared" si="109"/>
        <v>-1.6569914422374613E-2</v>
      </c>
      <c r="BC64" s="9">
        <f t="shared" si="110"/>
        <v>8.6623622573311063E-2</v>
      </c>
      <c r="BD64" s="9">
        <f t="shared" si="111"/>
        <v>2.0509869221032821E-2</v>
      </c>
      <c r="BE64" s="9">
        <f t="shared" si="112"/>
        <v>-0.34991593498897067</v>
      </c>
    </row>
    <row r="65" spans="6:57" x14ac:dyDescent="0.3">
      <c r="F65">
        <v>-2</v>
      </c>
      <c r="H65">
        <v>25</v>
      </c>
      <c r="I65">
        <v>24.2</v>
      </c>
      <c r="J65">
        <f t="shared" si="69"/>
        <v>102100</v>
      </c>
      <c r="K65">
        <f t="shared" si="70"/>
        <v>1.1970024526240264</v>
      </c>
      <c r="L65">
        <f t="shared" si="71"/>
        <v>374.06326644500825</v>
      </c>
      <c r="M65" s="9">
        <f t="shared" si="113"/>
        <v>15.766940383121444</v>
      </c>
      <c r="N65">
        <f t="shared" si="87"/>
        <v>15</v>
      </c>
      <c r="O65">
        <v>14.2</v>
      </c>
      <c r="P65" s="8">
        <v>15.9031</v>
      </c>
      <c r="Q65" s="8">
        <v>50.2211</v>
      </c>
      <c r="R65" s="8">
        <v>5.9423000000000004</v>
      </c>
      <c r="S65" s="1"/>
      <c r="T65">
        <f t="shared" si="88"/>
        <v>-2.4090963558526131</v>
      </c>
      <c r="U65">
        <f t="shared" si="89"/>
        <v>47.940195369672118</v>
      </c>
      <c r="V65">
        <f t="shared" si="90"/>
        <v>4.4244195631041006</v>
      </c>
      <c r="W65" s="1"/>
      <c r="X65">
        <f t="shared" si="72"/>
        <v>-0.77428016694854152</v>
      </c>
      <c r="Y65">
        <f t="shared" si="73"/>
        <v>44.242386487362808</v>
      </c>
      <c r="Z65">
        <f t="shared" si="74"/>
        <v>8.859120940321338</v>
      </c>
      <c r="AA65" s="1"/>
      <c r="AB65">
        <f t="shared" si="75"/>
        <v>-0.10234956860379742</v>
      </c>
      <c r="AC65">
        <f t="shared" si="76"/>
        <v>0.92402455797764271</v>
      </c>
      <c r="AD65">
        <f t="shared" si="77"/>
        <v>0.18502720944515791</v>
      </c>
      <c r="AE65" s="1"/>
      <c r="AF65">
        <f t="shared" si="91"/>
        <v>2.1999999999999999E-2</v>
      </c>
      <c r="AG65">
        <f t="shared" si="92"/>
        <v>1.2807320756186669E-2</v>
      </c>
      <c r="AI65">
        <f t="shared" si="78"/>
        <v>2.7129233012789442E-2</v>
      </c>
      <c r="AJ65" s="1"/>
      <c r="AK65" s="9">
        <f t="shared" si="105"/>
        <v>4.2032730578373494</v>
      </c>
      <c r="AL65" s="9">
        <f t="shared" si="94"/>
        <v>-0.12947880161658687</v>
      </c>
      <c r="AM65" s="9">
        <f t="shared" si="95"/>
        <v>0.92402455797764271</v>
      </c>
      <c r="AN65" s="9">
        <f t="shared" si="114"/>
        <v>0.21983453020134458</v>
      </c>
      <c r="AO65" s="9">
        <f t="shared" si="97"/>
        <v>0.85382138374577798</v>
      </c>
      <c r="AP65" s="9">
        <f t="shared" si="79"/>
        <v>0.38347019156072171</v>
      </c>
      <c r="AQ65" s="9">
        <f t="shared" si="80"/>
        <v>-2.3834701915607219</v>
      </c>
      <c r="AR65" s="1"/>
      <c r="AS65" s="9">
        <f t="shared" si="81"/>
        <v>4.2032730578373494</v>
      </c>
      <c r="AT65" s="9">
        <f t="shared" si="82"/>
        <v>-0.10234956860379742</v>
      </c>
      <c r="AU65" s="9">
        <f t="shared" si="83"/>
        <v>0.92402455797764271</v>
      </c>
      <c r="AV65" s="9">
        <f t="shared" si="84"/>
        <v>0.21983453020134458</v>
      </c>
      <c r="AW65" s="9">
        <f t="shared" si="85"/>
        <v>0.85382138374577798</v>
      </c>
      <c r="AX65" s="1"/>
      <c r="AY65" s="9">
        <f t="shared" si="106"/>
        <v>0.16995857320622859</v>
      </c>
      <c r="AZ65" s="9">
        <f t="shared" si="107"/>
        <v>9.4009206117621008E-2</v>
      </c>
      <c r="BA65" s="9">
        <f t="shared" si="108"/>
        <v>9.4009206117621008E-2</v>
      </c>
      <c r="BB65" s="9">
        <f t="shared" si="109"/>
        <v>-1.739518664817442E-2</v>
      </c>
      <c r="BC65" s="9">
        <f t="shared" si="110"/>
        <v>8.6866815128663857E-2</v>
      </c>
      <c r="BD65" s="9">
        <f t="shared" si="111"/>
        <v>2.0666469661468585E-2</v>
      </c>
      <c r="BE65" s="9">
        <f t="shared" si="112"/>
        <v>-0.36558359687161762</v>
      </c>
    </row>
    <row r="66" spans="6:57" x14ac:dyDescent="0.3">
      <c r="F66">
        <v>-2</v>
      </c>
      <c r="H66">
        <v>25</v>
      </c>
      <c r="I66">
        <v>24.2</v>
      </c>
      <c r="J66">
        <f t="shared" si="69"/>
        <v>102100</v>
      </c>
      <c r="K66">
        <f t="shared" si="70"/>
        <v>1.1970024526240264</v>
      </c>
      <c r="L66">
        <f t="shared" si="71"/>
        <v>374.06326644500825</v>
      </c>
      <c r="M66" s="9">
        <f t="shared" si="113"/>
        <v>16.74176574614237</v>
      </c>
      <c r="N66">
        <f t="shared" si="87"/>
        <v>16</v>
      </c>
      <c r="O66">
        <v>15.2</v>
      </c>
      <c r="P66" s="8">
        <v>18.301600000000001</v>
      </c>
      <c r="Q66" s="8">
        <v>49.437899999999999</v>
      </c>
      <c r="R66" s="8">
        <v>5.8952</v>
      </c>
      <c r="S66" s="1"/>
      <c r="T66">
        <f t="shared" si="88"/>
        <v>-1.2708221855405526</v>
      </c>
      <c r="U66">
        <f t="shared" si="89"/>
        <v>46.826381312358045</v>
      </c>
      <c r="V66">
        <f t="shared" si="90"/>
        <v>4.2636748486669962</v>
      </c>
      <c r="W66" s="1"/>
      <c r="X66">
        <f t="shared" si="72"/>
        <v>-0.9226744481340351</v>
      </c>
      <c r="Y66">
        <f t="shared" si="73"/>
        <v>42.790140597826912</v>
      </c>
      <c r="Z66">
        <f t="shared" si="74"/>
        <v>10.38794571935772</v>
      </c>
      <c r="AA66" s="1"/>
      <c r="AB66">
        <f t="shared" si="75"/>
        <v>-0.12196532438695605</v>
      </c>
      <c r="AC66">
        <f t="shared" si="76"/>
        <v>0.89369367005104883</v>
      </c>
      <c r="AD66">
        <f t="shared" si="77"/>
        <v>0.21695748610593138</v>
      </c>
      <c r="AE66" s="1"/>
      <c r="AF66">
        <f t="shared" si="91"/>
        <v>2.1999999999999999E-2</v>
      </c>
      <c r="AG66">
        <f t="shared" si="92"/>
        <v>1.1980325638339694E-2</v>
      </c>
      <c r="AI66">
        <f t="shared" si="78"/>
        <v>2.6238722345144093E-2</v>
      </c>
      <c r="AJ66" s="1"/>
      <c r="AK66" s="9">
        <f t="shared" si="105"/>
        <v>3.5614149332018794</v>
      </c>
      <c r="AL66" s="9">
        <f t="shared" si="94"/>
        <v>-0.14820404673210014</v>
      </c>
      <c r="AM66" s="9">
        <f t="shared" si="95"/>
        <v>0.89369367005104883</v>
      </c>
      <c r="AN66" s="9">
        <f t="shared" si="114"/>
        <v>0.25093781174427104</v>
      </c>
      <c r="AO66" s="9">
        <f t="shared" si="97"/>
        <v>0.79868837588931296</v>
      </c>
      <c r="AP66" s="9">
        <f t="shared" si="79"/>
        <v>0.37088287307118523</v>
      </c>
      <c r="AQ66" s="9">
        <f t="shared" si="80"/>
        <v>-2.3708828730711851</v>
      </c>
      <c r="AR66" s="1"/>
      <c r="AS66" s="9">
        <f t="shared" si="81"/>
        <v>3.5614149332018794</v>
      </c>
      <c r="AT66" s="9">
        <f t="shared" si="82"/>
        <v>-0.12196532438695605</v>
      </c>
      <c r="AU66" s="9">
        <f t="shared" si="83"/>
        <v>0.89369367005104883</v>
      </c>
      <c r="AV66" s="9">
        <f t="shared" si="84"/>
        <v>0.25093781174427104</v>
      </c>
      <c r="AW66" s="9">
        <f t="shared" si="85"/>
        <v>0.79868837588931296</v>
      </c>
      <c r="AX66" s="1"/>
      <c r="AY66" s="9">
        <f t="shared" si="106"/>
        <v>0.16995528279530092</v>
      </c>
      <c r="AZ66" s="9">
        <f t="shared" si="107"/>
        <v>9.4005915706693283E-2</v>
      </c>
      <c r="BA66" s="9">
        <f t="shared" si="108"/>
        <v>9.4005915706693283E-2</v>
      </c>
      <c r="BB66" s="9">
        <f t="shared" si="109"/>
        <v>-2.0728651197405728E-2</v>
      </c>
      <c r="BC66" s="9">
        <f t="shared" si="110"/>
        <v>8.4012491814424259E-2</v>
      </c>
      <c r="BD66" s="9">
        <f t="shared" si="111"/>
        <v>2.3589638778454013E-2</v>
      </c>
      <c r="BE66" s="9">
        <f t="shared" si="112"/>
        <v>-0.36911663959786889</v>
      </c>
    </row>
    <row r="67" spans="6:57" x14ac:dyDescent="0.3">
      <c r="F67">
        <v>-2</v>
      </c>
      <c r="H67">
        <v>25</v>
      </c>
      <c r="I67">
        <v>24.2</v>
      </c>
      <c r="J67">
        <f t="shared" si="69"/>
        <v>102100</v>
      </c>
      <c r="K67">
        <f t="shared" si="70"/>
        <v>1.1970024526240264</v>
      </c>
      <c r="L67">
        <f t="shared" si="71"/>
        <v>374.06326644500825</v>
      </c>
      <c r="M67" s="9">
        <f t="shared" si="113"/>
        <v>16.742751767215267</v>
      </c>
      <c r="N67">
        <f t="shared" si="87"/>
        <v>16</v>
      </c>
      <c r="O67">
        <v>15.2</v>
      </c>
      <c r="P67" s="8">
        <v>18.359000000000002</v>
      </c>
      <c r="Q67" s="8">
        <v>49.516199999999998</v>
      </c>
      <c r="R67" s="8">
        <v>5.8822000000000001</v>
      </c>
      <c r="S67" s="1"/>
      <c r="T67">
        <f t="shared" si="88"/>
        <v>-1.2134221855405514</v>
      </c>
      <c r="U67">
        <f t="shared" si="89"/>
        <v>46.904681312358043</v>
      </c>
      <c r="V67">
        <f t="shared" si="90"/>
        <v>4.2506748486669963</v>
      </c>
      <c r="W67" s="1"/>
      <c r="X67">
        <f t="shared" si="72"/>
        <v>-0.9492938381340349</v>
      </c>
      <c r="Y67">
        <f t="shared" si="73"/>
        <v>42.847021062530324</v>
      </c>
      <c r="Z67">
        <f t="shared" si="74"/>
        <v>10.459311797259792</v>
      </c>
      <c r="AA67" s="1"/>
      <c r="AB67">
        <f t="shared" si="75"/>
        <v>-0.12548405468549059</v>
      </c>
      <c r="AC67">
        <f t="shared" si="76"/>
        <v>0.89488164724730934</v>
      </c>
      <c r="AD67">
        <f t="shared" si="77"/>
        <v>0.21844800264049707</v>
      </c>
      <c r="AE67" s="1"/>
      <c r="AF67">
        <f t="shared" si="91"/>
        <v>2.1999999999999999E-2</v>
      </c>
      <c r="AG67">
        <f t="shared" si="92"/>
        <v>1.2012197438700866E-2</v>
      </c>
      <c r="AI67">
        <f t="shared" si="78"/>
        <v>2.6273601191050277E-2</v>
      </c>
      <c r="AJ67" s="1"/>
      <c r="AK67" s="9">
        <f t="shared" si="105"/>
        <v>3.5446444507553299</v>
      </c>
      <c r="AL67" s="9">
        <f t="shared" si="94"/>
        <v>-0.15175765587654086</v>
      </c>
      <c r="AM67" s="9">
        <f t="shared" si="95"/>
        <v>0.89488164724730934</v>
      </c>
      <c r="AN67" s="9">
        <f t="shared" si="114"/>
        <v>0.25246020007919795</v>
      </c>
      <c r="AO67" s="9">
        <f t="shared" si="97"/>
        <v>0.80081316258005775</v>
      </c>
      <c r="AP67" s="9">
        <f t="shared" si="79"/>
        <v>0.37137588360763335</v>
      </c>
      <c r="AQ67" s="9">
        <f t="shared" si="80"/>
        <v>-2.3713758836076333</v>
      </c>
      <c r="AR67" s="1"/>
      <c r="AS67" s="9">
        <f t="shared" si="81"/>
        <v>3.5446444507553299</v>
      </c>
      <c r="AT67" s="9">
        <f t="shared" si="82"/>
        <v>-0.12548405468549059</v>
      </c>
      <c r="AU67" s="9">
        <f t="shared" si="83"/>
        <v>0.89488164724730934</v>
      </c>
      <c r="AV67" s="9">
        <f t="shared" si="84"/>
        <v>0.25246020007919795</v>
      </c>
      <c r="AW67" s="9">
        <f t="shared" si="85"/>
        <v>0.80081316258005775</v>
      </c>
      <c r="AX67" s="1"/>
      <c r="AY67" s="9">
        <f t="shared" si="106"/>
        <v>0.16995536883110451</v>
      </c>
      <c r="AZ67" s="9">
        <f t="shared" si="107"/>
        <v>9.4006001742496875E-2</v>
      </c>
      <c r="BA67" s="9">
        <f t="shared" si="108"/>
        <v>9.4006001742496875E-2</v>
      </c>
      <c r="BB67" s="9">
        <f t="shared" si="109"/>
        <v>-2.1326688796495043E-2</v>
      </c>
      <c r="BC67" s="9">
        <f t="shared" si="110"/>
        <v>8.4124245690459037E-2</v>
      </c>
      <c r="BD67" s="9">
        <f t="shared" si="111"/>
        <v>2.3732774008556192E-2</v>
      </c>
      <c r="BE67" s="9">
        <f t="shared" si="112"/>
        <v>-0.37797764547741008</v>
      </c>
    </row>
    <row r="68" spans="6:57" x14ac:dyDescent="0.3">
      <c r="F68">
        <v>-2</v>
      </c>
      <c r="H68">
        <v>25</v>
      </c>
      <c r="I68">
        <v>24.3</v>
      </c>
      <c r="J68">
        <f t="shared" si="69"/>
        <v>102100</v>
      </c>
      <c r="K68">
        <f t="shared" si="70"/>
        <v>1.1965998281865475</v>
      </c>
      <c r="L68">
        <f t="shared" si="71"/>
        <v>373.9374463082961</v>
      </c>
      <c r="M68" s="9">
        <f t="shared" si="113"/>
        <v>17.62811535739749</v>
      </c>
      <c r="N68">
        <f t="shared" si="87"/>
        <v>17</v>
      </c>
      <c r="O68">
        <v>16.2</v>
      </c>
      <c r="P68" s="8">
        <v>22.144200000000001</v>
      </c>
      <c r="Q68" s="8">
        <v>43.473999999999997</v>
      </c>
      <c r="R68" s="8">
        <v>4.8135000000000003</v>
      </c>
      <c r="S68" s="1"/>
      <c r="T68">
        <f t="shared" si="88"/>
        <v>1.317513934171533</v>
      </c>
      <c r="U68">
        <f t="shared" si="89"/>
        <v>40.5099236357838</v>
      </c>
      <c r="V68">
        <f t="shared" si="90"/>
        <v>3.0676242135102512</v>
      </c>
      <c r="W68" s="1"/>
      <c r="X68">
        <f t="shared" si="72"/>
        <v>-1.631786925121929</v>
      </c>
      <c r="Y68">
        <f t="shared" si="73"/>
        <v>36.221818252682823</v>
      </c>
      <c r="Z68">
        <f t="shared" si="74"/>
        <v>11.813082189739047</v>
      </c>
      <c r="AA68" s="1"/>
      <c r="AB68">
        <f t="shared" si="75"/>
        <v>-0.21577316629998067</v>
      </c>
      <c r="AC68">
        <f t="shared" si="76"/>
        <v>0.7567654908403495</v>
      </c>
      <c r="AD68">
        <f t="shared" si="77"/>
        <v>0.24680519567769424</v>
      </c>
      <c r="AE68" s="1"/>
      <c r="AF68">
        <f t="shared" si="91"/>
        <v>2.1999999999999999E-2</v>
      </c>
      <c r="AG68">
        <f t="shared" si="92"/>
        <v>8.590410121902526E-3</v>
      </c>
      <c r="AI68">
        <f t="shared" si="78"/>
        <v>2.2218529972817629E-2</v>
      </c>
      <c r="AJ68" s="1"/>
      <c r="AK68" s="9">
        <f t="shared" si="105"/>
        <v>2.7281091517616591</v>
      </c>
      <c r="AL68" s="9">
        <f t="shared" si="94"/>
        <v>-0.23799169627279829</v>
      </c>
      <c r="AM68" s="9">
        <f t="shared" si="95"/>
        <v>0.7567654908403495</v>
      </c>
      <c r="AN68" s="9">
        <f t="shared" si="114"/>
        <v>0.27739560579959677</v>
      </c>
      <c r="AO68" s="9">
        <f t="shared" si="97"/>
        <v>0.57269400812683513</v>
      </c>
      <c r="AP68" s="9">
        <f t="shared" si="79"/>
        <v>0.31405767869874501</v>
      </c>
      <c r="AQ68" s="9">
        <f t="shared" si="80"/>
        <v>-2.3140576786987452</v>
      </c>
      <c r="AR68" s="1"/>
      <c r="AS68" s="9">
        <f t="shared" si="81"/>
        <v>2.7281091517616591</v>
      </c>
      <c r="AT68" s="9">
        <f t="shared" si="82"/>
        <v>-0.21577316629998067</v>
      </c>
      <c r="AU68" s="9">
        <f t="shared" si="83"/>
        <v>0.7567654908403495</v>
      </c>
      <c r="AV68" s="9">
        <f t="shared" si="84"/>
        <v>0.27739560579959677</v>
      </c>
      <c r="AW68" s="9">
        <f t="shared" si="85"/>
        <v>0.57269400812683513</v>
      </c>
      <c r="AX68" s="1"/>
      <c r="AY68" s="9">
        <f t="shared" si="106"/>
        <v>0.16997103421485774</v>
      </c>
      <c r="AZ68" s="9">
        <f t="shared" si="107"/>
        <v>9.4021667126250097E-2</v>
      </c>
      <c r="BA68" s="9">
        <f t="shared" si="108"/>
        <v>9.4021667126250097E-2</v>
      </c>
      <c r="BB68" s="9">
        <f t="shared" si="109"/>
        <v>-3.6675188231822205E-2</v>
      </c>
      <c r="BC68" s="9">
        <f t="shared" si="110"/>
        <v>7.1152353072424609E-2</v>
      </c>
      <c r="BD68" s="9">
        <f t="shared" si="111"/>
        <v>2.6081197310774178E-2</v>
      </c>
      <c r="BE68" s="9">
        <f t="shared" si="112"/>
        <v>-0.50026958328907822</v>
      </c>
    </row>
    <row r="69" spans="6:57" x14ac:dyDescent="0.3">
      <c r="F69">
        <v>-2</v>
      </c>
      <c r="H69">
        <v>25</v>
      </c>
      <c r="I69">
        <v>24.3</v>
      </c>
      <c r="J69">
        <f t="shared" si="69"/>
        <v>102100</v>
      </c>
      <c r="K69">
        <f t="shared" si="70"/>
        <v>1.1965998281865475</v>
      </c>
      <c r="L69">
        <f t="shared" si="71"/>
        <v>373.9374463082961</v>
      </c>
      <c r="M69" s="9">
        <f t="shared" si="113"/>
        <v>17.643122796716572</v>
      </c>
      <c r="N69">
        <f t="shared" si="87"/>
        <v>17</v>
      </c>
      <c r="O69">
        <v>16.2</v>
      </c>
      <c r="P69" s="8">
        <v>21.819099999999999</v>
      </c>
      <c r="Q69" s="8">
        <v>44.338299999999997</v>
      </c>
      <c r="R69" s="8">
        <v>5.0632000000000001</v>
      </c>
      <c r="S69" s="1"/>
      <c r="T69">
        <f t="shared" si="88"/>
        <v>0.99241393417153034</v>
      </c>
      <c r="U69">
        <f t="shared" si="89"/>
        <v>41.3742236357838</v>
      </c>
      <c r="V69">
        <f t="shared" si="90"/>
        <v>3.317324213510251</v>
      </c>
      <c r="W69" s="1"/>
      <c r="X69">
        <f t="shared" si="72"/>
        <v>-1.4568844151219296</v>
      </c>
      <c r="Y69">
        <f t="shared" si="73"/>
        <v>37.087259183320512</v>
      </c>
      <c r="Z69">
        <f t="shared" si="74"/>
        <v>11.746286293331009</v>
      </c>
      <c r="AA69" s="1"/>
      <c r="AB69">
        <f t="shared" si="75"/>
        <v>-0.19264559504940579</v>
      </c>
      <c r="AC69">
        <f t="shared" si="76"/>
        <v>0.77484674303201306</v>
      </c>
      <c r="AD69">
        <f t="shared" si="77"/>
        <v>0.24540966028577321</v>
      </c>
      <c r="AE69" s="1"/>
      <c r="AF69">
        <f t="shared" si="91"/>
        <v>2.1999999999999999E-2</v>
      </c>
      <c r="AG69">
        <f t="shared" si="92"/>
        <v>9.0058121278097768E-3</v>
      </c>
      <c r="AI69">
        <f t="shared" si="78"/>
        <v>2.2749393032284626E-2</v>
      </c>
      <c r="AJ69" s="1"/>
      <c r="AK69" s="9">
        <f t="shared" si="105"/>
        <v>2.8031959870634839</v>
      </c>
      <c r="AL69" s="9">
        <f t="shared" si="94"/>
        <v>-0.21539498808169041</v>
      </c>
      <c r="AM69" s="9">
        <f t="shared" si="95"/>
        <v>0.77484674303201306</v>
      </c>
      <c r="AN69" s="9">
        <f t="shared" si="114"/>
        <v>0.276415472413583</v>
      </c>
      <c r="AO69" s="9">
        <f t="shared" si="97"/>
        <v>0.6003874751873185</v>
      </c>
      <c r="AP69" s="9">
        <f t="shared" si="79"/>
        <v>0.3215613983582854</v>
      </c>
      <c r="AQ69" s="9">
        <f t="shared" si="80"/>
        <v>-2.3215613983582855</v>
      </c>
      <c r="AR69" s="1"/>
      <c r="AS69" s="9">
        <f t="shared" si="81"/>
        <v>2.8031959870634839</v>
      </c>
      <c r="AT69" s="9">
        <f t="shared" si="82"/>
        <v>-0.19264559504940579</v>
      </c>
      <c r="AU69" s="9">
        <f t="shared" si="83"/>
        <v>0.77484674303201306</v>
      </c>
      <c r="AV69" s="9">
        <f t="shared" si="84"/>
        <v>0.276415472413583</v>
      </c>
      <c r="AW69" s="9">
        <f t="shared" si="85"/>
        <v>0.6003874751873185</v>
      </c>
      <c r="AX69" s="1"/>
      <c r="AY69" s="9">
        <f t="shared" si="106"/>
        <v>0.16996602370429217</v>
      </c>
      <c r="AZ69" s="9">
        <f t="shared" si="107"/>
        <v>9.4016656615684521E-2</v>
      </c>
      <c r="BA69" s="9">
        <f t="shared" si="108"/>
        <v>9.4016656615684521E-2</v>
      </c>
      <c r="BB69" s="9">
        <f t="shared" si="109"/>
        <v>-3.2743205774694778E-2</v>
      </c>
      <c r="BC69" s="9">
        <f t="shared" si="110"/>
        <v>7.284850016942232E-2</v>
      </c>
      <c r="BD69" s="9">
        <f t="shared" si="111"/>
        <v>2.5987658553170052E-2</v>
      </c>
      <c r="BE69" s="9">
        <f t="shared" si="112"/>
        <v>-0.4589281151560915</v>
      </c>
    </row>
    <row r="70" spans="6:57" x14ac:dyDescent="0.3">
      <c r="F70">
        <v>-2</v>
      </c>
      <c r="H70">
        <v>25</v>
      </c>
      <c r="I70">
        <v>24.3</v>
      </c>
      <c r="J70">
        <f t="shared" si="69"/>
        <v>102100</v>
      </c>
      <c r="K70">
        <f t="shared" si="70"/>
        <v>1.1965998281865475</v>
      </c>
      <c r="L70">
        <f t="shared" si="71"/>
        <v>373.9374463082961</v>
      </c>
      <c r="M70" s="9">
        <f t="shared" si="113"/>
        <v>18.575228593445807</v>
      </c>
      <c r="N70">
        <f t="shared" si="87"/>
        <v>18</v>
      </c>
      <c r="O70">
        <v>17.2</v>
      </c>
      <c r="P70" s="8">
        <v>24.7776</v>
      </c>
      <c r="Q70" s="8">
        <v>41.116599999999998</v>
      </c>
      <c r="R70" s="8">
        <v>4.2092000000000001</v>
      </c>
      <c r="S70" s="1"/>
      <c r="T70">
        <f t="shared" si="88"/>
        <v>2.7029940642119143</v>
      </c>
      <c r="U70">
        <f t="shared" si="89"/>
        <v>37.778129732432951</v>
      </c>
      <c r="V70">
        <f t="shared" si="90"/>
        <v>2.3483024899450724</v>
      </c>
      <c r="W70" s="1"/>
      <c r="X70">
        <f t="shared" si="72"/>
        <v>-2.1559010697671459</v>
      </c>
      <c r="Y70">
        <f t="shared" si="73"/>
        <v>33.171972823385111</v>
      </c>
      <c r="Z70">
        <f t="shared" si="74"/>
        <v>12.92820429077701</v>
      </c>
      <c r="AA70" s="1"/>
      <c r="AB70">
        <f t="shared" si="75"/>
        <v>-0.28507741598579939</v>
      </c>
      <c r="AC70">
        <f t="shared" si="76"/>
        <v>0.69304649812747732</v>
      </c>
      <c r="AD70">
        <f t="shared" si="77"/>
        <v>0.27010291966968109</v>
      </c>
      <c r="AE70" s="1"/>
      <c r="AF70">
        <f t="shared" si="91"/>
        <v>2.1999999999999999E-2</v>
      </c>
      <c r="AG70">
        <f t="shared" si="92"/>
        <v>7.2047017285013903E-3</v>
      </c>
      <c r="AI70">
        <f t="shared" si="78"/>
        <v>2.0347749174057118E-2</v>
      </c>
      <c r="AJ70" s="1"/>
      <c r="AK70" s="9">
        <f t="shared" si="105"/>
        <v>2.3154990002926992</v>
      </c>
      <c r="AL70" s="9">
        <f t="shared" si="94"/>
        <v>-0.30542516515985652</v>
      </c>
      <c r="AM70" s="9">
        <f t="shared" si="95"/>
        <v>0.69304649812747732</v>
      </c>
      <c r="AN70" s="9">
        <f t="shared" si="114"/>
        <v>0.29930762139818251</v>
      </c>
      <c r="AO70" s="9">
        <f t="shared" si="97"/>
        <v>0.48031344856675939</v>
      </c>
      <c r="AP70" s="9">
        <f t="shared" si="79"/>
        <v>0.28761429672290306</v>
      </c>
      <c r="AQ70" s="9">
        <f t="shared" si="80"/>
        <v>-2.2876142967229032</v>
      </c>
      <c r="AR70" s="1"/>
      <c r="AS70" s="9">
        <f t="shared" si="81"/>
        <v>2.3154990002926992</v>
      </c>
      <c r="AT70" s="9">
        <f t="shared" si="82"/>
        <v>-0.28507741598579939</v>
      </c>
      <c r="AU70" s="9">
        <f t="shared" si="83"/>
        <v>0.69304649812747732</v>
      </c>
      <c r="AV70" s="9">
        <f t="shared" si="84"/>
        <v>0.29930762139818251</v>
      </c>
      <c r="AW70" s="9">
        <f t="shared" si="85"/>
        <v>0.48031344856675939</v>
      </c>
      <c r="AX70" s="1"/>
      <c r="AY70" s="9">
        <f t="shared" si="106"/>
        <v>0.16998420676591514</v>
      </c>
      <c r="AZ70" s="9">
        <f t="shared" si="107"/>
        <v>9.4034839677307525E-2</v>
      </c>
      <c r="BA70" s="9">
        <f t="shared" si="108"/>
        <v>9.4034839677307525E-2</v>
      </c>
      <c r="BB70" s="9">
        <f t="shared" si="109"/>
        <v>-4.8458658423222924E-2</v>
      </c>
      <c r="BC70" s="9">
        <f t="shared" si="110"/>
        <v>6.5170516340336743E-2</v>
      </c>
      <c r="BD70" s="9">
        <f t="shared" si="111"/>
        <v>2.8145344192374352E-2</v>
      </c>
      <c r="BE70" s="9">
        <f t="shared" si="112"/>
        <v>-0.5610298756724903</v>
      </c>
    </row>
    <row r="71" spans="6:57" x14ac:dyDescent="0.3">
      <c r="F71">
        <v>-2</v>
      </c>
      <c r="H71">
        <v>25</v>
      </c>
      <c r="I71">
        <v>24.3</v>
      </c>
      <c r="J71">
        <f t="shared" si="69"/>
        <v>102100</v>
      </c>
      <c r="K71">
        <f t="shared" si="70"/>
        <v>1.1965998281865475</v>
      </c>
      <c r="L71">
        <f t="shared" si="71"/>
        <v>373.9374463082961</v>
      </c>
      <c r="M71" s="9">
        <f t="shared" si="113"/>
        <v>18.570697951823533</v>
      </c>
      <c r="N71">
        <f t="shared" si="87"/>
        <v>18</v>
      </c>
      <c r="O71">
        <v>17.2</v>
      </c>
      <c r="P71" s="8">
        <v>24.6111</v>
      </c>
      <c r="Q71" s="8">
        <v>40.774099999999997</v>
      </c>
      <c r="R71" s="8">
        <v>4.2915999999999999</v>
      </c>
      <c r="S71" s="1"/>
      <c r="T71">
        <f t="shared" si="88"/>
        <v>2.5364940642119151</v>
      </c>
      <c r="U71">
        <f t="shared" si="89"/>
        <v>37.43562973243295</v>
      </c>
      <c r="V71">
        <f t="shared" si="90"/>
        <v>2.4307024899450722</v>
      </c>
      <c r="W71" s="1"/>
      <c r="X71">
        <f t="shared" si="72"/>
        <v>-2.024204719767146</v>
      </c>
      <c r="Y71">
        <f t="shared" si="73"/>
        <v>32.910702221612212</v>
      </c>
      <c r="Z71">
        <f t="shared" si="74"/>
        <v>12.683490467609563</v>
      </c>
      <c r="AA71" s="1"/>
      <c r="AB71">
        <f t="shared" si="75"/>
        <v>-0.26766304772964539</v>
      </c>
      <c r="AC71">
        <f t="shared" si="76"/>
        <v>0.68758789376329199</v>
      </c>
      <c r="AD71">
        <f t="shared" si="77"/>
        <v>0.26499022832953789</v>
      </c>
      <c r="AE71" s="1"/>
      <c r="AF71">
        <f t="shared" si="91"/>
        <v>2.1999999999999999E-2</v>
      </c>
      <c r="AG71">
        <f t="shared" si="92"/>
        <v>7.0916566747476015E-3</v>
      </c>
      <c r="AI71">
        <f t="shared" si="78"/>
        <v>2.0187485306130574E-2</v>
      </c>
      <c r="AJ71" s="1"/>
      <c r="AK71" s="9">
        <f t="shared" si="105"/>
        <v>2.3380831286268182</v>
      </c>
      <c r="AL71" s="9">
        <f t="shared" si="94"/>
        <v>-0.28785053303577596</v>
      </c>
      <c r="AM71" s="9">
        <f t="shared" si="95"/>
        <v>0.68758789376329199</v>
      </c>
      <c r="AN71" s="9">
        <f t="shared" si="114"/>
        <v>0.2940818850042855</v>
      </c>
      <c r="AO71" s="9">
        <f t="shared" si="97"/>
        <v>0.4727771116498401</v>
      </c>
      <c r="AP71" s="9">
        <f t="shared" si="79"/>
        <v>0.28534897591176617</v>
      </c>
      <c r="AQ71" s="9">
        <f t="shared" si="80"/>
        <v>-2.285348975911766</v>
      </c>
      <c r="AR71" s="1"/>
      <c r="AS71" s="9">
        <f t="shared" si="81"/>
        <v>2.3380831286268182</v>
      </c>
      <c r="AT71" s="9">
        <f t="shared" si="82"/>
        <v>-0.26766304772964539</v>
      </c>
      <c r="AU71" s="9">
        <f t="shared" si="83"/>
        <v>0.68758789376329199</v>
      </c>
      <c r="AV71" s="9">
        <f t="shared" si="84"/>
        <v>0.2940818850042855</v>
      </c>
      <c r="AW71" s="9">
        <f t="shared" si="85"/>
        <v>0.4727771116498401</v>
      </c>
      <c r="AX71" s="1"/>
      <c r="AY71" s="9">
        <f t="shared" si="106"/>
        <v>0.16998216467913291</v>
      </c>
      <c r="AZ71" s="9">
        <f t="shared" si="107"/>
        <v>9.4032797590525255E-2</v>
      </c>
      <c r="BA71" s="9">
        <f t="shared" si="108"/>
        <v>9.4032797590525255E-2</v>
      </c>
      <c r="BB71" s="9">
        <f t="shared" si="109"/>
        <v>-4.5497944257699194E-2</v>
      </c>
      <c r="BC71" s="9">
        <f t="shared" si="110"/>
        <v>6.4655813239939214E-2</v>
      </c>
      <c r="BD71" s="9">
        <f t="shared" si="111"/>
        <v>2.7653342367648104E-2</v>
      </c>
      <c r="BE71" s="9">
        <f t="shared" si="112"/>
        <v>-0.53188987928064946</v>
      </c>
    </row>
  </sheetData>
  <mergeCells count="32">
    <mergeCell ref="N40:R40"/>
    <mergeCell ref="T40:V40"/>
    <mergeCell ref="G1:BE1"/>
    <mergeCell ref="A20:D20"/>
    <mergeCell ref="A1:D1"/>
    <mergeCell ref="AL21:AN21"/>
    <mergeCell ref="AB2:AD2"/>
    <mergeCell ref="AF2:AI2"/>
    <mergeCell ref="N21:R21"/>
    <mergeCell ref="T21:V21"/>
    <mergeCell ref="X21:Z21"/>
    <mergeCell ref="AB21:AD21"/>
    <mergeCell ref="AF21:AI21"/>
    <mergeCell ref="G2:L2"/>
    <mergeCell ref="AL2:AQ2"/>
    <mergeCell ref="F21:M21"/>
    <mergeCell ref="AY2:BE2"/>
    <mergeCell ref="AY21:BE21"/>
    <mergeCell ref="AY40:BE40"/>
    <mergeCell ref="F40:M40"/>
    <mergeCell ref="AS2:AW2"/>
    <mergeCell ref="AS21:AW21"/>
    <mergeCell ref="AS40:AW40"/>
    <mergeCell ref="F39:BE39"/>
    <mergeCell ref="F20:BE20"/>
    <mergeCell ref="X2:Z2"/>
    <mergeCell ref="T2:V2"/>
    <mergeCell ref="N2:R2"/>
    <mergeCell ref="X40:Z40"/>
    <mergeCell ref="AB40:AD40"/>
    <mergeCell ref="AF40:AI40"/>
    <mergeCell ref="AL40:AN40"/>
  </mergeCells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B58C3E2E4CB943BBA5A34974EBA151" ma:contentTypeVersion="13" ma:contentTypeDescription="Create a new document." ma:contentTypeScope="" ma:versionID="386abcf7981096c58d90ac53a93836a0">
  <xsd:schema xmlns:xsd="http://www.w3.org/2001/XMLSchema" xmlns:xs="http://www.w3.org/2001/XMLSchema" xmlns:p="http://schemas.microsoft.com/office/2006/metadata/properties" xmlns:ns2="02ca3038-0f98-4252-bf64-cc1cc07597e0" xmlns:ns3="4059121e-d26c-48ea-81b3-9553f2c71daf" targetNamespace="http://schemas.microsoft.com/office/2006/metadata/properties" ma:root="true" ma:fieldsID="10afbe752ea15b6fb3ffd1127b1b3d4c" ns2:_="" ns3:_="">
    <xsd:import namespace="02ca3038-0f98-4252-bf64-cc1cc07597e0"/>
    <xsd:import namespace="4059121e-d26c-48ea-81b3-9553f2c71da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a3038-0f98-4252-bf64-cc1cc07597e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9121e-d26c-48ea-81b3-9553f2c71da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79c628-3ff1-4663-8582-e118fb964c1f}" ma:internalName="TaxCatchAll" ma:showField="CatchAllData" ma:web="4059121e-d26c-48ea-81b3-9553f2c71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ca3038-0f98-4252-bf64-cc1cc07597e0">
      <Terms xmlns="http://schemas.microsoft.com/office/infopath/2007/PartnerControls"/>
    </lcf76f155ced4ddcb4097134ff3c332f>
    <TaxCatchAll xmlns="4059121e-d26c-48ea-81b3-9553f2c71daf" xsi:nil="true"/>
  </documentManagement>
</p:properties>
</file>

<file path=customXml/itemProps1.xml><?xml version="1.0" encoding="utf-8"?>
<ds:datastoreItem xmlns:ds="http://schemas.openxmlformats.org/officeDocument/2006/customXml" ds:itemID="{6B4F6FA7-FB35-4EA3-871F-88FF4B42DAA1}"/>
</file>

<file path=customXml/itemProps2.xml><?xml version="1.0" encoding="utf-8"?>
<ds:datastoreItem xmlns:ds="http://schemas.openxmlformats.org/officeDocument/2006/customXml" ds:itemID="{EAB29E65-35D9-474D-AF93-88DDE8481A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64C91E-3355-4571-9E45-CEC72D814983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293ba0f1-226c-4167-abf4-bb66f5f3256f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Sim Test</vt:lpstr>
      <vt:lpstr>Wind Tunnel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Himmat Kaul</dc:creator>
  <cp:keywords/>
  <dc:description/>
  <cp:lastModifiedBy>Kaul, Himmat</cp:lastModifiedBy>
  <cp:revision/>
  <dcterms:created xsi:type="dcterms:W3CDTF">2024-03-03T00:45:59Z</dcterms:created>
  <dcterms:modified xsi:type="dcterms:W3CDTF">2025-02-16T17:16:58Z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0x0101006CB58C3E2E4CB943BBA5A34974EBA151</vt:lpwstr>
  </property>
</Properties>
</file>